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 Data" sheetId="1" r:id="rId3"/>
    <sheet state="visible" name="Avgs" sheetId="2" r:id="rId4"/>
    <sheet state="visible" name="PickAvgs" sheetId="3" r:id="rId5"/>
    <sheet state="visible" name="Rankings" sheetId="4" r:id="rId6"/>
    <sheet state="hidden" name="Rando Hub City Data" sheetId="5" r:id="rId7"/>
    <sheet state="hidden" name="Rankings Pull" sheetId="6" r:id="rId8"/>
    <sheet state="visible" name="Elims" sheetId="7" r:id="rId9"/>
    <sheet state="hidden" name="Match Sched copy paste" sheetId="8" r:id="rId10"/>
    <sheet state="hidden" name="TODO" sheetId="9" r:id="rId11"/>
    <sheet state="hidden" name="Pit Scout Pull" sheetId="10" r:id="rId12"/>
    <sheet state="visible" name="Component OPR Dump" sheetId="11" r:id="rId13"/>
    <sheet state="visible" name="Match Sched" sheetId="12" r:id="rId14"/>
    <sheet state="visible" name="OPR Sort" sheetId="13" r:id="rId15"/>
    <sheet state="visible" name="Pit Scouting" sheetId="14" r:id="rId16"/>
    <sheet state="visible" name="Drive Score Sort" sheetId="15" r:id="rId17"/>
    <sheet state="visible" name="Control PanelOur Matches" sheetId="16" r:id="rId18"/>
  </sheets>
  <definedNames>
    <definedName hidden="1" localSheetId="12" name="_xlnm._FilterDatabase">'OPR Sort'!$A$2:$J$50</definedName>
  </definedNames>
  <calcPr/>
</workbook>
</file>

<file path=xl/sharedStrings.xml><?xml version="1.0" encoding="utf-8"?>
<sst xmlns="http://schemas.openxmlformats.org/spreadsheetml/2006/main" count="2451" uniqueCount="507">
  <si>
    <t>Index</t>
  </si>
  <si>
    <t>Team</t>
  </si>
  <si>
    <t>Match</t>
  </si>
  <si>
    <t>Total</t>
  </si>
  <si>
    <t>Bot</t>
  </si>
  <si>
    <t>Auto High</t>
  </si>
  <si>
    <t>Auto</t>
  </si>
  <si>
    <t>Auto Gear</t>
  </si>
  <si>
    <t>Mobi</t>
  </si>
  <si>
    <t>High Goal</t>
  </si>
  <si>
    <t>Gears</t>
  </si>
  <si>
    <t>Climb AVG</t>
  </si>
  <si>
    <t>Died AVG</t>
  </si>
  <si>
    <t>Totals for Match Prediction</t>
  </si>
  <si>
    <t>Tele</t>
  </si>
  <si>
    <t>Component OPR</t>
  </si>
  <si>
    <t>1-6 Rank</t>
  </si>
  <si>
    <t>Auto Gears</t>
  </si>
  <si>
    <t>Tele Gears</t>
  </si>
  <si>
    <t>1-6 Ranking</t>
  </si>
  <si>
    <t>Total Pts</t>
  </si>
  <si>
    <t>Search</t>
  </si>
  <si>
    <t>Avg</t>
  </si>
  <si>
    <t>Max (no balls)</t>
  </si>
  <si>
    <t>Max</t>
  </si>
  <si>
    <t xml:space="preserve">High </t>
  </si>
  <si>
    <t>Auto Score</t>
  </si>
  <si>
    <t>Total Balls AVG</t>
  </si>
  <si>
    <t>Gear</t>
  </si>
  <si>
    <t>Total Gears AVG</t>
  </si>
  <si>
    <t>Auton Hi Balls OPR</t>
  </si>
  <si>
    <t>Mobil OPR</t>
  </si>
  <si>
    <t>Tele Hi Balls OPR</t>
  </si>
  <si>
    <t>Tele Low Balls OPR</t>
  </si>
  <si>
    <t>Tele Rotors OPR</t>
  </si>
  <si>
    <t>Climb OPR</t>
  </si>
  <si>
    <t>Mobi (0/1)</t>
  </si>
  <si>
    <t>Climb (0/1)</t>
  </si>
  <si>
    <t>Died (0/1)</t>
  </si>
  <si>
    <t>R 1</t>
  </si>
  <si>
    <t>R 2</t>
  </si>
  <si>
    <t>R 3</t>
  </si>
  <si>
    <t>B 1</t>
  </si>
  <si>
    <t>B 2</t>
  </si>
  <si>
    <t>B 3</t>
  </si>
  <si>
    <t>Current Rankings (Pasted as is from FRC site)</t>
  </si>
  <si>
    <t>Predicted Rankings</t>
  </si>
  <si>
    <t>Matches Played</t>
  </si>
  <si>
    <t>Rank</t>
  </si>
  <si>
    <t>RS</t>
  </si>
  <si>
    <t>MP</t>
  </si>
  <si>
    <t>AP</t>
  </si>
  <si>
    <t>RP</t>
  </si>
  <si>
    <t>CP</t>
  </si>
  <si>
    <t>BP</t>
  </si>
  <si>
    <t>Record</t>
  </si>
  <si>
    <t>PLayed</t>
  </si>
  <si>
    <t>32</t>
  </si>
  <si>
    <t>4 - 0 - 0</t>
  </si>
  <si>
    <t>12</t>
  </si>
  <si>
    <t>4 - 1 - 0</t>
  </si>
  <si>
    <t>Predictions on? (y/n)</t>
  </si>
  <si>
    <t>13</t>
  </si>
  <si>
    <t>2</t>
  </si>
  <si>
    <t>n</t>
  </si>
  <si>
    <t>30</t>
  </si>
  <si>
    <t>87</t>
  </si>
  <si>
    <t>2 - 1 - 1</t>
  </si>
  <si>
    <t>100</t>
  </si>
  <si>
    <t>3 - 1 - 0</t>
  </si>
  <si>
    <t>0</t>
  </si>
  <si>
    <t>5</t>
  </si>
  <si>
    <t>8</t>
  </si>
  <si>
    <t>23</t>
  </si>
  <si>
    <t>3 - 1 - 1</t>
  </si>
  <si>
    <t>1</t>
  </si>
  <si>
    <t>2 - 1 - 0</t>
  </si>
  <si>
    <t>3 - 2 - 0</t>
  </si>
  <si>
    <t>97</t>
  </si>
  <si>
    <t>10</t>
  </si>
  <si>
    <t>3</t>
  </si>
  <si>
    <t>2 - 2 - 0</t>
  </si>
  <si>
    <t>2 - 2 - 1</t>
  </si>
  <si>
    <t>31</t>
  </si>
  <si>
    <t>4</t>
  </si>
  <si>
    <t>46</t>
  </si>
  <si>
    <t>1 - 1 - 1</t>
  </si>
  <si>
    <t>33</t>
  </si>
  <si>
    <t>2 - 3 - 0</t>
  </si>
  <si>
    <t>7</t>
  </si>
  <si>
    <t>26</t>
  </si>
  <si>
    <t>36</t>
  </si>
  <si>
    <t>21</t>
  </si>
  <si>
    <t>6</t>
  </si>
  <si>
    <t>1 - 2 - 1</t>
  </si>
  <si>
    <t>1 - 3 - 0</t>
  </si>
  <si>
    <t>1 - 2 - 0</t>
  </si>
  <si>
    <t>0 - 4 - 1</t>
  </si>
  <si>
    <t>1 - 4 - 0</t>
  </si>
  <si>
    <t>14</t>
  </si>
  <si>
    <t>0 - 5 - 0</t>
  </si>
  <si>
    <t>0 - 4 - 0</t>
  </si>
  <si>
    <t>9 - 0 - 0</t>
  </si>
  <si>
    <t>7 - 1 - 0</t>
  </si>
  <si>
    <t>6 - 2 - 0</t>
  </si>
  <si>
    <t>5 - 2 - 1</t>
  </si>
  <si>
    <t>5 - 3 - 1</t>
  </si>
  <si>
    <t>6 - 3 - 0</t>
  </si>
  <si>
    <t>5 - 3 - 0</t>
  </si>
  <si>
    <t>5 - 2 - 0</t>
  </si>
  <si>
    <t>4 - 3 - 0</t>
  </si>
  <si>
    <t>4 - 4 - 0</t>
  </si>
  <si>
    <t>4 - 5 - 0</t>
  </si>
  <si>
    <t>3 - 4 - 1</t>
  </si>
  <si>
    <t>3 - 5 - 0</t>
  </si>
  <si>
    <t>2 - 5 - 0</t>
  </si>
  <si>
    <t>2 - 6 - 0</t>
  </si>
  <si>
    <t>1 - 6 - 1</t>
  </si>
  <si>
    <t>1 - 7 - 0</t>
  </si>
  <si>
    <t>0 - 8 - 0</t>
  </si>
  <si>
    <t>Ranking Score</t>
  </si>
  <si>
    <t>Match Points</t>
  </si>
  <si>
    <t>Rotor</t>
  </si>
  <si>
    <t>Takeoff</t>
  </si>
  <si>
    <t>Pressure</t>
  </si>
  <si>
    <t>W-L-T</t>
  </si>
  <si>
    <t>Match Pts</t>
  </si>
  <si>
    <t>8 - 1 - 0</t>
  </si>
  <si>
    <t>7 - 2 - 0</t>
  </si>
  <si>
    <t>7 - 1 - 1</t>
  </si>
  <si>
    <t>6 - 2 - 1</t>
  </si>
  <si>
    <t>5 - 4 - 0</t>
  </si>
  <si>
    <t>4 - 3 - 1</t>
  </si>
  <si>
    <t>3 - 5 - 1</t>
  </si>
  <si>
    <t>3 - 6 - 0</t>
  </si>
  <si>
    <t>1 - 7 - 1</t>
  </si>
  <si>
    <t>2 - 7 - 0</t>
  </si>
  <si>
    <t>Elims On (y/n)</t>
  </si>
  <si>
    <t>Predict On (y/n)</t>
  </si>
  <si>
    <t>Filler</t>
  </si>
  <si>
    <t>Picklist Toggle (y/n)</t>
  </si>
  <si>
    <t>Teams in Elims</t>
  </si>
  <si>
    <t>y</t>
  </si>
  <si>
    <t>-</t>
  </si>
  <si>
    <t>Seed</t>
  </si>
  <si>
    <t>Cap</t>
  </si>
  <si>
    <t>#1</t>
  </si>
  <si>
    <t>#2</t>
  </si>
  <si>
    <t>Qualification 1</t>
  </si>
  <si>
    <t>Fri 3/3 - 9:00 AM</t>
  </si>
  <si>
    <t>Qualification 2</t>
  </si>
  <si>
    <t>Fri 3/3 - 9:07 AM</t>
  </si>
  <si>
    <t>Qualification 3</t>
  </si>
  <si>
    <t>Fri 3/3 - 9:14 AM</t>
  </si>
  <si>
    <t>Qualification 4</t>
  </si>
  <si>
    <t>Fri 3/3 - 9:21 AM</t>
  </si>
  <si>
    <t>Qualification 5</t>
  </si>
  <si>
    <t>Fri 3/3 - 9:28 AM</t>
  </si>
  <si>
    <t>Qualification 6</t>
  </si>
  <si>
    <t>Fri 3/3 - 9:35 AM</t>
  </si>
  <si>
    <t>Qualification 7</t>
  </si>
  <si>
    <t>Fri 3/3 - 9:42 AM</t>
  </si>
  <si>
    <t>Qualification 8</t>
  </si>
  <si>
    <t>Fri 3/3 - 9:49 AM</t>
  </si>
  <si>
    <t>Qualification 9</t>
  </si>
  <si>
    <t>Fri 3/3 - 9:56 AM</t>
  </si>
  <si>
    <t>Qualification 10</t>
  </si>
  <si>
    <t>Fri 3/3 - 10:03 AM</t>
  </si>
  <si>
    <t>Qualification 11</t>
  </si>
  <si>
    <t>Fri 3/3 - 10:10 AM</t>
  </si>
  <si>
    <t>Qualification 12</t>
  </si>
  <si>
    <t>Fri 3/3 - 10:17 AM</t>
  </si>
  <si>
    <t>Qualification 13</t>
  </si>
  <si>
    <t>Fri 3/3 - 10:24 AM</t>
  </si>
  <si>
    <t>Qualification 14</t>
  </si>
  <si>
    <t>Fri 3/3 - 10:31 AM</t>
  </si>
  <si>
    <t>Qualification 15</t>
  </si>
  <si>
    <t>Fri 3/3 - 10:38 AM</t>
  </si>
  <si>
    <t>Qualification 16</t>
  </si>
  <si>
    <t>Fri 3/3 - 10:45 AM</t>
  </si>
  <si>
    <t>Qualification 17</t>
  </si>
  <si>
    <t>Fri 3/3 - 10:52 AM</t>
  </si>
  <si>
    <t>Qualification 18</t>
  </si>
  <si>
    <t>Fri 3/3 - 10:59 AM</t>
  </si>
  <si>
    <t>Qualification 19</t>
  </si>
  <si>
    <t>Fri 3/3 - 11:06 AM</t>
  </si>
  <si>
    <t>Qualification 20</t>
  </si>
  <si>
    <t>Fri 3/3 - 11:13 AM</t>
  </si>
  <si>
    <t>Qualification 21</t>
  </si>
  <si>
    <t>Fri 3/3 - 11:20 AM</t>
  </si>
  <si>
    <t>Qualification 22</t>
  </si>
  <si>
    <t>Fri 3/3 - 11:27 AM</t>
  </si>
  <si>
    <t>Qualification 23</t>
  </si>
  <si>
    <t>Fri 3/3 - 1:00 PM</t>
  </si>
  <si>
    <t>Qualification 24</t>
  </si>
  <si>
    <t>Fri 3/3 - 1:07 PM</t>
  </si>
  <si>
    <t>Qualification 25</t>
  </si>
  <si>
    <t>Fri 3/3 - 1:14 PM</t>
  </si>
  <si>
    <t>Qualification 26</t>
  </si>
  <si>
    <t>Fri 3/3 - 1:21 PM</t>
  </si>
  <si>
    <t>Qualification 27</t>
  </si>
  <si>
    <t>Fri 3/3 - 1:28 PM</t>
  </si>
  <si>
    <t>Qualification 28</t>
  </si>
  <si>
    <t>Fri 3/3 - 1:35 PM</t>
  </si>
  <si>
    <t>Qualification 29</t>
  </si>
  <si>
    <t>Fri 3/3 - 1:42 PM</t>
  </si>
  <si>
    <t>Qualification 30</t>
  </si>
  <si>
    <t>Fri 3/3 - 1:49 PM</t>
  </si>
  <si>
    <t>Qualification 31</t>
  </si>
  <si>
    <t>Fri 3/3 - 1:56 PM</t>
  </si>
  <si>
    <t>Qualification 32</t>
  </si>
  <si>
    <t>Fri 3/3 - 2:03 PM</t>
  </si>
  <si>
    <t>Qualification 33</t>
  </si>
  <si>
    <t>Fri 3/3 - 2:10 PM</t>
  </si>
  <si>
    <t>Qualification 34</t>
  </si>
  <si>
    <t>Fri 3/3 - 2:17 PM</t>
  </si>
  <si>
    <t>Qualification 35</t>
  </si>
  <si>
    <t>Fri 3/3 - 2:24 PM</t>
  </si>
  <si>
    <t>Qualification 36</t>
  </si>
  <si>
    <t>Fri 3/3 - 2:31 PM</t>
  </si>
  <si>
    <t>Qualification 37</t>
  </si>
  <si>
    <t>Fri 3/3 - 2:38 PM</t>
  </si>
  <si>
    <t>Qualification 38</t>
  </si>
  <si>
    <t>Fri 3/3 - 2:45 PM</t>
  </si>
  <si>
    <t>Qualification 39</t>
  </si>
  <si>
    <t>Fri 3/3 - 2:52 PM</t>
  </si>
  <si>
    <t>Qualification 40</t>
  </si>
  <si>
    <t>Fri 3/3 - 2:59 PM</t>
  </si>
  <si>
    <t>Qualification 41</t>
  </si>
  <si>
    <t>Fri 3/3 - 3:06 PM</t>
  </si>
  <si>
    <t>Qualification 42</t>
  </si>
  <si>
    <t>Fri 3/3 - 3:13 PM</t>
  </si>
  <si>
    <t>Qualification 43</t>
  </si>
  <si>
    <t>Fri 3/3 - 3:20 PM</t>
  </si>
  <si>
    <t>Qualification 44</t>
  </si>
  <si>
    <t>Fri 3/3 - 3:27 PM</t>
  </si>
  <si>
    <t>Qualification 45</t>
  </si>
  <si>
    <t>Fri 3/3 - 3:34 PM</t>
  </si>
  <si>
    <t>Qualification 46</t>
  </si>
  <si>
    <t>Fri 3/3 - 3:41 PM</t>
  </si>
  <si>
    <t>Qualification 47</t>
  </si>
  <si>
    <t>Fri 3/3 - 3:48 PM</t>
  </si>
  <si>
    <t>Qualification 48</t>
  </si>
  <si>
    <t>Fri 3/3 - 3:55 PM</t>
  </si>
  <si>
    <t>Qualification 49</t>
  </si>
  <si>
    <t>Fri 3/3 - 4:02 PM</t>
  </si>
  <si>
    <t>Qualification 50</t>
  </si>
  <si>
    <t>Fri 3/3 - 4:09 PM</t>
  </si>
  <si>
    <t>Qualification 51</t>
  </si>
  <si>
    <t>Fri 3/3 - 4:16 PM</t>
  </si>
  <si>
    <t>Qualification 52</t>
  </si>
  <si>
    <t>Fri 3/3 - 4:23 PM</t>
  </si>
  <si>
    <t>Qualification 53</t>
  </si>
  <si>
    <t>Fri 3/3 - 4:30 PM</t>
  </si>
  <si>
    <t>Qualification 54</t>
  </si>
  <si>
    <t>Fri 3/3 - 4:37 PM</t>
  </si>
  <si>
    <t>Qualification 55</t>
  </si>
  <si>
    <t>Fri 3/3 - 4:44 PM</t>
  </si>
  <si>
    <t>Qualification 56</t>
  </si>
  <si>
    <t>Fri 3/3 - 4:51 PM</t>
  </si>
  <si>
    <t>Qualification 57</t>
  </si>
  <si>
    <t>Fri 3/3 - 4:58 PM</t>
  </si>
  <si>
    <t>Qualification 58</t>
  </si>
  <si>
    <t>Fri 3/3 - 5:05 PM</t>
  </si>
  <si>
    <t>Qualification 59</t>
  </si>
  <si>
    <t>Fri 3/3 - 5:12 PM</t>
  </si>
  <si>
    <t>Qualification 60</t>
  </si>
  <si>
    <t>Fri 3/3 - 5:19 PM</t>
  </si>
  <si>
    <t>Qualification 61</t>
  </si>
  <si>
    <t>Fri 3/3 - 5:26 PM</t>
  </si>
  <si>
    <t>Qualification 62</t>
  </si>
  <si>
    <t>Sat 3/4 - 9:00 AM</t>
  </si>
  <si>
    <t>Qualification 63</t>
  </si>
  <si>
    <t>Sat 3/4 - 9:07 AM</t>
  </si>
  <si>
    <t>Qualification 64</t>
  </si>
  <si>
    <t>Sat 3/4 - 9:14 AM</t>
  </si>
  <si>
    <t>Qualification 65</t>
  </si>
  <si>
    <t>Sat 3/4 - 9:21 AM</t>
  </si>
  <si>
    <t>Qualification 66</t>
  </si>
  <si>
    <t>Sat 3/4 - 9:28 AM</t>
  </si>
  <si>
    <t>Qualification 67</t>
  </si>
  <si>
    <t>Sat 3/4 - 9:35 AM</t>
  </si>
  <si>
    <t>Qualification 68</t>
  </si>
  <si>
    <t>Sat 3/4 - 9:42 AM</t>
  </si>
  <si>
    <t>Qualification 69</t>
  </si>
  <si>
    <t>Sat 3/4 - 9:49 AM</t>
  </si>
  <si>
    <t>Qualification 70</t>
  </si>
  <si>
    <t>Sat 3/4 - 9:56 AM</t>
  </si>
  <si>
    <t>Qualification 71</t>
  </si>
  <si>
    <t>Sat 3/4 - 10:03 AM</t>
  </si>
  <si>
    <t>Qualification 72</t>
  </si>
  <si>
    <t>Sat 3/4 - 10:10 AM</t>
  </si>
  <si>
    <t>Qualification 73</t>
  </si>
  <si>
    <t>Sat 3/4 - 10:17 AM</t>
  </si>
  <si>
    <t>Qualification 74</t>
  </si>
  <si>
    <t>Sat 3/4 - 10:24 AM</t>
  </si>
  <si>
    <t>Qualification 75</t>
  </si>
  <si>
    <t>Sat 3/4 - 10:31 AM</t>
  </si>
  <si>
    <t>Qualification 76</t>
  </si>
  <si>
    <t>Sat 3/4 - 10:38 AM</t>
  </si>
  <si>
    <t>Qualification 77</t>
  </si>
  <si>
    <t>Sat 3/4 - 10:45 AM</t>
  </si>
  <si>
    <t>Qualification 78</t>
  </si>
  <si>
    <t>Sat 3/4 - 10:52 AM</t>
  </si>
  <si>
    <t>Qualification 79</t>
  </si>
  <si>
    <t>Sat 3/4 - 10:59 AM</t>
  </si>
  <si>
    <t>Qualification 80</t>
  </si>
  <si>
    <t>Sat 3/4 - 11:06 AM</t>
  </si>
  <si>
    <t>Qualification 81</t>
  </si>
  <si>
    <t>Sat 3/4 - 11:13 AM</t>
  </si>
  <si>
    <t>Qualification 82</t>
  </si>
  <si>
    <t>Sat 3/4 - 11:20 AM</t>
  </si>
  <si>
    <t>Qualification 83</t>
  </si>
  <si>
    <t>Sat 3/4 - 11:27 AM</t>
  </si>
  <si>
    <t>Mission Critical</t>
  </si>
  <si>
    <t>Highly Desired</t>
  </si>
  <si>
    <t>Desired</t>
  </si>
  <si>
    <t>Notes</t>
  </si>
  <si>
    <t>Data Entry Setup</t>
  </si>
  <si>
    <t>Match Sched</t>
  </si>
  <si>
    <t>Date</t>
  </si>
  <si>
    <t>Item</t>
  </si>
  <si>
    <t>Teams Tabulation</t>
  </si>
  <si>
    <t>Match sheets</t>
  </si>
  <si>
    <t>Error Checking</t>
  </si>
  <si>
    <t>Data Entry set up and tested w/ small data in Avgs set</t>
  </si>
  <si>
    <t>Picklist Autosort</t>
  </si>
  <si>
    <t>Sorted Data Pages</t>
  </si>
  <si>
    <t>Avgs sorted separate doc made</t>
  </si>
  <si>
    <t>Predicted Rankings roughed out but not tested</t>
  </si>
  <si>
    <t>Debating splitting predicted rankings to separate doc to not tank system on data entry (if even an issue)</t>
  </si>
  <si>
    <t>Making breach/capture decision on rounding (not a logical sub of A-D + low class obstacles) due to too few datapoints. TL;DR teams are probably smart and breaching averages are reasonably deterministic</t>
  </si>
  <si>
    <t>Data Entry tested with giant data set, seems to work!</t>
  </si>
  <si>
    <t>Don't have time to future proof document for different # of teams and matches, document will requires ~5 minutes of setup from Adam once # of teams and qual schedule comes out</t>
  </si>
  <si>
    <t>Link to 2013 fall proto system</t>
  </si>
  <si>
    <t>https://docs.google.com/spreadsheets/d/18C7zYNcD540ZpScrqityQKVIfHiKT098j9UzJFmOHXs/edit#gid=0</t>
  </si>
  <si>
    <t>Timestamp</t>
  </si>
  <si>
    <t>Team #</t>
  </si>
  <si>
    <t>Layout</t>
  </si>
  <si>
    <t>Wheels</t>
  </si>
  <si>
    <t># Cims</t>
  </si>
  <si>
    <t>Shifters?</t>
  </si>
  <si>
    <t>GEAR MECH</t>
  </si>
  <si>
    <t># of Batteries</t>
  </si>
  <si>
    <t># of Chargers</t>
  </si>
  <si>
    <t>Programmer on site?</t>
  </si>
  <si>
    <t>Programming Language?</t>
  </si>
  <si>
    <t>4WD</t>
  </si>
  <si>
    <t>MECH</t>
  </si>
  <si>
    <t>No</t>
  </si>
  <si>
    <t>PASSIVE</t>
  </si>
  <si>
    <t>Yes</t>
  </si>
  <si>
    <t>JAVA</t>
  </si>
  <si>
    <t>ACTIVE</t>
  </si>
  <si>
    <t>6WD</t>
  </si>
  <si>
    <t>COLSON</t>
  </si>
  <si>
    <t>KIWI</t>
  </si>
  <si>
    <t>OMNI</t>
  </si>
  <si>
    <t>C++</t>
  </si>
  <si>
    <t>PNEU</t>
  </si>
  <si>
    <t>ROUGH</t>
  </si>
  <si>
    <t>2+2</t>
  </si>
  <si>
    <t>NONE</t>
  </si>
  <si>
    <t>FLOOR</t>
  </si>
  <si>
    <t>SWERVE</t>
  </si>
  <si>
    <t>LABVIEW</t>
  </si>
  <si>
    <t>COPY MATCH RESULTS INTO B3 Thru L3</t>
  </si>
  <si>
    <t>Actual</t>
  </si>
  <si>
    <t>Balls</t>
  </si>
  <si>
    <t>Winner</t>
  </si>
  <si>
    <t>973 Check</t>
  </si>
  <si>
    <t>Predicted Rankings Tallying</t>
  </si>
  <si>
    <t>Day and Time</t>
  </si>
  <si>
    <t>Red</t>
  </si>
  <si>
    <t>Blue</t>
  </si>
  <si>
    <t>Predicted</t>
  </si>
  <si>
    <t xml:space="preserve">Red </t>
  </si>
  <si>
    <t>RP Boost</t>
  </si>
  <si>
    <t>RP Initial</t>
  </si>
  <si>
    <t>MP Boost</t>
  </si>
  <si>
    <t>MP Initial</t>
  </si>
  <si>
    <t>SuperRank Points</t>
  </si>
  <si>
    <t>Sat 3/11 - 9:00 AM</t>
  </si>
  <si>
    <t>Sat 3/11 - 9:09 AM</t>
  </si>
  <si>
    <t>Sat 3/11 - 9:18 AM</t>
  </si>
  <si>
    <t>Sat 3/11 - 9:27 AM</t>
  </si>
  <si>
    <t>Sat 3/11 - 9:36 AM</t>
  </si>
  <si>
    <t>Sat 3/11 - 9:45 AM</t>
  </si>
  <si>
    <t>Sat 3/11 - 9:54 AM</t>
  </si>
  <si>
    <t>Sat 3/11 - 10:03 AM</t>
  </si>
  <si>
    <t>Sat 3/11 - 10:27 AM</t>
  </si>
  <si>
    <t>Sat 3/11 - 10:36 AM</t>
  </si>
  <si>
    <t>Sat 3/11 - 10:45 AM</t>
  </si>
  <si>
    <t>Sat 3/11 - 10:54 AM</t>
  </si>
  <si>
    <t>Sat 3/11 - 11:03 AM</t>
  </si>
  <si>
    <t>Sat 3/11 - 11:12 AM</t>
  </si>
  <si>
    <t>Sat 3/11 - 11:21 AM</t>
  </si>
  <si>
    <t>Sat 3/11 - 11:30 AM</t>
  </si>
  <si>
    <t>Sat 3/11 - 11:39 AM</t>
  </si>
  <si>
    <t>Sat 3/11 - 11:48 AM</t>
  </si>
  <si>
    <t>Sat 3/11 - 11:57 AM</t>
  </si>
  <si>
    <t>Sat 3/11 - 1:06 PM</t>
  </si>
  <si>
    <t>Sat 3/11 - 1:15 PM</t>
  </si>
  <si>
    <t>Sat 3/11 - 1:24 PM</t>
  </si>
  <si>
    <t>Sat 3/11 - 1:33 PM</t>
  </si>
  <si>
    <t>Sat 3/11 - 1:42 PM</t>
  </si>
  <si>
    <t>Sat 3/11 - 1:51 PM</t>
  </si>
  <si>
    <t>Sat 3/11 - 2:00 PM</t>
  </si>
  <si>
    <t>Sat 3/11 - 2:09 PM</t>
  </si>
  <si>
    <t>Sat 3/11 - 2:18 PM</t>
  </si>
  <si>
    <t>Sat 3/11 - 2:27 PM</t>
  </si>
  <si>
    <t>Sat 3/11 - 2:36 PM</t>
  </si>
  <si>
    <t>Sat 3/11 - 2:45 PM</t>
  </si>
  <si>
    <t>Sat 3/11 - 2:54 PM</t>
  </si>
  <si>
    <t>Sat 3/11 - 3:03 PM</t>
  </si>
  <si>
    <t>Sat 3/11 - 3:12 PM</t>
  </si>
  <si>
    <t>Sat 3/11 - 3:21 PM</t>
  </si>
  <si>
    <t>Sat 3/11 - 3:30 PM</t>
  </si>
  <si>
    <t>Sat 3/11 - 3:39 PM</t>
  </si>
  <si>
    <t>Sat 3/11 - 3:48 PM</t>
  </si>
  <si>
    <t>Sat 3/11 - 3:57 PM</t>
  </si>
  <si>
    <t>Sat 3/11 - 4:06 PM</t>
  </si>
  <si>
    <t>Sat 3/11 - 4:15 PM</t>
  </si>
  <si>
    <t>Sat 3/11 - 4:24 PM</t>
  </si>
  <si>
    <t>Sat 3/11 - 4:33 PM</t>
  </si>
  <si>
    <t>Sat 3/11 - 4:42 PM</t>
  </si>
  <si>
    <t>Sat 3/11 - 4:51 PM</t>
  </si>
  <si>
    <t>Sat 3/11 - 5:00 PM</t>
  </si>
  <si>
    <t>Sat 3/11 - 5:09 PM</t>
  </si>
  <si>
    <t>Sat 3/11 - 5:18 PM</t>
  </si>
  <si>
    <t>Sat 3/11 - 5:27 PM</t>
  </si>
  <si>
    <t>OPR</t>
  </si>
  <si>
    <t># Balls</t>
  </si>
  <si>
    <t>Sat 3/11 - 5:36 PM</t>
  </si>
  <si>
    <t>Mobility Points</t>
  </si>
  <si>
    <t>Rotor Points</t>
  </si>
  <si>
    <t>High Balls</t>
  </si>
  <si>
    <t>Low Balls</t>
  </si>
  <si>
    <t>Climb Points</t>
  </si>
  <si>
    <t>Fouls Committed Points</t>
  </si>
  <si>
    <t>Sun 3/12 - 9:00 AM</t>
  </si>
  <si>
    <t>Sun 3/12 - 9:09 AM</t>
  </si>
  <si>
    <t>Sun 3/12 - 9:18 AM</t>
  </si>
  <si>
    <t>Sun 3/12 - 9:27 AM</t>
  </si>
  <si>
    <t>Sun 3/12 - 9:36 AM</t>
  </si>
  <si>
    <t>Sun 3/12 - 9:45 AM</t>
  </si>
  <si>
    <t>Sun 3/12 - 9:54 AM</t>
  </si>
  <si>
    <t>Sun 3/12 - 10:03 AM</t>
  </si>
  <si>
    <t>Sun 3/12 - 10:12 AM</t>
  </si>
  <si>
    <t>Sun 3/12 - 10:21 AM</t>
  </si>
  <si>
    <t>Sun 3/12 - 10:30 AM</t>
  </si>
  <si>
    <t>Sun 3/12 - 10:39 AM</t>
  </si>
  <si>
    <t>Sun 3/12 - 10:48 AM</t>
  </si>
  <si>
    <t>Sun 3/12 - 10:57 AM</t>
  </si>
  <si>
    <t>Sun 3/12 - 11:06 AM</t>
  </si>
  <si>
    <t>Sun 3/12 - 11:15 AM</t>
  </si>
  <si>
    <t>Sun 3/12 - 11:24 AM</t>
  </si>
  <si>
    <t>Drive String</t>
  </si>
  <si>
    <t>Drive Score</t>
  </si>
  <si>
    <t>Layout Values</t>
  </si>
  <si>
    <t>Wheel values</t>
  </si>
  <si>
    <t>6C SH 4WD PNEU</t>
  </si>
  <si>
    <t>6C SH 6WD COLSON</t>
  </si>
  <si>
    <t>treat vex as colons?</t>
  </si>
  <si>
    <t>8WD</t>
  </si>
  <si>
    <t>10WD</t>
  </si>
  <si>
    <t>6C SH 2+2 COLSON</t>
  </si>
  <si>
    <t>TANK</t>
  </si>
  <si>
    <t>4C SH 6WD ROUGH</t>
  </si>
  <si>
    <t>RHINO</t>
  </si>
  <si>
    <t>Shifters</t>
  </si>
  <si>
    <t>4C SH 6WD COLSON</t>
  </si>
  <si>
    <t>6 CIMS</t>
  </si>
  <si>
    <t>4 CIMS</t>
  </si>
  <si>
    <t>2 CIMS</t>
  </si>
  <si>
    <t>6C  6WD ROUGH</t>
  </si>
  <si>
    <t>6C  6WD COLSON</t>
  </si>
  <si>
    <t>4C  6WD ROUGH</t>
  </si>
  <si>
    <t>4C  6WD COLSON</t>
  </si>
  <si>
    <t>4C SH 2+2 MECH</t>
  </si>
  <si>
    <t>6C  6WD OMNI</t>
  </si>
  <si>
    <t>Sun 3/12 - 11:33 AM</t>
  </si>
  <si>
    <t>4C  2+2 OMNI</t>
  </si>
  <si>
    <t>4C  6WD OMNI</t>
  </si>
  <si>
    <t>4C  4WD OMNI</t>
  </si>
  <si>
    <t>2C  SWERVE COLSON</t>
  </si>
  <si>
    <t>4C  4WD MECH</t>
  </si>
  <si>
    <t>4C  KIWI OMNI</t>
  </si>
  <si>
    <t xml:space="preserve">C   </t>
  </si>
  <si>
    <t>Day</t>
  </si>
  <si>
    <t>Red Comment</t>
  </si>
  <si>
    <t>Blue Comment</t>
  </si>
  <si>
    <t>Auto Gear Value</t>
  </si>
  <si>
    <t>Tele Gear Value 1</t>
  </si>
  <si>
    <t>Tele Gear Value 2</t>
  </si>
  <si>
    <t>Event Code</t>
  </si>
  <si>
    <t>Sun 3/12 - 11:42 AM</t>
  </si>
  <si>
    <t>cama</t>
  </si>
  <si>
    <t>System ID</t>
  </si>
  <si>
    <t>Sun 3/12 - 11:51 AM</t>
  </si>
  <si>
    <t>1VqxI6X611e9zk0WBG3psbSUEPYxiicuchhgJj6_7rEg</t>
  </si>
  <si>
    <t>Elims ID</t>
  </si>
  <si>
    <t>Sun 3/12 - 12:00 PM</t>
  </si>
  <si>
    <t>1I_RgaC2DEmW_06Cft1RfAdux_nkxjbUcaeCTk4Xq52Q</t>
  </si>
  <si>
    <t># of matches</t>
  </si>
  <si>
    <t>cOPR Doc</t>
  </si>
  <si>
    <t>1cBVGjiLn4VsQ68tu1MpgHMiyKp4n_cB4xaTeJvF4UwA/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</si>
</sst>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"/>
    <numFmt numFmtId="165" formatCode="#,##0.###############"/>
    <numFmt numFmtId="166" formatCode="0.0"/>
    <numFmt numFmtId="167" formatCode="m/d/yyyy h:mm:ss"/>
  </numFmts>
  <fonts count="20">
    <font>
      <sz val="10.0"/>
      <color rgb="FF000000"/>
      <name val="Arial"/>
    </font>
    <font>
      <b/>
      <sz val="10.0"/>
    </font>
    <font>
      <b/>
      <sz val="11.0"/>
      <color rgb="FF000000"/>
      <name val="Calibri"/>
    </font>
    <font/>
    <font>
      <b/>
      <sz val="11.0"/>
      <color rgb="FF000000"/>
    </font>
    <font>
      <b/>
      <sz val="11.0"/>
      <color rgb="FF000000"/>
      <name val="Arial"/>
    </font>
    <font>
      <b/>
      <sz val="11.0"/>
    </font>
    <font>
      <b/>
      <sz val="11.0"/>
      <name val="Arial"/>
    </font>
    <font>
      <b/>
      <name val="Arial"/>
    </font>
    <font>
      <sz val="11.0"/>
      <color rgb="FF000000"/>
      <name val="Calibri"/>
    </font>
    <font>
      <sz val="11.0"/>
      <name val="Arial"/>
    </font>
    <font>
      <b/>
      <strike/>
      <sz val="10.0"/>
    </font>
    <font>
      <sz val="11.0"/>
      <color rgb="FF333333"/>
      <name val="&quot;Helvetica Neue&quot;"/>
    </font>
    <font>
      <b/>
    </font>
    <font>
      <u/>
      <sz val="11.0"/>
      <color rgb="FF337AB7"/>
      <name val="&quot;Helvetica Neue&quot;"/>
    </font>
    <font>
      <sz val="11.0"/>
      <color rgb="FFFF0000"/>
      <name val="&quot;Helvetica Neue&quot;"/>
    </font>
    <font>
      <sz val="11.0"/>
      <color rgb="FF0000FF"/>
      <name val="&quot;Helvetica Neue&quot;"/>
    </font>
    <font>
      <u/>
      <color rgb="FF0000FF"/>
    </font>
    <font>
      <b/>
      <sz val="10.0"/>
      <color rgb="FF000000"/>
    </font>
    <font>
      <sz val="10.0"/>
    </font>
  </fonts>
  <fills count="1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2DEDE"/>
        <bgColor rgb="FFF2DEDE"/>
      </patternFill>
    </fill>
    <fill>
      <patternFill patternType="solid">
        <fgColor rgb="FFD9EDF7"/>
        <bgColor rgb="FFD9EDF7"/>
      </patternFill>
    </fill>
    <fill>
      <patternFill patternType="solid">
        <fgColor rgb="FFA4C2F4"/>
        <bgColor rgb="FFA4C2F4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1" fillId="3" fontId="2" numFmtId="0" xfId="0" applyAlignment="1" applyBorder="1" applyFill="1" applyFont="1">
      <alignment horizontal="center" vertical="center" wrapText="1"/>
    </xf>
    <xf borderId="1" fillId="3" fontId="2" numFmtId="0" xfId="0" applyAlignment="1" applyBorder="1" applyFont="1">
      <alignment horizontal="center" readingOrder="1" vertical="center" wrapText="1"/>
    </xf>
    <xf borderId="2" fillId="3" fontId="2" numFmtId="164" xfId="0" applyAlignment="1" applyBorder="1" applyFont="1" applyNumberFormat="1">
      <alignment horizontal="center" vertical="center" wrapText="1"/>
    </xf>
    <xf borderId="3" fillId="3" fontId="2" numFmtId="164" xfId="0" applyAlignment="1" applyBorder="1" applyFont="1" applyNumberFormat="1">
      <alignment horizontal="center" readingOrder="1" vertical="center" wrapText="1"/>
    </xf>
    <xf borderId="1" fillId="2" fontId="2" numFmtId="0" xfId="0" applyAlignment="1" applyBorder="1" applyFont="1">
      <alignment horizontal="center" vertical="center" wrapText="1"/>
    </xf>
    <xf borderId="4" fillId="0" fontId="3" numFmtId="0" xfId="0" applyBorder="1" applyFont="1"/>
    <xf borderId="5" fillId="2" fontId="2" numFmtId="0" xfId="0" applyAlignment="1" applyBorder="1" applyFont="1">
      <alignment horizontal="center" vertical="center" wrapText="1"/>
    </xf>
    <xf borderId="3" fillId="4" fontId="2" numFmtId="164" xfId="0" applyAlignment="1" applyBorder="1" applyFill="1" applyFont="1" applyNumberFormat="1">
      <alignment horizontal="center" readingOrder="1" vertical="center" wrapText="1"/>
    </xf>
    <xf borderId="6" fillId="5" fontId="2" numFmtId="0" xfId="0" applyAlignment="1" applyBorder="1" applyFill="1" applyFont="1">
      <alignment horizontal="center" vertical="center" wrapText="1"/>
    </xf>
    <xf borderId="2" fillId="4" fontId="2" numFmtId="164" xfId="0" applyAlignment="1" applyBorder="1" applyFont="1" applyNumberFormat="1">
      <alignment horizontal="center" readingOrder="1" vertical="center" wrapText="1"/>
    </xf>
    <xf borderId="2" fillId="0" fontId="3" numFmtId="0" xfId="0" applyBorder="1" applyFont="1"/>
    <xf borderId="2" fillId="4" fontId="2" numFmtId="164" xfId="0" applyAlignment="1" applyBorder="1" applyFont="1" applyNumberFormat="1">
      <alignment horizontal="center" vertical="center" wrapText="1"/>
    </xf>
    <xf borderId="1" fillId="4" fontId="2" numFmtId="164" xfId="0" applyAlignment="1" applyBorder="1" applyFont="1" applyNumberFormat="1">
      <alignment horizontal="center" readingOrder="1" vertical="center" wrapText="1"/>
    </xf>
    <xf borderId="7" fillId="4" fontId="2" numFmtId="164" xfId="0" applyAlignment="1" applyBorder="1" applyFont="1" applyNumberFormat="1">
      <alignment horizontal="center" vertical="center" wrapText="1"/>
    </xf>
    <xf borderId="6" fillId="0" fontId="3" numFmtId="0" xfId="0" applyBorder="1" applyFont="1"/>
    <xf borderId="8" fillId="2" fontId="2" numFmtId="0" xfId="0" applyAlignment="1" applyBorder="1" applyFont="1">
      <alignment horizontal="center" vertical="center" wrapText="1"/>
    </xf>
    <xf borderId="3" fillId="3" fontId="4" numFmtId="0" xfId="0" applyAlignment="1" applyBorder="1" applyFont="1">
      <alignment horizontal="center" readingOrder="1" vertical="center" wrapText="1"/>
    </xf>
    <xf borderId="0" fillId="2" fontId="2" numFmtId="0" xfId="0" applyAlignment="1" applyFont="1">
      <alignment horizontal="center" vertical="center" wrapText="1"/>
    </xf>
    <xf borderId="5" fillId="4" fontId="2" numFmtId="164" xfId="0" applyAlignment="1" applyBorder="1" applyFont="1" applyNumberFormat="1">
      <alignment horizontal="center" readingOrder="1" vertical="center" wrapText="1"/>
    </xf>
    <xf borderId="1" fillId="2" fontId="2" numFmtId="0" xfId="0" applyAlignment="1" applyBorder="1" applyFont="1">
      <alignment horizontal="center" vertical="center" wrapText="1"/>
    </xf>
    <xf borderId="2" fillId="3" fontId="5" numFmtId="0" xfId="0" applyAlignment="1" applyBorder="1" applyFont="1">
      <alignment horizontal="center" vertical="center" wrapText="1"/>
    </xf>
    <xf borderId="8" fillId="3" fontId="1" numFmtId="0" xfId="0" applyAlignment="1" applyBorder="1" applyFont="1">
      <alignment horizontal="center" vertical="center" wrapText="1"/>
    </xf>
    <xf borderId="7" fillId="0" fontId="3" numFmtId="0" xfId="0" applyBorder="1" applyFont="1"/>
    <xf borderId="1" fillId="3" fontId="1" numFmtId="0" xfId="0" applyAlignment="1" applyBorder="1" applyFont="1">
      <alignment horizontal="center" vertical="center" wrapText="1"/>
    </xf>
    <xf borderId="1" fillId="3" fontId="2" numFmtId="164" xfId="0" applyAlignment="1" applyBorder="1" applyFont="1" applyNumberFormat="1">
      <alignment horizontal="center" readingOrder="1" vertical="center" wrapText="1"/>
    </xf>
    <xf borderId="1" fillId="3" fontId="1" numFmtId="3" xfId="0" applyAlignment="1" applyBorder="1" applyFont="1" applyNumberFormat="1">
      <alignment horizontal="center" vertical="center" wrapText="1"/>
    </xf>
    <xf borderId="9" fillId="0" fontId="3" numFmtId="0" xfId="0" applyBorder="1" applyFont="1"/>
    <xf borderId="3" fillId="3" fontId="1" numFmtId="0" xfId="0" applyAlignment="1" applyBorder="1" applyFont="1">
      <alignment horizontal="center" vertical="center" wrapText="1"/>
    </xf>
    <xf borderId="10" fillId="3" fontId="2" numFmtId="164" xfId="0" applyAlignment="1" applyBorder="1" applyFont="1" applyNumberFormat="1">
      <alignment horizontal="center" readingOrder="1" vertical="center" wrapText="1"/>
    </xf>
    <xf borderId="1" fillId="3" fontId="5" numFmtId="0" xfId="0" applyAlignment="1" applyBorder="1" applyFont="1">
      <alignment horizontal="center" vertical="center" wrapText="1"/>
    </xf>
    <xf borderId="10" fillId="4" fontId="2" numFmtId="164" xfId="0" applyAlignment="1" applyBorder="1" applyFont="1" applyNumberFormat="1">
      <alignment horizontal="center" readingOrder="1" vertical="center" wrapText="1"/>
    </xf>
    <xf borderId="11" fillId="0" fontId="3" numFmtId="0" xfId="0" applyBorder="1" applyFont="1"/>
    <xf borderId="4" fillId="4" fontId="2" numFmtId="164" xfId="0" applyAlignment="1" applyBorder="1" applyFont="1" applyNumberFormat="1">
      <alignment horizontal="center" readingOrder="1" vertical="center" wrapText="1"/>
    </xf>
    <xf borderId="12" fillId="3" fontId="2" numFmtId="164" xfId="0" applyAlignment="1" applyBorder="1" applyFont="1" applyNumberFormat="1">
      <alignment horizontal="center" vertical="center" wrapText="1"/>
    </xf>
    <xf borderId="10" fillId="3" fontId="6" numFmtId="0" xfId="0" applyAlignment="1" applyBorder="1" applyFont="1">
      <alignment horizontal="center" vertical="center" wrapText="1"/>
    </xf>
    <xf borderId="12" fillId="4" fontId="2" numFmtId="164" xfId="0" applyAlignment="1" applyBorder="1" applyFont="1" applyNumberFormat="1">
      <alignment horizontal="center" vertical="center" wrapText="1"/>
    </xf>
    <xf borderId="11" fillId="2" fontId="2" numFmtId="0" xfId="0" applyAlignment="1" applyBorder="1" applyFont="1">
      <alignment horizontal="center" vertical="center" wrapText="1"/>
    </xf>
    <xf borderId="12" fillId="0" fontId="3" numFmtId="0" xfId="0" applyBorder="1" applyFont="1"/>
    <xf borderId="10" fillId="3" fontId="6" numFmtId="165" xfId="0" applyAlignment="1" applyBorder="1" applyFont="1" applyNumberFormat="1">
      <alignment horizontal="center" vertical="center" wrapText="1"/>
    </xf>
    <xf borderId="12" fillId="3" fontId="7" numFmtId="0" xfId="0" applyAlignment="1" applyBorder="1" applyFont="1">
      <alignment horizontal="center" vertical="center" wrapText="1"/>
    </xf>
    <xf borderId="10" fillId="3" fontId="1" numFmtId="0" xfId="0" applyAlignment="1" applyBorder="1" applyFont="1">
      <alignment horizontal="center" vertical="center"/>
    </xf>
    <xf borderId="8" fillId="5" fontId="2" numFmtId="0" xfId="0" applyAlignment="1" applyBorder="1" applyFont="1">
      <alignment horizontal="center" vertical="center" wrapText="1"/>
    </xf>
    <xf borderId="12" fillId="3" fontId="7" numFmtId="165" xfId="0" applyAlignment="1" applyBorder="1" applyFont="1" applyNumberFormat="1">
      <alignment horizontal="center" vertical="center" wrapText="1"/>
    </xf>
    <xf borderId="8" fillId="0" fontId="3" numFmtId="0" xfId="0" applyBorder="1" applyFont="1"/>
    <xf borderId="9" fillId="3" fontId="8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 wrapText="1"/>
    </xf>
    <xf borderId="10" fillId="3" fontId="9" numFmtId="164" xfId="0" applyAlignment="1" applyBorder="1" applyFont="1" applyNumberFormat="1">
      <alignment horizontal="center" readingOrder="1" vertical="center"/>
    </xf>
    <xf borderId="10" fillId="2" fontId="1" numFmtId="0" xfId="0" applyAlignment="1" applyBorder="1" applyFont="1">
      <alignment horizontal="center"/>
    </xf>
    <xf borderId="10" fillId="2" fontId="2" numFmtId="0" xfId="0" applyAlignment="1" applyBorder="1" applyFont="1">
      <alignment horizontal="center"/>
    </xf>
    <xf borderId="12" fillId="3" fontId="9" numFmtId="164" xfId="0" applyAlignment="1" applyBorder="1" applyFont="1" applyNumberFormat="1">
      <alignment horizontal="center" vertical="center"/>
    </xf>
    <xf borderId="10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 vertical="top"/>
    </xf>
    <xf borderId="10" fillId="2" fontId="9" numFmtId="0" xfId="0" applyAlignment="1" applyBorder="1" applyFont="1">
      <alignment horizontal="center"/>
    </xf>
    <xf borderId="10" fillId="5" fontId="9" numFmtId="0" xfId="0" applyAlignment="1" applyBorder="1" applyFont="1">
      <alignment horizontal="center"/>
    </xf>
    <xf borderId="12" fillId="4" fontId="9" numFmtId="164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10" fillId="4" fontId="9" numFmtId="164" xfId="0" applyAlignment="1" applyBorder="1" applyFont="1" applyNumberFormat="1">
      <alignment horizontal="center" readingOrder="1" vertical="center"/>
    </xf>
    <xf borderId="10" fillId="3" fontId="3" numFmtId="3" xfId="0" applyAlignment="1" applyBorder="1" applyFont="1" applyNumberFormat="1">
      <alignment horizontal="center"/>
    </xf>
    <xf borderId="10" fillId="3" fontId="3" numFmtId="0" xfId="0" applyAlignment="1" applyBorder="1" applyFont="1">
      <alignment horizontal="center"/>
    </xf>
    <xf borderId="11" fillId="3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vertical="center"/>
    </xf>
    <xf borderId="10" fillId="3" fontId="9" numFmtId="164" xfId="0" applyAlignment="1" applyBorder="1" applyFont="1" applyNumberFormat="1">
      <alignment horizontal="center" vertical="center"/>
    </xf>
    <xf borderId="10" fillId="3" fontId="3" numFmtId="166" xfId="0" applyAlignment="1" applyBorder="1" applyFont="1" applyNumberFormat="1">
      <alignment horizontal="center" vertical="center"/>
    </xf>
    <xf borderId="10" fillId="6" fontId="1" numFmtId="0" xfId="0" applyAlignment="1" applyBorder="1" applyFill="1" applyFont="1">
      <alignment horizontal="center"/>
    </xf>
    <xf borderId="10" fillId="6" fontId="2" numFmtId="0" xfId="0" applyAlignment="1" applyBorder="1" applyFont="1">
      <alignment horizontal="center"/>
    </xf>
    <xf borderId="10" fillId="6" fontId="9" numFmtId="0" xfId="0" applyAlignment="1" applyBorder="1" applyFont="1">
      <alignment horizontal="center"/>
    </xf>
    <xf borderId="10" fillId="7" fontId="1" numFmtId="0" xfId="0" applyAlignment="1" applyBorder="1" applyFill="1" applyFont="1">
      <alignment horizontal="center"/>
    </xf>
    <xf borderId="10" fillId="8" fontId="1" numFmtId="0" xfId="0" applyAlignment="1" applyBorder="1" applyFill="1" applyFont="1">
      <alignment horizontal="center"/>
    </xf>
    <xf borderId="10" fillId="3" fontId="2" numFmtId="0" xfId="0" applyAlignment="1" applyBorder="1" applyFont="1">
      <alignment horizontal="center" readingOrder="1" vertical="center"/>
    </xf>
    <xf borderId="9" fillId="3" fontId="2" numFmtId="0" xfId="0" applyAlignment="1" applyBorder="1" applyFont="1">
      <alignment horizontal="center" vertical="center"/>
    </xf>
    <xf borderId="9" fillId="3" fontId="10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center"/>
    </xf>
    <xf borderId="13" fillId="0" fontId="3" numFmtId="0" xfId="0" applyBorder="1" applyFont="1"/>
    <xf borderId="14" fillId="0" fontId="1" numFmtId="0" xfId="0" applyAlignment="1" applyBorder="1" applyFont="1">
      <alignment horizontal="center"/>
    </xf>
    <xf borderId="3" fillId="3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 wrapText="1"/>
    </xf>
    <xf borderId="10" fillId="2" fontId="1" numFmtId="165" xfId="0" applyAlignment="1" applyBorder="1" applyFont="1" applyNumberFormat="1">
      <alignment horizontal="center"/>
    </xf>
    <xf borderId="10" fillId="2" fontId="1" numFmtId="0" xfId="0" applyAlignment="1" applyBorder="1" applyFont="1">
      <alignment horizontal="center"/>
    </xf>
    <xf borderId="10" fillId="3" fontId="1" numFmtId="0" xfId="0" applyAlignment="1" applyBorder="1" applyFont="1">
      <alignment horizontal="center"/>
    </xf>
    <xf borderId="10" fillId="3" fontId="1" numFmtId="3" xfId="0" applyAlignment="1" applyBorder="1" applyFont="1" applyNumberFormat="1">
      <alignment horizontal="center"/>
    </xf>
    <xf borderId="10" fillId="2" fontId="1" numFmtId="0" xfId="0" applyAlignment="1" applyBorder="1" applyFont="1">
      <alignment horizontal="center"/>
    </xf>
    <xf borderId="10" fillId="3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3" numFmtId="0" xfId="0" applyAlignment="1" applyFont="1">
      <alignment horizontal="center"/>
    </xf>
    <xf borderId="10" fillId="2" fontId="2" numFmtId="0" xfId="0" applyAlignment="1" applyBorder="1" applyFont="1">
      <alignment horizontal="center"/>
    </xf>
    <xf borderId="10" fillId="2" fontId="2" numFmtId="0" xfId="0" applyAlignment="1" applyBorder="1" applyFont="1">
      <alignment horizontal="center" readingOrder="1"/>
    </xf>
    <xf borderId="10" fillId="3" fontId="2" numFmtId="0" xfId="0" applyAlignment="1" applyBorder="1" applyFont="1">
      <alignment horizontal="center" readingOrder="1" vertical="center"/>
    </xf>
    <xf borderId="0" fillId="9" fontId="12" numFmtId="0" xfId="0" applyAlignment="1" applyFill="1" applyFont="1">
      <alignment horizontal="center" vertical="top"/>
    </xf>
    <xf borderId="0" fillId="10" fontId="12" numFmtId="0" xfId="0" applyAlignment="1" applyFill="1" applyFont="1">
      <alignment horizontal="center" vertical="top"/>
    </xf>
    <xf borderId="0" fillId="3" fontId="3" numFmtId="0" xfId="0" applyAlignment="1" applyFont="1">
      <alignment/>
    </xf>
    <xf borderId="0" fillId="0" fontId="3" numFmtId="0" xfId="0" applyAlignment="1" applyFont="1">
      <alignment/>
    </xf>
    <xf borderId="0" fillId="0" fontId="3" numFmtId="3" xfId="0" applyAlignment="1" applyFont="1" applyNumberFormat="1">
      <alignment/>
    </xf>
    <xf borderId="0" fillId="0" fontId="3" numFmtId="3" xfId="0" applyFont="1" applyNumberFormat="1"/>
    <xf borderId="11" fillId="0" fontId="3" numFmtId="0" xfId="0" applyAlignment="1" applyBorder="1" applyFont="1">
      <alignment horizontal="center" wrapText="1"/>
    </xf>
    <xf borderId="5" fillId="3" fontId="1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wrapText="1"/>
    </xf>
    <xf borderId="7" fillId="0" fontId="3" numFmtId="0" xfId="0" applyAlignment="1" applyBorder="1" applyFont="1">
      <alignment wrapText="1"/>
    </xf>
    <xf borderId="1" fillId="3" fontId="13" numFmtId="0" xfId="0" applyAlignment="1" applyBorder="1" applyFont="1">
      <alignment horizontal="center" vertical="center" wrapText="1"/>
    </xf>
    <xf borderId="14" fillId="0" fontId="3" numFmtId="0" xfId="0" applyAlignment="1" applyBorder="1" applyFont="1">
      <alignment wrapText="1"/>
    </xf>
    <xf borderId="15" fillId="0" fontId="3" numFmtId="0" xfId="0" applyBorder="1" applyFont="1"/>
    <xf borderId="14" fillId="0" fontId="3" numFmtId="0" xfId="0" applyAlignment="1" applyBorder="1" applyFont="1">
      <alignment wrapText="1"/>
    </xf>
    <xf borderId="11" fillId="0" fontId="3" numFmtId="0" xfId="0" applyAlignment="1" applyBorder="1" applyFont="1">
      <alignment horizontal="center"/>
    </xf>
    <xf borderId="3" fillId="6" fontId="1" numFmtId="0" xfId="0" applyAlignment="1" applyBorder="1" applyFont="1">
      <alignment horizontal="center"/>
    </xf>
    <xf borderId="3" fillId="6" fontId="1" numFmtId="0" xfId="0" applyAlignment="1" applyBorder="1" applyFont="1">
      <alignment horizontal="center"/>
    </xf>
    <xf borderId="8" fillId="0" fontId="3" numFmtId="0" xfId="0" applyAlignment="1" applyBorder="1" applyFont="1">
      <alignment/>
    </xf>
    <xf borderId="14" fillId="0" fontId="3" numFmtId="0" xfId="0" applyAlignment="1" applyBorder="1" applyFont="1">
      <alignment/>
    </xf>
    <xf borderId="10" fillId="6" fontId="1" numFmtId="0" xfId="0" applyAlignment="1" applyBorder="1" applyFont="1">
      <alignment horizontal="center" vertical="center"/>
    </xf>
    <xf borderId="10" fillId="6" fontId="13" numFmtId="0" xfId="0" applyAlignment="1" applyBorder="1" applyFont="1">
      <alignment horizontal="center" vertical="center"/>
    </xf>
    <xf borderId="14" fillId="0" fontId="3" numFmtId="0" xfId="0" applyBorder="1" applyFont="1"/>
    <xf borderId="8" fillId="0" fontId="3" numFmtId="0" xfId="0" applyAlignment="1" applyBorder="1" applyFont="1">
      <alignment horizontal="center"/>
    </xf>
    <xf borderId="2" fillId="0" fontId="3" numFmtId="0" xfId="0" applyAlignment="1" applyBorder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6" fillId="0" fontId="3" numFmtId="0" xfId="0" applyAlignment="1" applyBorder="1" applyFont="1">
      <alignment/>
    </xf>
    <xf borderId="10" fillId="3" fontId="1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10" fillId="2" fontId="8" numFmtId="0" xfId="0" applyAlignment="1" applyBorder="1" applyFont="1">
      <alignment horizontal="center"/>
    </xf>
    <xf borderId="4" fillId="2" fontId="8" numFmtId="0" xfId="0" applyAlignment="1" applyBorder="1" applyFont="1">
      <alignment horizontal="center"/>
    </xf>
    <xf borderId="9" fillId="2" fontId="8" numFmtId="0" xfId="0" applyAlignment="1" applyBorder="1" applyFont="1">
      <alignment horizontal="center"/>
    </xf>
    <xf borderId="12" fillId="2" fontId="8" numFmtId="0" xfId="0" applyAlignment="1" applyBorder="1" applyFont="1">
      <alignment horizontal="center"/>
    </xf>
    <xf borderId="10" fillId="3" fontId="1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1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8" fontId="1" numFmtId="0" xfId="0" applyAlignment="1" applyBorder="1" applyFont="1">
      <alignment horizontal="center"/>
    </xf>
    <xf borderId="0" fillId="10" fontId="1" numFmtId="0" xfId="0" applyAlignment="1" applyFont="1">
      <alignment horizontal="center"/>
    </xf>
    <xf borderId="10" fillId="7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10" fillId="8" fontId="1" numFmtId="0" xfId="0" applyAlignment="1" applyBorder="1" applyFont="1">
      <alignment horizontal="center"/>
    </xf>
    <xf borderId="0" fillId="0" fontId="3" numFmtId="0" xfId="0" applyFont="1"/>
    <xf borderId="10" fillId="7" fontId="1" numFmtId="0" xfId="0" applyAlignment="1" applyBorder="1" applyFont="1">
      <alignment horizontal="center"/>
    </xf>
    <xf borderId="13" fillId="0" fontId="1" numFmtId="0" xfId="0" applyAlignment="1" applyBorder="1" applyFont="1">
      <alignment/>
    </xf>
    <xf borderId="6" fillId="10" fontId="3" numFmtId="0" xfId="0" applyAlignment="1" applyBorder="1" applyFont="1">
      <alignment horizontal="center"/>
    </xf>
    <xf borderId="0" fillId="10" fontId="3" numFmtId="0" xfId="0" applyAlignment="1" applyFont="1">
      <alignment horizontal="center"/>
    </xf>
    <xf borderId="0" fillId="0" fontId="14" numFmtId="0" xfId="0" applyAlignment="1" applyFont="1">
      <alignment horizontal="center" vertical="top"/>
    </xf>
    <xf borderId="0" fillId="9" fontId="12" numFmtId="0" xfId="0" applyAlignment="1" applyFont="1">
      <alignment horizontal="left" vertical="top"/>
    </xf>
    <xf borderId="0" fillId="11" fontId="12" numFmtId="0" xfId="0" applyAlignment="1" applyFill="1" applyFont="1">
      <alignment horizontal="center" vertical="top"/>
    </xf>
    <xf borderId="0" fillId="12" fontId="12" numFmtId="0" xfId="0" applyAlignment="1" applyFill="1" applyFont="1">
      <alignment horizontal="center" vertical="top"/>
    </xf>
    <xf borderId="0" fillId="9" fontId="15" numFmtId="0" xfId="0" applyAlignment="1" applyFont="1">
      <alignment horizontal="center" vertical="top"/>
    </xf>
    <xf borderId="0" fillId="9" fontId="16" numFmtId="0" xfId="0" applyAlignment="1" applyFont="1">
      <alignment horizontal="center" vertical="top"/>
    </xf>
    <xf borderId="0" fillId="10" fontId="12" numFmtId="0" xfId="0" applyAlignment="1" applyFont="1">
      <alignment horizontal="left" vertical="top"/>
    </xf>
    <xf borderId="0" fillId="10" fontId="15" numFmtId="0" xfId="0" applyAlignment="1" applyFont="1">
      <alignment horizontal="center" vertical="top"/>
    </xf>
    <xf borderId="0" fillId="10" fontId="16" numFmtId="0" xfId="0" applyAlignment="1" applyFont="1">
      <alignment horizontal="center" vertical="top"/>
    </xf>
    <xf borderId="0" fillId="10" fontId="15" numFmtId="0" xfId="0" applyAlignment="1" applyFont="1">
      <alignment horizontal="center" vertical="top"/>
    </xf>
    <xf borderId="0" fillId="10" fontId="16" numFmtId="0" xfId="0" applyAlignment="1" applyFont="1">
      <alignment horizontal="center" vertical="top"/>
    </xf>
    <xf borderId="0" fillId="9" fontId="15" numFmtId="0" xfId="0" applyAlignment="1" applyFont="1">
      <alignment horizontal="center" vertical="top"/>
    </xf>
    <xf borderId="0" fillId="9" fontId="16" numFmtId="0" xfId="0" applyAlignment="1" applyFont="1">
      <alignment horizontal="center" vertical="top"/>
    </xf>
    <xf borderId="0" fillId="0" fontId="13" numFmtId="0" xfId="0" applyAlignment="1" applyFont="1">
      <alignment/>
    </xf>
    <xf borderId="0" fillId="2" fontId="3" numFmtId="0" xfId="0" applyAlignment="1" applyFont="1">
      <alignment/>
    </xf>
    <xf borderId="0" fillId="0" fontId="3" numFmtId="14" xfId="0" applyAlignment="1" applyFont="1" applyNumberFormat="1">
      <alignment/>
    </xf>
    <xf borderId="0" fillId="0" fontId="17" numFmtId="0" xfId="0" applyAlignment="1" applyFont="1">
      <alignment/>
    </xf>
    <xf borderId="0" fillId="4" fontId="3" numFmtId="0" xfId="0" applyAlignment="1" applyFont="1">
      <alignment/>
    </xf>
    <xf borderId="0" fillId="4" fontId="3" numFmtId="0" xfId="0" applyFont="1"/>
    <xf borderId="0" fillId="0" fontId="3" numFmtId="167" xfId="0" applyAlignment="1" applyFont="1" applyNumberFormat="1">
      <alignment/>
    </xf>
    <xf borderId="3" fillId="2" fontId="18" numFmtId="0" xfId="0" applyAlignment="1" applyBorder="1" applyFont="1">
      <alignment horizontal="center" vertical="center" wrapText="1"/>
    </xf>
    <xf borderId="3" fillId="2" fontId="1" numFmtId="0" xfId="0" applyAlignment="1" applyBorder="1" applyFont="1">
      <alignment horizontal="center" vertical="center" wrapText="1"/>
    </xf>
    <xf borderId="3" fillId="3" fontId="18" numFmtId="3" xfId="0" applyAlignment="1" applyBorder="1" applyFont="1" applyNumberFormat="1">
      <alignment horizontal="center" vertical="center" wrapText="1"/>
    </xf>
    <xf borderId="11" fillId="0" fontId="1" numFmtId="0" xfId="0" applyAlignment="1" applyBorder="1" applyFont="1">
      <alignment horizontal="center" vertical="center" wrapText="1"/>
    </xf>
    <xf borderId="3" fillId="3" fontId="1" numFmtId="3" xfId="0" applyAlignment="1" applyBorder="1" applyFont="1" applyNumberFormat="1">
      <alignment horizontal="center" vertical="center" wrapText="1"/>
    </xf>
    <xf borderId="10" fillId="2" fontId="18" numFmtId="0" xfId="0" applyAlignment="1" applyBorder="1" applyFont="1">
      <alignment horizontal="center" vertical="center" wrapText="1"/>
    </xf>
    <xf borderId="10" fillId="2" fontId="13" numFmtId="0" xfId="0" applyAlignment="1" applyBorder="1" applyFont="1">
      <alignment horizontal="center" vertical="center" wrapText="1"/>
    </xf>
    <xf borderId="10" fillId="3" fontId="18" numFmtId="3" xfId="0" applyAlignment="1" applyBorder="1" applyFont="1" applyNumberFormat="1">
      <alignment horizontal="center" vertical="center" wrapText="1"/>
    </xf>
    <xf borderId="10" fillId="3" fontId="1" numFmtId="3" xfId="0" applyAlignment="1" applyBorder="1" applyFont="1" applyNumberFormat="1">
      <alignment horizontal="center" vertical="center" wrapText="1"/>
    </xf>
    <xf borderId="10" fillId="2" fontId="13" numFmtId="0" xfId="0" applyAlignment="1" applyBorder="1" applyFont="1">
      <alignment horizontal="left" vertical="center"/>
    </xf>
    <xf borderId="10" fillId="8" fontId="1" numFmtId="0" xfId="0" applyAlignment="1" applyBorder="1" applyFont="1">
      <alignment horizontal="center"/>
    </xf>
    <xf borderId="10" fillId="7" fontId="1" numFmtId="0" xfId="0" applyAlignment="1" applyBorder="1" applyFont="1">
      <alignment horizontal="center"/>
    </xf>
    <xf borderId="10" fillId="8" fontId="1" numFmtId="0" xfId="0" applyAlignment="1" applyBorder="1" applyFont="1">
      <alignment horizontal="center"/>
    </xf>
    <xf borderId="10" fillId="7" fontId="1" numFmtId="0" xfId="0" applyAlignment="1" applyBorder="1" applyFont="1">
      <alignment horizontal="center"/>
    </xf>
    <xf borderId="10" fillId="8" fontId="1" numFmtId="3" xfId="0" applyAlignment="1" applyBorder="1" applyFont="1" applyNumberFormat="1">
      <alignment horizontal="center"/>
    </xf>
    <xf borderId="10" fillId="7" fontId="1" numFmtId="3" xfId="0" applyAlignment="1" applyBorder="1" applyFont="1" applyNumberFormat="1">
      <alignment horizontal="center"/>
    </xf>
    <xf borderId="10" fillId="8" fontId="1" numFmtId="166" xfId="0" applyAlignment="1" applyBorder="1" applyFont="1" applyNumberFormat="1">
      <alignment horizontal="center"/>
    </xf>
    <xf borderId="10" fillId="3" fontId="1" numFmtId="3" xfId="0" applyAlignment="1" applyBorder="1" applyFont="1" applyNumberFormat="1">
      <alignment horizontal="center"/>
    </xf>
    <xf borderId="10" fillId="8" fontId="18" numFmtId="0" xfId="0" applyAlignment="1" applyBorder="1" applyFont="1">
      <alignment horizontal="center"/>
    </xf>
    <xf borderId="0" fillId="3" fontId="13" numFmtId="0" xfId="0" applyAlignment="1" applyFont="1">
      <alignment horizontal="center" vertical="center"/>
    </xf>
    <xf borderId="0" fillId="4" fontId="13" numFmtId="0" xfId="0" applyAlignment="1" applyFont="1">
      <alignment horizontal="center" vertical="center"/>
    </xf>
    <xf borderId="0" fillId="3" fontId="13" numFmtId="0" xfId="0" applyAlignment="1" applyFont="1">
      <alignment horizontal="center"/>
    </xf>
    <xf borderId="0" fillId="4" fontId="13" numFmtId="0" xfId="0" applyAlignment="1" applyFont="1">
      <alignment horizontal="center"/>
    </xf>
    <xf borderId="0" fillId="3" fontId="13" numFmtId="0" xfId="0" applyAlignment="1" applyFont="1">
      <alignment wrapText="1"/>
    </xf>
    <xf borderId="10" fillId="3" fontId="13" numFmtId="0" xfId="0" applyAlignment="1" applyBorder="1" applyFont="1">
      <alignment horizontal="center" vertical="center" wrapText="1"/>
    </xf>
    <xf borderId="10" fillId="4" fontId="13" numFmtId="0" xfId="0" applyAlignment="1" applyBorder="1" applyFont="1">
      <alignment horizontal="center" vertical="center" wrapText="1"/>
    </xf>
    <xf borderId="10" fillId="3" fontId="13" numFmtId="0" xfId="0" applyAlignment="1" applyBorder="1" applyFont="1">
      <alignment horizontal="center" wrapText="1"/>
    </xf>
    <xf borderId="10" fillId="4" fontId="13" numFmtId="0" xfId="0" applyAlignment="1" applyBorder="1" applyFont="1">
      <alignment horizontal="center" wrapText="1"/>
    </xf>
    <xf borderId="10" fillId="3" fontId="3" numFmtId="0" xfId="0" applyAlignment="1" applyBorder="1" applyFont="1">
      <alignment horizontal="center"/>
    </xf>
    <xf borderId="10" fillId="4" fontId="3" numFmtId="0" xfId="0" applyAlignment="1" applyBorder="1" applyFont="1">
      <alignment horizontal="center"/>
    </xf>
    <xf borderId="10" fillId="3" fontId="3" numFmtId="0" xfId="0" applyAlignment="1" applyBorder="1" applyFont="1">
      <alignment horizontal="center"/>
    </xf>
    <xf borderId="10" fillId="8" fontId="1" numFmtId="0" xfId="0" applyAlignment="1" applyBorder="1" applyFont="1">
      <alignment horizontal="center"/>
    </xf>
    <xf borderId="10" fillId="7" fontId="1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0" fillId="3" fontId="3" numFmtId="0" xfId="0" applyAlignment="1" applyFont="1">
      <alignment horizontal="center"/>
    </xf>
    <xf borderId="0" fillId="4" fontId="13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3" fontId="3" numFmtId="0" xfId="0" applyFont="1"/>
    <xf borderId="0" fillId="0" fontId="13" numFmtId="0" xfId="0" applyFont="1"/>
    <xf borderId="0" fillId="4" fontId="3" numFmtId="0" xfId="0" applyAlignment="1" applyFont="1">
      <alignment horizontal="center"/>
    </xf>
    <xf borderId="0" fillId="4" fontId="13" numFmtId="0" xfId="0" applyAlignment="1" applyFont="1">
      <alignment horizontal="center"/>
    </xf>
    <xf borderId="0" fillId="3" fontId="13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2" fontId="3" numFmtId="0" xfId="0" applyAlignment="1" applyFont="1">
      <alignment horizontal="center" vertical="center"/>
    </xf>
    <xf borderId="0" fillId="0" fontId="3" numFmtId="0" xfId="0" applyAlignment="1" applyFont="1">
      <alignment wrapText="1"/>
    </xf>
    <xf borderId="0" fillId="4" fontId="3" numFmtId="0" xfId="0" applyAlignment="1" applyFont="1">
      <alignment horizontal="center" vertical="center"/>
    </xf>
    <xf borderId="0" fillId="4" fontId="3" numFmtId="0" xfId="0" applyAlignment="1" applyFont="1">
      <alignment horizontal="center" vertical="center"/>
    </xf>
    <xf borderId="0" fillId="2" fontId="3" numFmtId="0" xfId="0" applyAlignment="1" applyFont="1">
      <alignment horizontal="center" vertical="center"/>
    </xf>
    <xf borderId="10" fillId="3" fontId="1" numFmtId="0" xfId="0" applyAlignment="1" applyBorder="1" applyFont="1">
      <alignment horizontal="center"/>
    </xf>
    <xf borderId="10" fillId="8" fontId="1" numFmtId="0" xfId="0" applyAlignment="1" applyBorder="1" applyFont="1">
      <alignment horizontal="center"/>
    </xf>
    <xf borderId="10" fillId="13" fontId="1" numFmtId="0" xfId="0" applyAlignment="1" applyBorder="1" applyFill="1" applyFont="1">
      <alignment horizontal="center"/>
    </xf>
    <xf borderId="0" fillId="6" fontId="13" numFmtId="0" xfId="0" applyAlignment="1" applyFont="1">
      <alignment horizontal="center" vertical="center"/>
    </xf>
    <xf borderId="10" fillId="8" fontId="1" numFmtId="0" xfId="0" applyAlignment="1" applyBorder="1" applyFont="1">
      <alignment horizontal="center"/>
    </xf>
    <xf borderId="10" fillId="13" fontId="1" numFmtId="0" xfId="0" applyAlignment="1" applyBorder="1" applyFont="1">
      <alignment horizontal="center"/>
    </xf>
    <xf borderId="10" fillId="2" fontId="13" numFmtId="0" xfId="0" applyAlignment="1" applyBorder="1" applyFont="1">
      <alignment horizontal="left" vertical="center"/>
    </xf>
    <xf borderId="10" fillId="2" fontId="13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vertical="center"/>
    </xf>
    <xf borderId="10" fillId="2" fontId="19" numFmtId="0" xfId="0" applyAlignment="1" applyBorder="1" applyFont="1">
      <alignment horizontal="left"/>
    </xf>
    <xf borderId="6" fillId="0" fontId="1" numFmtId="3" xfId="0" applyAlignment="1" applyBorder="1" applyFont="1" applyNumberFormat="1">
      <alignment horizontal="center"/>
    </xf>
    <xf borderId="7" fillId="0" fontId="1" numFmtId="3" xfId="0" applyAlignment="1" applyBorder="1" applyFont="1" applyNumberFormat="1">
      <alignment horizontal="center"/>
    </xf>
    <xf borderId="0" fillId="0" fontId="1" numFmtId="3" xfId="0" applyAlignment="1" applyFont="1" applyNumberFormat="1">
      <alignment horizontal="center"/>
    </xf>
    <xf borderId="14" fillId="0" fontId="1" numFmtId="3" xfId="0" applyAlignment="1" applyBorder="1" applyFont="1" applyNumberFormat="1">
      <alignment horizontal="center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9">
    <dxf>
      <font/>
      <fill>
        <patternFill patternType="solid">
          <fgColor rgb="FFFCE5CD"/>
          <bgColor rgb="FFFCE5CD"/>
        </patternFill>
      </fill>
      <alignment/>
      <border>
        <left/>
        <right/>
        <top/>
        <bottom/>
      </border>
    </dxf>
    <dxf>
      <font/>
      <fill>
        <patternFill patternType="solid">
          <fgColor rgb="FFEA9999"/>
          <bgColor rgb="FFEA9999"/>
        </patternFill>
      </fill>
      <alignment/>
      <border>
        <left/>
        <right/>
        <top/>
        <bottom/>
      </border>
    </dxf>
    <dxf>
      <font/>
      <fill>
        <patternFill patternType="solid">
          <fgColor rgb="FF9FC5E8"/>
          <bgColor rgb="FF9FC5E8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/>
      <fill>
        <patternFill patternType="solid">
          <fgColor rgb="FFFF9900"/>
          <bgColor rgb="FFFF9900"/>
        </patternFill>
      </fill>
      <alignment/>
      <border>
        <left/>
        <right/>
        <top/>
        <bottom/>
      </border>
    </dxf>
    <dxf>
      <font/>
      <fill>
        <patternFill patternType="solid">
          <fgColor rgb="FF00FF00"/>
          <bgColor rgb="FF00FF00"/>
        </patternFill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1155CC"/>
          <bgColor rgb="FF1155CC"/>
        </patternFill>
      </fill>
      <alignment/>
      <border>
        <left/>
        <right/>
        <top/>
        <bottom/>
      </border>
    </dxf>
    <dxf>
      <font>
        <color rgb="FFFF9900"/>
      </font>
      <fill>
        <patternFill patternType="solid">
          <fgColor rgb="FF0000FF"/>
          <bgColor rgb="FF0000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frc-events.firstinspires.org/2017/TXLU/qualifications/40" TargetMode="External"/><Relationship Id="rId42" Type="http://schemas.openxmlformats.org/officeDocument/2006/relationships/hyperlink" Target="https://frc-events.firstinspires.org/2017/TXLU/qualifications/42" TargetMode="External"/><Relationship Id="rId41" Type="http://schemas.openxmlformats.org/officeDocument/2006/relationships/hyperlink" Target="https://frc-events.firstinspires.org/2017/TXLU/qualifications/41" TargetMode="External"/><Relationship Id="rId44" Type="http://schemas.openxmlformats.org/officeDocument/2006/relationships/hyperlink" Target="https://frc-events.firstinspires.org/2017/TXLU/qualifications/44" TargetMode="External"/><Relationship Id="rId43" Type="http://schemas.openxmlformats.org/officeDocument/2006/relationships/hyperlink" Target="https://frc-events.firstinspires.org/2017/TXLU/qualifications/43" TargetMode="External"/><Relationship Id="rId46" Type="http://schemas.openxmlformats.org/officeDocument/2006/relationships/hyperlink" Target="https://frc-events.firstinspires.org/2017/TXLU/qualifications/46" TargetMode="External"/><Relationship Id="rId45" Type="http://schemas.openxmlformats.org/officeDocument/2006/relationships/hyperlink" Target="https://frc-events.firstinspires.org/2017/TXLU/qualifications/45" TargetMode="External"/><Relationship Id="rId1" Type="http://schemas.openxmlformats.org/officeDocument/2006/relationships/hyperlink" Target="https://frc-events.firstinspires.org/2017/TXLU/qualifications/1" TargetMode="External"/><Relationship Id="rId2" Type="http://schemas.openxmlformats.org/officeDocument/2006/relationships/hyperlink" Target="https://frc-events.firstinspires.org/2017/TXLU/qualifications/2" TargetMode="External"/><Relationship Id="rId3" Type="http://schemas.openxmlformats.org/officeDocument/2006/relationships/hyperlink" Target="https://frc-events.firstinspires.org/2017/TXLU/qualifications/3" TargetMode="External"/><Relationship Id="rId4" Type="http://schemas.openxmlformats.org/officeDocument/2006/relationships/hyperlink" Target="https://frc-events.firstinspires.org/2017/TXLU/qualifications/4" TargetMode="External"/><Relationship Id="rId9" Type="http://schemas.openxmlformats.org/officeDocument/2006/relationships/hyperlink" Target="https://frc-events.firstinspires.org/2017/TXLU/qualifications/9" TargetMode="External"/><Relationship Id="rId48" Type="http://schemas.openxmlformats.org/officeDocument/2006/relationships/hyperlink" Target="https://frc-events.firstinspires.org/2017/TXLU/qualifications/48" TargetMode="External"/><Relationship Id="rId47" Type="http://schemas.openxmlformats.org/officeDocument/2006/relationships/hyperlink" Target="https://frc-events.firstinspires.org/2017/TXLU/qualifications/47" TargetMode="External"/><Relationship Id="rId49" Type="http://schemas.openxmlformats.org/officeDocument/2006/relationships/hyperlink" Target="https://frc-events.firstinspires.org/2017/TXLU/qualifications/49" TargetMode="External"/><Relationship Id="rId5" Type="http://schemas.openxmlformats.org/officeDocument/2006/relationships/hyperlink" Target="https://frc-events.firstinspires.org/2017/TXLU/qualifications/5" TargetMode="External"/><Relationship Id="rId6" Type="http://schemas.openxmlformats.org/officeDocument/2006/relationships/hyperlink" Target="https://frc-events.firstinspires.org/2017/TXLU/qualifications/6" TargetMode="External"/><Relationship Id="rId7" Type="http://schemas.openxmlformats.org/officeDocument/2006/relationships/hyperlink" Target="https://frc-events.firstinspires.org/2017/TXLU/qualifications/7" TargetMode="External"/><Relationship Id="rId8" Type="http://schemas.openxmlformats.org/officeDocument/2006/relationships/hyperlink" Target="https://frc-events.firstinspires.org/2017/TXLU/qualifications/8" TargetMode="External"/><Relationship Id="rId31" Type="http://schemas.openxmlformats.org/officeDocument/2006/relationships/hyperlink" Target="https://frc-events.firstinspires.org/2017/TXLU/qualifications/31" TargetMode="External"/><Relationship Id="rId30" Type="http://schemas.openxmlformats.org/officeDocument/2006/relationships/hyperlink" Target="https://frc-events.firstinspires.org/2017/TXLU/qualifications/30" TargetMode="External"/><Relationship Id="rId33" Type="http://schemas.openxmlformats.org/officeDocument/2006/relationships/hyperlink" Target="https://frc-events.firstinspires.org/2017/TXLU/qualifications/33" TargetMode="External"/><Relationship Id="rId32" Type="http://schemas.openxmlformats.org/officeDocument/2006/relationships/hyperlink" Target="https://frc-events.firstinspires.org/2017/TXLU/qualifications/32" TargetMode="External"/><Relationship Id="rId35" Type="http://schemas.openxmlformats.org/officeDocument/2006/relationships/hyperlink" Target="https://frc-events.firstinspires.org/2017/TXLU/qualifications/35" TargetMode="External"/><Relationship Id="rId34" Type="http://schemas.openxmlformats.org/officeDocument/2006/relationships/hyperlink" Target="https://frc-events.firstinspires.org/2017/TXLU/qualifications/34" TargetMode="External"/><Relationship Id="rId37" Type="http://schemas.openxmlformats.org/officeDocument/2006/relationships/hyperlink" Target="https://frc-events.firstinspires.org/2017/TXLU/qualifications/37" TargetMode="External"/><Relationship Id="rId36" Type="http://schemas.openxmlformats.org/officeDocument/2006/relationships/hyperlink" Target="https://frc-events.firstinspires.org/2017/TXLU/qualifications/36" TargetMode="External"/><Relationship Id="rId39" Type="http://schemas.openxmlformats.org/officeDocument/2006/relationships/hyperlink" Target="https://frc-events.firstinspires.org/2017/TXLU/qualifications/39" TargetMode="External"/><Relationship Id="rId38" Type="http://schemas.openxmlformats.org/officeDocument/2006/relationships/hyperlink" Target="https://frc-events.firstinspires.org/2017/TXLU/qualifications/38" TargetMode="External"/><Relationship Id="rId62" Type="http://schemas.openxmlformats.org/officeDocument/2006/relationships/drawing" Target="../drawings/drawing8.xml"/><Relationship Id="rId61" Type="http://schemas.openxmlformats.org/officeDocument/2006/relationships/hyperlink" Target="https://frc-events.firstinspires.org/2017/TXLU/qualifications/61" TargetMode="External"/><Relationship Id="rId20" Type="http://schemas.openxmlformats.org/officeDocument/2006/relationships/hyperlink" Target="https://frc-events.firstinspires.org/2017/TXLU/qualifications/20" TargetMode="External"/><Relationship Id="rId22" Type="http://schemas.openxmlformats.org/officeDocument/2006/relationships/hyperlink" Target="https://frc-events.firstinspires.org/2017/TXLU/qualifications/22" TargetMode="External"/><Relationship Id="rId21" Type="http://schemas.openxmlformats.org/officeDocument/2006/relationships/hyperlink" Target="https://frc-events.firstinspires.org/2017/TXLU/qualifications/21" TargetMode="External"/><Relationship Id="rId24" Type="http://schemas.openxmlformats.org/officeDocument/2006/relationships/hyperlink" Target="https://frc-events.firstinspires.org/2017/TXLU/qualifications/24" TargetMode="External"/><Relationship Id="rId23" Type="http://schemas.openxmlformats.org/officeDocument/2006/relationships/hyperlink" Target="https://frc-events.firstinspires.org/2017/TXLU/qualifications/23" TargetMode="External"/><Relationship Id="rId60" Type="http://schemas.openxmlformats.org/officeDocument/2006/relationships/hyperlink" Target="https://frc-events.firstinspires.org/2017/TXLU/qualifications/60" TargetMode="External"/><Relationship Id="rId26" Type="http://schemas.openxmlformats.org/officeDocument/2006/relationships/hyperlink" Target="https://frc-events.firstinspires.org/2017/TXLU/qualifications/26" TargetMode="External"/><Relationship Id="rId25" Type="http://schemas.openxmlformats.org/officeDocument/2006/relationships/hyperlink" Target="https://frc-events.firstinspires.org/2017/TXLU/qualifications/25" TargetMode="External"/><Relationship Id="rId28" Type="http://schemas.openxmlformats.org/officeDocument/2006/relationships/hyperlink" Target="https://frc-events.firstinspires.org/2017/TXLU/qualifications/28" TargetMode="External"/><Relationship Id="rId27" Type="http://schemas.openxmlformats.org/officeDocument/2006/relationships/hyperlink" Target="https://frc-events.firstinspires.org/2017/TXLU/qualifications/27" TargetMode="External"/><Relationship Id="rId29" Type="http://schemas.openxmlformats.org/officeDocument/2006/relationships/hyperlink" Target="https://frc-events.firstinspires.org/2017/TXLU/qualifications/29" TargetMode="External"/><Relationship Id="rId51" Type="http://schemas.openxmlformats.org/officeDocument/2006/relationships/hyperlink" Target="https://frc-events.firstinspires.org/2017/TXLU/qualifications/51" TargetMode="External"/><Relationship Id="rId50" Type="http://schemas.openxmlformats.org/officeDocument/2006/relationships/hyperlink" Target="https://frc-events.firstinspires.org/2017/TXLU/qualifications/50" TargetMode="External"/><Relationship Id="rId53" Type="http://schemas.openxmlformats.org/officeDocument/2006/relationships/hyperlink" Target="https://frc-events.firstinspires.org/2017/TXLU/qualifications/53" TargetMode="External"/><Relationship Id="rId52" Type="http://schemas.openxmlformats.org/officeDocument/2006/relationships/hyperlink" Target="https://frc-events.firstinspires.org/2017/TXLU/qualifications/52" TargetMode="External"/><Relationship Id="rId11" Type="http://schemas.openxmlformats.org/officeDocument/2006/relationships/hyperlink" Target="https://frc-events.firstinspires.org/2017/TXLU/qualifications/11" TargetMode="External"/><Relationship Id="rId55" Type="http://schemas.openxmlformats.org/officeDocument/2006/relationships/hyperlink" Target="https://frc-events.firstinspires.org/2017/TXLU/qualifications/55" TargetMode="External"/><Relationship Id="rId10" Type="http://schemas.openxmlformats.org/officeDocument/2006/relationships/hyperlink" Target="https://frc-events.firstinspires.org/2017/TXLU/qualifications/10" TargetMode="External"/><Relationship Id="rId54" Type="http://schemas.openxmlformats.org/officeDocument/2006/relationships/hyperlink" Target="https://frc-events.firstinspires.org/2017/TXLU/qualifications/54" TargetMode="External"/><Relationship Id="rId13" Type="http://schemas.openxmlformats.org/officeDocument/2006/relationships/hyperlink" Target="https://frc-events.firstinspires.org/2017/TXLU/qualifications/13" TargetMode="External"/><Relationship Id="rId57" Type="http://schemas.openxmlformats.org/officeDocument/2006/relationships/hyperlink" Target="https://frc-events.firstinspires.org/2017/TXLU/qualifications/57" TargetMode="External"/><Relationship Id="rId12" Type="http://schemas.openxmlformats.org/officeDocument/2006/relationships/hyperlink" Target="https://frc-events.firstinspires.org/2017/TXLU/qualifications/12" TargetMode="External"/><Relationship Id="rId56" Type="http://schemas.openxmlformats.org/officeDocument/2006/relationships/hyperlink" Target="https://frc-events.firstinspires.org/2017/TXLU/qualifications/56" TargetMode="External"/><Relationship Id="rId15" Type="http://schemas.openxmlformats.org/officeDocument/2006/relationships/hyperlink" Target="https://frc-events.firstinspires.org/2017/TXLU/qualifications/15" TargetMode="External"/><Relationship Id="rId59" Type="http://schemas.openxmlformats.org/officeDocument/2006/relationships/hyperlink" Target="https://frc-events.firstinspires.org/2017/TXLU/qualifications/59" TargetMode="External"/><Relationship Id="rId14" Type="http://schemas.openxmlformats.org/officeDocument/2006/relationships/hyperlink" Target="https://frc-events.firstinspires.org/2017/TXLU/qualifications/14" TargetMode="External"/><Relationship Id="rId58" Type="http://schemas.openxmlformats.org/officeDocument/2006/relationships/hyperlink" Target="https://frc-events.firstinspires.org/2017/TXLU/qualifications/58" TargetMode="External"/><Relationship Id="rId17" Type="http://schemas.openxmlformats.org/officeDocument/2006/relationships/hyperlink" Target="https://frc-events.firstinspires.org/2017/TXLU/qualifications/17" TargetMode="External"/><Relationship Id="rId16" Type="http://schemas.openxmlformats.org/officeDocument/2006/relationships/hyperlink" Target="https://frc-events.firstinspires.org/2017/TXLU/qualifications/16" TargetMode="External"/><Relationship Id="rId19" Type="http://schemas.openxmlformats.org/officeDocument/2006/relationships/hyperlink" Target="https://frc-events.firstinspires.org/2017/TXLU/qualifications/19" TargetMode="External"/><Relationship Id="rId18" Type="http://schemas.openxmlformats.org/officeDocument/2006/relationships/hyperlink" Target="https://frc-events.firstinspires.org/2017/TXLU/qualifications/18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8C7zYNcD540ZpScrqityQKVIfHiKT098j9UzJFmOHXs/edit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75"/>
  <cols>
    <col customWidth="1" min="1" max="3" width="5.86"/>
    <col customWidth="1" min="4" max="4" width="6.14"/>
    <col customWidth="1" min="5" max="5" width="5.86"/>
    <col customWidth="1" min="6" max="6" width="6.14"/>
    <col customWidth="1" min="7" max="7" width="6.29"/>
    <col customWidth="1" hidden="1" min="8" max="8" width="5.86"/>
    <col customWidth="1" min="9" max="9" width="6.14"/>
    <col customWidth="1" min="10" max="10" width="6.71"/>
    <col customWidth="1" min="11" max="11" width="5.86"/>
    <col customWidth="1" min="12" max="12" width="6.57"/>
    <col customWidth="1" hidden="1" min="13" max="14" width="6.57"/>
    <col customWidth="1" hidden="1" min="15" max="15" width="5.86"/>
    <col customWidth="1" min="16" max="16" width="5.86"/>
    <col customWidth="1" min="17" max="18" width="8.71"/>
  </cols>
  <sheetData>
    <row r="1" ht="16.5" customHeight="1">
      <c r="A1" s="1" t="s">
        <v>0</v>
      </c>
      <c r="B1" s="6" t="s">
        <v>2</v>
      </c>
      <c r="C1" s="6" t="s">
        <v>4</v>
      </c>
      <c r="D1" s="6" t="s">
        <v>1</v>
      </c>
      <c r="E1" s="8"/>
      <c r="F1" s="10" t="s">
        <v>6</v>
      </c>
      <c r="G1" s="16"/>
      <c r="H1" s="17"/>
      <c r="I1" s="19" t="s">
        <v>14</v>
      </c>
      <c r="L1" s="21" t="s">
        <v>16</v>
      </c>
      <c r="M1" s="23" t="s">
        <v>17</v>
      </c>
      <c r="N1" s="25" t="s">
        <v>18</v>
      </c>
      <c r="O1" s="27" t="s">
        <v>20</v>
      </c>
      <c r="P1" s="27" t="s">
        <v>20</v>
      </c>
      <c r="Q1" s="29" t="s">
        <v>21</v>
      </c>
      <c r="R1" s="7"/>
    </row>
    <row r="2" ht="16.5" customHeight="1">
      <c r="A2" s="33"/>
      <c r="B2" s="33"/>
      <c r="C2" s="33"/>
      <c r="D2" s="33"/>
      <c r="E2" s="38" t="s">
        <v>25</v>
      </c>
      <c r="F2" s="43" t="s">
        <v>28</v>
      </c>
      <c r="G2" s="17" t="s">
        <v>36</v>
      </c>
      <c r="H2" s="38" t="s">
        <v>25</v>
      </c>
      <c r="I2" s="38" t="s">
        <v>28</v>
      </c>
      <c r="J2" s="38" t="s">
        <v>37</v>
      </c>
      <c r="K2" s="38" t="s">
        <v>38</v>
      </c>
      <c r="L2" s="33"/>
      <c r="M2" s="45"/>
      <c r="N2" s="33"/>
      <c r="O2" s="33"/>
      <c r="P2" s="33"/>
      <c r="Q2" s="47" t="s">
        <v>1</v>
      </c>
      <c r="R2" s="47" t="s">
        <v>2</v>
      </c>
    </row>
    <row r="3" ht="16.5" customHeight="1">
      <c r="A3" s="28"/>
      <c r="B3" s="28"/>
      <c r="C3" s="28"/>
      <c r="D3" s="28"/>
      <c r="E3" s="33"/>
      <c r="F3" s="45"/>
      <c r="G3" s="45"/>
      <c r="H3" s="33"/>
      <c r="I3" s="33"/>
      <c r="J3" s="33"/>
      <c r="K3" s="33"/>
      <c r="L3" s="28"/>
      <c r="M3" s="45"/>
      <c r="N3" s="33"/>
      <c r="O3" s="33"/>
      <c r="P3" s="33"/>
      <c r="Q3" s="28"/>
      <c r="R3" s="28"/>
    </row>
    <row r="4" ht="15.0" customHeight="1">
      <c r="A4" s="49">
        <v>1.0</v>
      </c>
      <c r="B4" s="50">
        <v>1.0</v>
      </c>
      <c r="C4" s="52" t="s">
        <v>39</v>
      </c>
      <c r="D4" s="53">
        <f t="array" ref="D4">index('Match Sched'!$C$3:$H753,match(B4,'Match Sched'!$A$3:$A753,0),if(mod(A4,6)=0,6,mod(A4,6)),0)</f>
        <v>2643</v>
      </c>
      <c r="E4" s="54"/>
      <c r="F4" s="55">
        <v>0.0</v>
      </c>
      <c r="G4" s="54">
        <v>1.0</v>
      </c>
      <c r="H4" s="54"/>
      <c r="I4" s="54"/>
      <c r="J4" s="54"/>
      <c r="K4" s="54"/>
      <c r="L4" s="54"/>
      <c r="M4" s="57">
        <f>SUM(F4:F6)</f>
        <v>0</v>
      </c>
      <c r="N4" s="57">
        <f>SUM(I4:I6)+1</f>
        <v>3</v>
      </c>
      <c r="O4" s="59" t="str">
        <f>if ( isblank (E4), E4, E4 + F4*'Control PanelOur Matches'!$K$2 + G4*5 + H4*(1/3) + I4*'Control PanelOur Matches'!$M$2 + J4*50)</f>
        <v/>
      </c>
      <c r="P4" s="59">
        <f t="shared" ref="P4:P747" si="2">if ( isblank (F4), F4, E4 + iferror(((if(M4&gt;=3,120,if(M4&gt;=1,60,0)))*F4/M4),0) + G4*5 + H4/3 + iferror(if(M4=3,
    if(N4&gt;=10,80,if(N4&gt;=4,40,0)),
    if(M4=2,
    if(N4&gt;=11,120,if(N4&gt;=5,80,if(N4&gt;=1,40,0))),
    if(M4=1,
    if(N4&gt;=12,120,if(N4&gt;=6,80,if(N4&gt;=2,40,0))),
    if(N4=13,160,if(N4&gt;=7,120,if(N4&gt;=3,80,if(N4&gt;=1,40,0)))))))*(I4/N4)) + J4*50)</f>
        <v>5</v>
      </c>
      <c r="Q4" s="60">
        <f t="shared" ref="Q4:Q753" si="3">if(counta(E4:K4)&gt;0,D4,"no")</f>
        <v>2643</v>
      </c>
      <c r="R4" s="60" t="str">
        <f t="shared" ref="R4:R753" si="4">if(Q4="no","",concatenate(D4,"-",countif(D$4:D4,D4)))</f>
        <v>2643-1</v>
      </c>
    </row>
    <row r="5" ht="15.0" customHeight="1">
      <c r="A5" s="49">
        <v>2.0</v>
      </c>
      <c r="B5" s="50">
        <v>1.0</v>
      </c>
      <c r="C5" s="52" t="s">
        <v>40</v>
      </c>
      <c r="D5" s="53">
        <f t="array" ref="D5">index('Match Sched'!$C$3:$H753,match(B5,'Match Sched'!$A$3:$A753,0),if(mod(A5,6)=0,6,mod(A5,6)),0)</f>
        <v>5134</v>
      </c>
      <c r="E5" s="54"/>
      <c r="F5" s="55">
        <v>0.0</v>
      </c>
      <c r="G5" s="54"/>
      <c r="H5" s="54"/>
      <c r="I5" s="54"/>
      <c r="J5" s="54"/>
      <c r="K5" s="54"/>
      <c r="L5" s="54"/>
      <c r="M5" s="61">
        <f t="shared" ref="M5:N5" si="1">M4</f>
        <v>0</v>
      </c>
      <c r="N5" s="57">
        <f t="shared" si="1"/>
        <v>3</v>
      </c>
      <c r="O5" s="59" t="str">
        <f>if ( isblank (E5), E5, E5 + F5*'Control PanelOur Matches'!$K$2 + G5*5 + H5*(1/3) + I5*'Control PanelOur Matches'!$M$2 + J5*50)</f>
        <v/>
      </c>
      <c r="P5" s="59">
        <f t="shared" si="2"/>
        <v>0</v>
      </c>
      <c r="Q5" s="60">
        <f t="shared" si="3"/>
        <v>5134</v>
      </c>
      <c r="R5" s="60" t="str">
        <f t="shared" si="4"/>
        <v>5134-1</v>
      </c>
    </row>
    <row r="6" ht="15.0" customHeight="1">
      <c r="A6" s="49">
        <v>3.0</v>
      </c>
      <c r="B6" s="50">
        <v>1.0</v>
      </c>
      <c r="C6" s="52" t="s">
        <v>41</v>
      </c>
      <c r="D6" s="53">
        <f t="array" ref="D6">index('Match Sched'!$C$3:$H753,match(B6,'Match Sched'!$A$3:$A753,0),if(mod(A6,6)=0,6,mod(A6,6)),0)</f>
        <v>6699</v>
      </c>
      <c r="E6" s="54"/>
      <c r="F6" s="55">
        <v>0.0</v>
      </c>
      <c r="G6" s="54">
        <v>1.0</v>
      </c>
      <c r="H6" s="54"/>
      <c r="I6" s="54">
        <v>2.0</v>
      </c>
      <c r="J6" s="54">
        <v>1.0</v>
      </c>
      <c r="K6" s="54"/>
      <c r="L6" s="54"/>
      <c r="M6" s="62">
        <f t="shared" ref="M6:N6" si="5">M4</f>
        <v>0</v>
      </c>
      <c r="N6" s="57">
        <f t="shared" si="5"/>
        <v>3</v>
      </c>
      <c r="O6" s="59" t="str">
        <f>if ( isblank (E6), E6, E6 + F6*'Control PanelOur Matches'!$K$2 + G6*5 + H6*(1/3) + I6*'Control PanelOur Matches'!$M$2 + J6*50)</f>
        <v/>
      </c>
      <c r="P6" s="59">
        <f t="shared" si="2"/>
        <v>108.3333333</v>
      </c>
      <c r="Q6" s="60">
        <f t="shared" si="3"/>
        <v>6699</v>
      </c>
      <c r="R6" s="60" t="str">
        <f t="shared" si="4"/>
        <v>6699-1</v>
      </c>
    </row>
    <row r="7" ht="15.0" customHeight="1">
      <c r="A7" s="49">
        <v>4.0</v>
      </c>
      <c r="B7" s="50">
        <v>1.0</v>
      </c>
      <c r="C7" s="52" t="s">
        <v>42</v>
      </c>
      <c r="D7" s="53">
        <f t="array" ref="D7">index('Match Sched'!$C$3:$H753,match(B7,'Match Sched'!$A$3:$A753,0),if(mod(A7,6)=0,6,mod(A7,6)),0)</f>
        <v>4255</v>
      </c>
      <c r="E7" s="54"/>
      <c r="F7" s="55">
        <v>0.0</v>
      </c>
      <c r="G7" s="54">
        <v>1.0</v>
      </c>
      <c r="H7" s="54"/>
      <c r="I7" s="54">
        <v>2.0</v>
      </c>
      <c r="J7" s="54"/>
      <c r="K7" s="54"/>
      <c r="L7" s="54"/>
      <c r="M7" s="57">
        <f>SUM(F7:F9)</f>
        <v>2</v>
      </c>
      <c r="N7" s="57">
        <f>SUM(I7:I9)+1</f>
        <v>7</v>
      </c>
      <c r="O7" s="59" t="str">
        <f>if ( isblank (E7), E7, E7 + F7*'Control PanelOur Matches'!$K$2 + G7*5 + H7*(1/3) + I7*'Control PanelOur Matches'!$M$2 + J7*50)</f>
        <v/>
      </c>
      <c r="P7" s="59">
        <f t="shared" si="2"/>
        <v>27.85714286</v>
      </c>
      <c r="Q7" s="60">
        <f t="shared" si="3"/>
        <v>4255</v>
      </c>
      <c r="R7" s="60" t="str">
        <f t="shared" si="4"/>
        <v>4255-1</v>
      </c>
    </row>
    <row r="8" ht="15.0" customHeight="1">
      <c r="A8" s="49">
        <v>5.0</v>
      </c>
      <c r="B8" s="50">
        <v>1.0</v>
      </c>
      <c r="C8" s="52" t="s">
        <v>43</v>
      </c>
      <c r="D8" s="53">
        <f t="array" ref="D8">index('Match Sched'!$C$3:$H753,match(B8,'Match Sched'!$A$3:$A753,0),if(mod(A8,6)=0,6,mod(A8,6)),0)</f>
        <v>294</v>
      </c>
      <c r="E8" s="54"/>
      <c r="F8" s="55">
        <v>1.0</v>
      </c>
      <c r="G8" s="54">
        <v>1.0</v>
      </c>
      <c r="H8" s="54"/>
      <c r="I8" s="54">
        <v>2.0</v>
      </c>
      <c r="J8" s="54"/>
      <c r="K8" s="54"/>
      <c r="L8" s="54"/>
      <c r="M8" s="61">
        <f t="shared" ref="M8:N8" si="6">M7</f>
        <v>2</v>
      </c>
      <c r="N8" s="57">
        <f t="shared" si="6"/>
        <v>7</v>
      </c>
      <c r="O8" s="59" t="str">
        <f>if ( isblank (E8), E8, E8 + F8*'Control PanelOur Matches'!$K$2 + G8*5 + H8*(1/3) + I8*'Control PanelOur Matches'!$M$2 + J8*50)</f>
        <v/>
      </c>
      <c r="P8" s="59">
        <f t="shared" si="2"/>
        <v>57.85714286</v>
      </c>
      <c r="Q8" s="60">
        <f t="shared" si="3"/>
        <v>294</v>
      </c>
      <c r="R8" s="60" t="str">
        <f t="shared" si="4"/>
        <v>294-1</v>
      </c>
    </row>
    <row r="9" ht="15.0" customHeight="1">
      <c r="A9" s="49">
        <v>6.0</v>
      </c>
      <c r="B9" s="50">
        <v>1.0</v>
      </c>
      <c r="C9" s="52" t="s">
        <v>44</v>
      </c>
      <c r="D9" s="53">
        <f t="array" ref="D9">index('Match Sched'!$C$3:$H753,match(B9,'Match Sched'!$A$3:$A753,0),if(mod(A9,6)=0,6,mod(A9,6)),0)</f>
        <v>5817</v>
      </c>
      <c r="E9" s="54"/>
      <c r="F9" s="55">
        <v>1.0</v>
      </c>
      <c r="G9" s="54">
        <v>1.0</v>
      </c>
      <c r="H9" s="54"/>
      <c r="I9" s="54">
        <v>2.0</v>
      </c>
      <c r="J9" s="54"/>
      <c r="K9" s="54">
        <v>1.0</v>
      </c>
      <c r="L9" s="54"/>
      <c r="M9" s="62">
        <f t="shared" ref="M9:N9" si="7">M7</f>
        <v>2</v>
      </c>
      <c r="N9" s="57">
        <f t="shared" si="7"/>
        <v>7</v>
      </c>
      <c r="O9" s="59" t="str">
        <f>if ( isblank (E9), E9, E9 + F9*'Control PanelOur Matches'!$K$2 + G9*5 + H9*(1/3) + I9*'Control PanelOur Matches'!$M$2 + J9*50)</f>
        <v/>
      </c>
      <c r="P9" s="59">
        <f t="shared" si="2"/>
        <v>57.85714286</v>
      </c>
      <c r="Q9" s="60">
        <f t="shared" si="3"/>
        <v>5817</v>
      </c>
      <c r="R9" s="60" t="str">
        <f t="shared" si="4"/>
        <v>5817-1</v>
      </c>
    </row>
    <row r="10" ht="15.0" customHeight="1">
      <c r="A10" s="65">
        <v>7.0</v>
      </c>
      <c r="B10" s="66">
        <v>2.0</v>
      </c>
      <c r="C10" s="52" t="s">
        <v>39</v>
      </c>
      <c r="D10" s="53">
        <f t="array" ref="D10">index('Match Sched'!$C$3:$H753,match(B10,'Match Sched'!$A$3:$A753,0),if(mod(A10,6)=0,6,mod(A10,6)),0)</f>
        <v>3045</v>
      </c>
      <c r="E10" s="54"/>
      <c r="F10" s="55">
        <v>0.0</v>
      </c>
      <c r="G10" s="67"/>
      <c r="H10" s="67"/>
      <c r="I10" s="67"/>
      <c r="J10" s="67"/>
      <c r="K10" s="67"/>
      <c r="L10" s="67"/>
      <c r="M10" s="57">
        <f>SUM(F10:F12)</f>
        <v>0</v>
      </c>
      <c r="N10" s="57">
        <f>SUM(I10:I12)+1</f>
        <v>5</v>
      </c>
      <c r="O10" s="59" t="str">
        <f>if ( isblank (E10), E10, E10 + F10*'Control PanelOur Matches'!$K$2 + G10*5 + H10*(1/3) + I10*'Control PanelOur Matches'!$M$2 + J10*50)</f>
        <v/>
      </c>
      <c r="P10" s="59">
        <f t="shared" si="2"/>
        <v>0</v>
      </c>
      <c r="Q10" s="60">
        <f t="shared" si="3"/>
        <v>3045</v>
      </c>
      <c r="R10" s="60" t="str">
        <f t="shared" si="4"/>
        <v>3045-1</v>
      </c>
    </row>
    <row r="11" ht="15.0" customHeight="1">
      <c r="A11" s="65">
        <v>8.0</v>
      </c>
      <c r="B11" s="66">
        <v>2.0</v>
      </c>
      <c r="C11" s="52" t="s">
        <v>40</v>
      </c>
      <c r="D11" s="53">
        <f t="array" ref="D11">index('Match Sched'!$C$3:$H753,match(B11,'Match Sched'!$A$3:$A753,0),if(mod(A11,6)=0,6,mod(A11,6)),0)</f>
        <v>2493</v>
      </c>
      <c r="E11" s="54"/>
      <c r="F11" s="55">
        <v>0.0</v>
      </c>
      <c r="G11" s="67"/>
      <c r="H11" s="67"/>
      <c r="I11" s="67"/>
      <c r="J11" s="67"/>
      <c r="K11" s="67"/>
      <c r="L11" s="67"/>
      <c r="M11" s="61">
        <f t="shared" ref="M11:N11" si="8">M10</f>
        <v>0</v>
      </c>
      <c r="N11" s="57">
        <f t="shared" si="8"/>
        <v>5</v>
      </c>
      <c r="O11" s="59" t="str">
        <f>if ( isblank (E11), E11, E11 + F11*'Control PanelOur Matches'!$K$2 + G11*5 + H11*(1/3) + I11*'Control PanelOur Matches'!$M$2 + J11*50)</f>
        <v/>
      </c>
      <c r="P11" s="59">
        <f t="shared" si="2"/>
        <v>0</v>
      </c>
      <c r="Q11" s="60">
        <f t="shared" si="3"/>
        <v>2493</v>
      </c>
      <c r="R11" s="60" t="str">
        <f t="shared" si="4"/>
        <v>2493-1</v>
      </c>
    </row>
    <row r="12" ht="15.0" customHeight="1">
      <c r="A12" s="65">
        <v>9.0</v>
      </c>
      <c r="B12" s="66">
        <v>2.0</v>
      </c>
      <c r="C12" s="52" t="s">
        <v>41</v>
      </c>
      <c r="D12" s="53">
        <f t="array" ref="D12">index('Match Sched'!$C$3:$H753,match(B12,'Match Sched'!$A$3:$A753,0),if(mod(A12,6)=0,6,mod(A12,6)),0)</f>
        <v>1323</v>
      </c>
      <c r="E12" s="54"/>
      <c r="F12" s="55">
        <v>0.0</v>
      </c>
      <c r="G12" s="67">
        <v>1.0</v>
      </c>
      <c r="H12" s="67"/>
      <c r="I12" s="67">
        <v>4.0</v>
      </c>
      <c r="J12" s="67"/>
      <c r="K12" s="67"/>
      <c r="L12" s="67"/>
      <c r="M12" s="62">
        <f t="shared" ref="M12:N12" si="9">M10</f>
        <v>0</v>
      </c>
      <c r="N12" s="57">
        <f t="shared" si="9"/>
        <v>5</v>
      </c>
      <c r="O12" s="59" t="str">
        <f>if ( isblank (E12), E12, E12 + F12*'Control PanelOur Matches'!$K$2 + G12*5 + H12*(1/3) + I12*'Control PanelOur Matches'!$M$2 + J12*50)</f>
        <v/>
      </c>
      <c r="P12" s="59">
        <f t="shared" si="2"/>
        <v>69</v>
      </c>
      <c r="Q12" s="60">
        <f t="shared" si="3"/>
        <v>1323</v>
      </c>
      <c r="R12" s="60" t="str">
        <f t="shared" si="4"/>
        <v>1323-1</v>
      </c>
    </row>
    <row r="13" ht="15.0" customHeight="1">
      <c r="A13" s="65">
        <v>10.0</v>
      </c>
      <c r="B13" s="66">
        <v>2.0</v>
      </c>
      <c r="C13" s="52" t="s">
        <v>42</v>
      </c>
      <c r="D13" s="53">
        <f t="array" ref="D13">index('Match Sched'!$C$3:$H753,match(B13,'Match Sched'!$A$3:$A753,0),if(mod(A13,6)=0,6,mod(A13,6)),0)</f>
        <v>2761</v>
      </c>
      <c r="E13" s="54"/>
      <c r="F13" s="55">
        <v>0.0</v>
      </c>
      <c r="G13" s="67"/>
      <c r="H13" s="67"/>
      <c r="I13" s="67"/>
      <c r="J13" s="67"/>
      <c r="K13" s="67">
        <v>1.0</v>
      </c>
      <c r="L13" s="67"/>
      <c r="M13" s="57">
        <f>SUM(F13:F15)</f>
        <v>0</v>
      </c>
      <c r="N13" s="57">
        <f>SUM(I13:I15)+1</f>
        <v>2</v>
      </c>
      <c r="O13" s="59" t="str">
        <f>if ( isblank (E13), E13, E13 + F13*'Control PanelOur Matches'!$K$2 + G13*5 + H13*(1/3) + I13*'Control PanelOur Matches'!$M$2 + J13*50)</f>
        <v/>
      </c>
      <c r="P13" s="59">
        <f t="shared" si="2"/>
        <v>0</v>
      </c>
      <c r="Q13" s="60">
        <f t="shared" si="3"/>
        <v>2761</v>
      </c>
      <c r="R13" s="60" t="str">
        <f t="shared" si="4"/>
        <v>2761-1</v>
      </c>
    </row>
    <row r="14" ht="15.0" customHeight="1">
      <c r="A14" s="65">
        <v>11.0</v>
      </c>
      <c r="B14" s="66">
        <v>2.0</v>
      </c>
      <c r="C14" s="52" t="s">
        <v>43</v>
      </c>
      <c r="D14" s="53">
        <f t="array" ref="D14">index('Match Sched'!$C$3:$H753,match(B14,'Match Sched'!$A$3:$A753,0),if(mod(A14,6)=0,6,mod(A14,6)),0)</f>
        <v>2085</v>
      </c>
      <c r="E14" s="54"/>
      <c r="F14" s="55">
        <v>0.0</v>
      </c>
      <c r="G14" s="67"/>
      <c r="H14" s="67"/>
      <c r="I14" s="67"/>
      <c r="J14" s="67"/>
      <c r="K14" s="67">
        <v>1.0</v>
      </c>
      <c r="L14" s="67"/>
      <c r="M14" s="61">
        <f t="shared" ref="M14:N14" si="10">M13</f>
        <v>0</v>
      </c>
      <c r="N14" s="57">
        <f t="shared" si="10"/>
        <v>2</v>
      </c>
      <c r="O14" s="59" t="str">
        <f>if ( isblank (E14), E14, E14 + F14*'Control PanelOur Matches'!$K$2 + G14*5 + H14*(1/3) + I14*'Control PanelOur Matches'!$M$2 + J14*50)</f>
        <v/>
      </c>
      <c r="P14" s="59">
        <f t="shared" si="2"/>
        <v>0</v>
      </c>
      <c r="Q14" s="60">
        <f t="shared" si="3"/>
        <v>2085</v>
      </c>
      <c r="R14" s="60" t="str">
        <f t="shared" si="4"/>
        <v>2085-1</v>
      </c>
    </row>
    <row r="15" ht="15.0" customHeight="1">
      <c r="A15" s="65">
        <v>12.0</v>
      </c>
      <c r="B15" s="66">
        <v>2.0</v>
      </c>
      <c r="C15" s="68" t="s">
        <v>44</v>
      </c>
      <c r="D15" s="53">
        <f t="array" ref="D15">index('Match Sched'!$C$3:$H753,match(B15,'Match Sched'!$A$3:$A753,0),if(mod(A15,6)=0,6,mod(A15,6)),0)</f>
        <v>3303</v>
      </c>
      <c r="E15" s="54"/>
      <c r="F15" s="55">
        <v>0.0</v>
      </c>
      <c r="G15" s="67">
        <v>1.0</v>
      </c>
      <c r="H15" s="67"/>
      <c r="I15" s="67">
        <v>1.0</v>
      </c>
      <c r="J15" s="67"/>
      <c r="K15" s="67"/>
      <c r="L15" s="67"/>
      <c r="M15" s="62">
        <f t="shared" ref="M15:N15" si="11">M13</f>
        <v>0</v>
      </c>
      <c r="N15" s="57">
        <f t="shared" si="11"/>
        <v>2</v>
      </c>
      <c r="O15" s="59" t="str">
        <f>if ( isblank (E15), E15, E15 + F15*'Control PanelOur Matches'!$K$2 + G15*5 + H15*(1/3) + I15*'Control PanelOur Matches'!$M$2 + J15*50)</f>
        <v/>
      </c>
      <c r="P15" s="59">
        <f t="shared" si="2"/>
        <v>25</v>
      </c>
      <c r="Q15" s="60">
        <f t="shared" si="3"/>
        <v>3303</v>
      </c>
      <c r="R15" s="60" t="str">
        <f t="shared" si="4"/>
        <v>3303-1</v>
      </c>
    </row>
    <row r="16" ht="15.0" customHeight="1">
      <c r="A16" s="49">
        <v>13.0</v>
      </c>
      <c r="B16" s="50">
        <v>3.0</v>
      </c>
      <c r="C16" s="52" t="s">
        <v>39</v>
      </c>
      <c r="D16" s="53">
        <f t="array" ref="D16">index('Match Sched'!$C$3:$H753,match(B16,'Match Sched'!$A$3:$A753,0),if(mod(A16,6)=0,6,mod(A16,6)),0)</f>
        <v>1388</v>
      </c>
      <c r="E16" s="54"/>
      <c r="F16" s="55">
        <v>0.0</v>
      </c>
      <c r="G16" s="54"/>
      <c r="H16" s="54"/>
      <c r="I16" s="54"/>
      <c r="J16" s="54"/>
      <c r="K16" s="54"/>
      <c r="L16" s="54"/>
      <c r="M16" s="57">
        <f>SUM(F16:F18)</f>
        <v>0</v>
      </c>
      <c r="N16" s="57">
        <f>SUM(I16:I18)+1</f>
        <v>2</v>
      </c>
      <c r="O16" s="59" t="str">
        <f>if ( isblank (E16), E16, E16 + F16*'Control PanelOur Matches'!$K$2 + G16*5 + H16*(1/3) + I16*'Control PanelOur Matches'!$M$2 + J16*50)</f>
        <v/>
      </c>
      <c r="P16" s="59">
        <f t="shared" si="2"/>
        <v>0</v>
      </c>
      <c r="Q16" s="60">
        <f t="shared" si="3"/>
        <v>1388</v>
      </c>
      <c r="R16" s="60" t="str">
        <f t="shared" si="4"/>
        <v>1388-1</v>
      </c>
    </row>
    <row r="17" ht="15.0" customHeight="1">
      <c r="A17" s="49">
        <v>14.0</v>
      </c>
      <c r="B17" s="50">
        <v>3.0</v>
      </c>
      <c r="C17" s="52" t="s">
        <v>40</v>
      </c>
      <c r="D17" s="53">
        <f t="array" ref="D17">index('Match Sched'!$C$3:$H753,match(B17,'Match Sched'!$A$3:$A753,0),if(mod(A17,6)=0,6,mod(A17,6)),0)</f>
        <v>5852</v>
      </c>
      <c r="E17" s="54"/>
      <c r="F17" s="55">
        <v>0.0</v>
      </c>
      <c r="G17" s="54"/>
      <c r="H17" s="54"/>
      <c r="I17" s="54">
        <v>1.0</v>
      </c>
      <c r="J17" s="54"/>
      <c r="K17" s="54"/>
      <c r="L17" s="54"/>
      <c r="M17" s="61">
        <f t="shared" ref="M17:N17" si="12">M16</f>
        <v>0</v>
      </c>
      <c r="N17" s="57">
        <f t="shared" si="12"/>
        <v>2</v>
      </c>
      <c r="O17" s="59" t="str">
        <f>if ( isblank (E17), E17, E17 + F17*'Control PanelOur Matches'!$K$2 + G17*5 + H17*(1/3) + I17*'Control PanelOur Matches'!$M$2 + J17*50)</f>
        <v/>
      </c>
      <c r="P17" s="59">
        <f t="shared" si="2"/>
        <v>20</v>
      </c>
      <c r="Q17" s="60">
        <f t="shared" si="3"/>
        <v>5852</v>
      </c>
      <c r="R17" s="60" t="str">
        <f t="shared" si="4"/>
        <v>5852-1</v>
      </c>
    </row>
    <row r="18" ht="15.0" customHeight="1">
      <c r="A18" s="49">
        <v>15.0</v>
      </c>
      <c r="B18" s="50">
        <v>3.0</v>
      </c>
      <c r="C18" s="52" t="s">
        <v>41</v>
      </c>
      <c r="D18" s="53">
        <f t="array" ref="D18">index('Match Sched'!$C$3:$H753,match(B18,'Match Sched'!$A$3:$A753,0),if(mod(A18,6)=0,6,mod(A18,6)),0)</f>
        <v>6619</v>
      </c>
      <c r="E18" s="54"/>
      <c r="F18" s="55">
        <v>0.0</v>
      </c>
      <c r="G18" s="54"/>
      <c r="H18" s="54"/>
      <c r="I18" s="54"/>
      <c r="J18" s="54"/>
      <c r="K18" s="54"/>
      <c r="L18" s="54"/>
      <c r="M18" s="62">
        <f t="shared" ref="M18:N18" si="13">M16</f>
        <v>0</v>
      </c>
      <c r="N18" s="57">
        <f t="shared" si="13"/>
        <v>2</v>
      </c>
      <c r="O18" s="59" t="str">
        <f>if ( isblank (E18), E18, E18 + F18*'Control PanelOur Matches'!$K$2 + G18*5 + H18*(1/3) + I18*'Control PanelOur Matches'!$M$2 + J18*50)</f>
        <v/>
      </c>
      <c r="P18" s="59">
        <f t="shared" si="2"/>
        <v>0</v>
      </c>
      <c r="Q18" s="60">
        <f t="shared" si="3"/>
        <v>6619</v>
      </c>
      <c r="R18" s="60" t="str">
        <f t="shared" si="4"/>
        <v>6619-1</v>
      </c>
    </row>
    <row r="19" ht="15.0" customHeight="1">
      <c r="A19" s="49">
        <v>16.0</v>
      </c>
      <c r="B19" s="50">
        <v>3.0</v>
      </c>
      <c r="C19" s="52" t="s">
        <v>42</v>
      </c>
      <c r="D19" s="53">
        <f t="array" ref="D19">index('Match Sched'!$C$3:$H753,match(B19,'Match Sched'!$A$3:$A753,0),if(mod(A19,6)=0,6,mod(A19,6)),0)</f>
        <v>6657</v>
      </c>
      <c r="E19" s="54"/>
      <c r="F19" s="55">
        <v>0.0</v>
      </c>
      <c r="G19" s="54">
        <v>1.0</v>
      </c>
      <c r="H19" s="54"/>
      <c r="I19" s="54"/>
      <c r="J19" s="54"/>
      <c r="K19" s="54"/>
      <c r="L19" s="54"/>
      <c r="M19" s="57">
        <f>SUM(F19:F21)</f>
        <v>0</v>
      </c>
      <c r="N19" s="57">
        <f>SUM(I19:I21)+1</f>
        <v>1</v>
      </c>
      <c r="O19" s="59" t="str">
        <f>if ( isblank (E19), E19, E19 + F19*'Control PanelOur Matches'!$K$2 + G19*5 + H19*(1/3) + I19*'Control PanelOur Matches'!$M$2 + J19*50)</f>
        <v/>
      </c>
      <c r="P19" s="59">
        <f t="shared" si="2"/>
        <v>5</v>
      </c>
      <c r="Q19" s="60">
        <f t="shared" si="3"/>
        <v>6657</v>
      </c>
      <c r="R19" s="60" t="str">
        <f t="shared" si="4"/>
        <v>6657-1</v>
      </c>
    </row>
    <row r="20" ht="15.0" customHeight="1">
      <c r="A20" s="49">
        <v>17.0</v>
      </c>
      <c r="B20" s="50">
        <v>3.0</v>
      </c>
      <c r="C20" s="52" t="s">
        <v>43</v>
      </c>
      <c r="D20" s="53">
        <f t="array" ref="D20">index('Match Sched'!$C$3:$H753,match(B20,'Match Sched'!$A$3:$A753,0),if(mod(A20,6)=0,6,mod(A20,6)),0)</f>
        <v>3256</v>
      </c>
      <c r="E20" s="54"/>
      <c r="F20" s="55">
        <v>0.0</v>
      </c>
      <c r="G20" s="54">
        <v>1.0</v>
      </c>
      <c r="H20" s="54"/>
      <c r="I20" s="54"/>
      <c r="J20" s="54"/>
      <c r="K20" s="54"/>
      <c r="L20" s="54"/>
      <c r="M20" s="61">
        <f t="shared" ref="M20:N20" si="14">M19</f>
        <v>0</v>
      </c>
      <c r="N20" s="57">
        <f t="shared" si="14"/>
        <v>1</v>
      </c>
      <c r="O20" s="59" t="str">
        <f>if ( isblank (E20), E20, E20 + F20*'Control PanelOur Matches'!$K$2 + G20*5 + H20*(1/3) + I20*'Control PanelOur Matches'!$M$2 + J20*50)</f>
        <v/>
      </c>
      <c r="P20" s="59">
        <f t="shared" si="2"/>
        <v>5</v>
      </c>
      <c r="Q20" s="60">
        <f t="shared" si="3"/>
        <v>3256</v>
      </c>
      <c r="R20" s="60" t="str">
        <f t="shared" si="4"/>
        <v>3256-1</v>
      </c>
    </row>
    <row r="21" ht="15.0" customHeight="1">
      <c r="A21" s="49">
        <v>18.0</v>
      </c>
      <c r="B21" s="50">
        <v>3.0</v>
      </c>
      <c r="C21" s="52" t="s">
        <v>44</v>
      </c>
      <c r="D21" s="53">
        <f t="array" ref="D21">index('Match Sched'!$C$3:$H753,match(B21,'Match Sched'!$A$3:$A753,0),if(mod(A21,6)=0,6,mod(A21,6)),0)</f>
        <v>2367</v>
      </c>
      <c r="E21" s="54"/>
      <c r="F21" s="55">
        <v>0.0</v>
      </c>
      <c r="G21" s="54"/>
      <c r="H21" s="54"/>
      <c r="I21" s="54"/>
      <c r="J21" s="54"/>
      <c r="K21" s="54"/>
      <c r="L21" s="54"/>
      <c r="M21" s="62">
        <f t="shared" ref="M21:N21" si="15">M19</f>
        <v>0</v>
      </c>
      <c r="N21" s="57">
        <f t="shared" si="15"/>
        <v>1</v>
      </c>
      <c r="O21" s="59" t="str">
        <f>if ( isblank (E21), E21, E21 + F21*'Control PanelOur Matches'!$K$2 + G21*5 + H21*(1/3) + I21*'Control PanelOur Matches'!$M$2 + J21*50)</f>
        <v/>
      </c>
      <c r="P21" s="59">
        <f t="shared" si="2"/>
        <v>0</v>
      </c>
      <c r="Q21" s="60">
        <f t="shared" si="3"/>
        <v>2367</v>
      </c>
      <c r="R21" s="60" t="str">
        <f t="shared" si="4"/>
        <v>2367-1</v>
      </c>
    </row>
    <row r="22" ht="15.0" customHeight="1">
      <c r="A22" s="65">
        <v>19.0</v>
      </c>
      <c r="B22" s="66">
        <v>4.0</v>
      </c>
      <c r="C22" s="52" t="s">
        <v>39</v>
      </c>
      <c r="D22" s="53">
        <f t="array" ref="D22">index('Match Sched'!$C$3:$H753,match(B22,'Match Sched'!$A$3:$A753,0),if(mod(A22,6)=0,6,mod(A22,6)),0)</f>
        <v>1422</v>
      </c>
      <c r="E22" s="54"/>
      <c r="F22" s="55">
        <v>0.0</v>
      </c>
      <c r="G22" s="67"/>
      <c r="H22" s="67"/>
      <c r="I22" s="67"/>
      <c r="J22" s="67"/>
      <c r="K22" s="67"/>
      <c r="L22" s="67"/>
      <c r="M22" s="57">
        <f>SUM(F22:F24)</f>
        <v>0</v>
      </c>
      <c r="N22" s="57">
        <f>SUM(I22:I24)+1</f>
        <v>2</v>
      </c>
      <c r="O22" s="59" t="str">
        <f>if ( isblank (E22), E22, E22 + F22*'Control PanelOur Matches'!$K$2 + G22*5 + H22*(1/3) + I22*'Control PanelOur Matches'!$M$2 + J22*50)</f>
        <v/>
      </c>
      <c r="P22" s="59">
        <f t="shared" si="2"/>
        <v>0</v>
      </c>
      <c r="Q22" s="60">
        <f t="shared" si="3"/>
        <v>1422</v>
      </c>
      <c r="R22" s="60" t="str">
        <f t="shared" si="4"/>
        <v>1422-1</v>
      </c>
    </row>
    <row r="23" ht="15.0" customHeight="1">
      <c r="A23" s="65">
        <v>20.0</v>
      </c>
      <c r="B23" s="66">
        <v>4.0</v>
      </c>
      <c r="C23" s="69" t="s">
        <v>40</v>
      </c>
      <c r="D23" s="53">
        <f t="array" ref="D23">index('Match Sched'!$C$3:$H753,match(B23,'Match Sched'!$A$3:$A753,0),if(mod(A23,6)=0,6,mod(A23,6)),0)</f>
        <v>2813</v>
      </c>
      <c r="E23" s="54"/>
      <c r="F23" s="55">
        <v>0.0</v>
      </c>
      <c r="G23" s="67"/>
      <c r="H23" s="67"/>
      <c r="I23" s="67">
        <v>1.0</v>
      </c>
      <c r="J23" s="67">
        <v>1.0</v>
      </c>
      <c r="K23" s="67"/>
      <c r="L23" s="67"/>
      <c r="M23" s="61">
        <f t="shared" ref="M23:N23" si="16">M22</f>
        <v>0</v>
      </c>
      <c r="N23" s="57">
        <f t="shared" si="16"/>
        <v>2</v>
      </c>
      <c r="O23" s="59" t="str">
        <f>if ( isblank (E23), E23, E23 + F23*'Control PanelOur Matches'!$K$2 + G23*5 + H23*(1/3) + I23*'Control PanelOur Matches'!$M$2 + J23*50)</f>
        <v/>
      </c>
      <c r="P23" s="59">
        <f t="shared" si="2"/>
        <v>70</v>
      </c>
      <c r="Q23" s="60">
        <f t="shared" si="3"/>
        <v>2813</v>
      </c>
      <c r="R23" s="60" t="str">
        <f t="shared" si="4"/>
        <v>2813-1</v>
      </c>
    </row>
    <row r="24" ht="15.0" customHeight="1">
      <c r="A24" s="65">
        <v>21.0</v>
      </c>
      <c r="B24" s="66">
        <v>4.0</v>
      </c>
      <c r="C24" s="52" t="s">
        <v>41</v>
      </c>
      <c r="D24" s="53">
        <f t="array" ref="D24">index('Match Sched'!$C$3:$H753,match(B24,'Match Sched'!$A$3:$A753,0),if(mod(A24,6)=0,6,mod(A24,6)),0)</f>
        <v>4276</v>
      </c>
      <c r="E24" s="54"/>
      <c r="F24" s="55">
        <v>0.0</v>
      </c>
      <c r="G24" s="67">
        <v>1.0</v>
      </c>
      <c r="H24" s="67"/>
      <c r="I24" s="67"/>
      <c r="J24" s="67"/>
      <c r="K24" s="67"/>
      <c r="L24" s="67"/>
      <c r="M24" s="62">
        <f t="shared" ref="M24:N24" si="17">M22</f>
        <v>0</v>
      </c>
      <c r="N24" s="57">
        <f t="shared" si="17"/>
        <v>2</v>
      </c>
      <c r="O24" s="59" t="str">
        <f>if ( isblank (E24), E24, E24 + F24*'Control PanelOur Matches'!$K$2 + G24*5 + H24*(1/3) + I24*'Control PanelOur Matches'!$M$2 + J24*50)</f>
        <v/>
      </c>
      <c r="P24" s="59">
        <f t="shared" si="2"/>
        <v>5</v>
      </c>
      <c r="Q24" s="60">
        <f t="shared" si="3"/>
        <v>4276</v>
      </c>
      <c r="R24" s="60" t="str">
        <f t="shared" si="4"/>
        <v>4276-1</v>
      </c>
    </row>
    <row r="25" ht="15.0" customHeight="1">
      <c r="A25" s="65">
        <v>22.0</v>
      </c>
      <c r="B25" s="66">
        <v>4.0</v>
      </c>
      <c r="C25" s="52" t="s">
        <v>42</v>
      </c>
      <c r="D25" s="53">
        <f t="array" ref="D25">index('Match Sched'!$C$3:$H753,match(B25,'Match Sched'!$A$3:$A753,0),if(mod(A25,6)=0,6,mod(A25,6)),0)</f>
        <v>5104</v>
      </c>
      <c r="E25" s="54"/>
      <c r="F25" s="55">
        <v>0.0</v>
      </c>
      <c r="G25" s="67">
        <v>1.0</v>
      </c>
      <c r="H25" s="67"/>
      <c r="I25" s="67">
        <v>1.0</v>
      </c>
      <c r="J25" s="67">
        <v>1.0</v>
      </c>
      <c r="K25" s="67"/>
      <c r="L25" s="67"/>
      <c r="M25" s="57">
        <f>SUM(F25:F27)</f>
        <v>0</v>
      </c>
      <c r="N25" s="57">
        <f>SUM(I25:I27)+1</f>
        <v>2</v>
      </c>
      <c r="O25" s="59" t="str">
        <f>if ( isblank (E25), E25, E25 + F25*'Control PanelOur Matches'!$K$2 + G25*5 + H25*(1/3) + I25*'Control PanelOur Matches'!$M$2 + J25*50)</f>
        <v/>
      </c>
      <c r="P25" s="59">
        <f t="shared" si="2"/>
        <v>75</v>
      </c>
      <c r="Q25" s="60">
        <f t="shared" si="3"/>
        <v>5104</v>
      </c>
      <c r="R25" s="60" t="str">
        <f t="shared" si="4"/>
        <v>5104-1</v>
      </c>
    </row>
    <row r="26" ht="15.0" customHeight="1">
      <c r="A26" s="65">
        <v>23.0</v>
      </c>
      <c r="B26" s="66">
        <v>4.0</v>
      </c>
      <c r="C26" s="52" t="s">
        <v>43</v>
      </c>
      <c r="D26" s="53">
        <f t="array" ref="D26">index('Match Sched'!$C$3:$H753,match(B26,'Match Sched'!$A$3:$A753,0),if(mod(A26,6)=0,6,mod(A26,6)),0)</f>
        <v>6650</v>
      </c>
      <c r="E26" s="54"/>
      <c r="F26" s="55">
        <v>0.0</v>
      </c>
      <c r="G26" s="67"/>
      <c r="H26" s="67"/>
      <c r="I26" s="67"/>
      <c r="J26" s="67"/>
      <c r="K26" s="67"/>
      <c r="L26" s="67"/>
      <c r="M26" s="61">
        <f t="shared" ref="M26:N26" si="18">M25</f>
        <v>0</v>
      </c>
      <c r="N26" s="57">
        <f t="shared" si="18"/>
        <v>2</v>
      </c>
      <c r="O26" s="59" t="str">
        <f>if ( isblank (E26), E26, E26 + F26*'Control PanelOur Matches'!$K$2 + G26*5 + H26*(1/3) + I26*'Control PanelOur Matches'!$M$2 + J26*50)</f>
        <v/>
      </c>
      <c r="P26" s="59">
        <f t="shared" si="2"/>
        <v>0</v>
      </c>
      <c r="Q26" s="60">
        <f t="shared" si="3"/>
        <v>6650</v>
      </c>
      <c r="R26" s="60" t="str">
        <f t="shared" si="4"/>
        <v>6650-1</v>
      </c>
    </row>
    <row r="27" ht="15.0" customHeight="1">
      <c r="A27" s="65">
        <v>24.0</v>
      </c>
      <c r="B27" s="66">
        <v>4.0</v>
      </c>
      <c r="C27" s="68" t="s">
        <v>44</v>
      </c>
      <c r="D27" s="53">
        <f t="array" ref="D27">index('Match Sched'!$C$3:$H753,match(B27,'Match Sched'!$A$3:$A753,0),if(mod(A27,6)=0,6,mod(A27,6)),0)</f>
        <v>6711</v>
      </c>
      <c r="E27" s="54"/>
      <c r="F27" s="55">
        <v>0.0</v>
      </c>
      <c r="G27" s="67"/>
      <c r="H27" s="67"/>
      <c r="I27" s="67"/>
      <c r="J27" s="67"/>
      <c r="K27" s="67">
        <v>1.0</v>
      </c>
      <c r="L27" s="67"/>
      <c r="M27" s="62">
        <f t="shared" ref="M27:N27" si="19">M25</f>
        <v>0</v>
      </c>
      <c r="N27" s="57">
        <f t="shared" si="19"/>
        <v>2</v>
      </c>
      <c r="O27" s="59" t="str">
        <f>if ( isblank (E27), E27, E27 + F27*'Control PanelOur Matches'!$K$2 + G27*5 + H27*(1/3) + I27*'Control PanelOur Matches'!$M$2 + J27*50)</f>
        <v/>
      </c>
      <c r="P27" s="59">
        <f t="shared" si="2"/>
        <v>0</v>
      </c>
      <c r="Q27" s="60">
        <f t="shared" si="3"/>
        <v>6711</v>
      </c>
      <c r="R27" s="60" t="str">
        <f t="shared" si="4"/>
        <v>6711-1</v>
      </c>
    </row>
    <row r="28" ht="15.0" customHeight="1">
      <c r="A28" s="49">
        <v>25.0</v>
      </c>
      <c r="B28" s="50">
        <v>5.0</v>
      </c>
      <c r="C28" s="52" t="s">
        <v>39</v>
      </c>
      <c r="D28" s="53">
        <f t="array" ref="D28">index('Match Sched'!$C$3:$H753,match(B28,'Match Sched'!$A$3:$A753,0),if(mod(A28,6)=0,6,mod(A28,6)),0)</f>
        <v>4543</v>
      </c>
      <c r="E28" s="54"/>
      <c r="F28" s="55">
        <v>0.0</v>
      </c>
      <c r="G28" s="54">
        <v>1.0</v>
      </c>
      <c r="H28" s="54"/>
      <c r="I28" s="54">
        <v>3.0</v>
      </c>
      <c r="J28" s="54"/>
      <c r="K28" s="54"/>
      <c r="L28" s="54"/>
      <c r="M28" s="57">
        <f>SUM(F28:F30)</f>
        <v>0</v>
      </c>
      <c r="N28" s="57">
        <f>SUM(I28:I30)+1</f>
        <v>7</v>
      </c>
      <c r="O28" s="59" t="str">
        <f>if ( isblank (E28), E28, E28 + F28*'Control PanelOur Matches'!$K$2 + G28*5 + H28*(1/3) + I28*'Control PanelOur Matches'!$M$2 + J28*50)</f>
        <v/>
      </c>
      <c r="P28" s="59">
        <f t="shared" si="2"/>
        <v>56.42857143</v>
      </c>
      <c r="Q28" s="60">
        <f t="shared" si="3"/>
        <v>4543</v>
      </c>
      <c r="R28" s="60" t="str">
        <f t="shared" si="4"/>
        <v>4543-1</v>
      </c>
    </row>
    <row r="29" ht="15.0" customHeight="1">
      <c r="A29" s="49">
        <v>26.0</v>
      </c>
      <c r="B29" s="50">
        <v>5.0</v>
      </c>
      <c r="C29" s="52" t="s">
        <v>40</v>
      </c>
      <c r="D29" s="53">
        <f t="array" ref="D29">index('Match Sched'!$C$3:$H753,match(B29,'Match Sched'!$A$3:$A753,0),if(mod(A29,6)=0,6,mod(A29,6)),0)</f>
        <v>5677</v>
      </c>
      <c r="E29" s="54"/>
      <c r="F29" s="55">
        <v>0.0</v>
      </c>
      <c r="G29" s="54">
        <v>1.0</v>
      </c>
      <c r="H29" s="54"/>
      <c r="I29" s="54"/>
      <c r="J29" s="54"/>
      <c r="K29" s="54"/>
      <c r="L29" s="54"/>
      <c r="M29" s="61">
        <f t="shared" ref="M29:N29" si="20">M28</f>
        <v>0</v>
      </c>
      <c r="N29" s="57">
        <f t="shared" si="20"/>
        <v>7</v>
      </c>
      <c r="O29" s="59" t="str">
        <f>if ( isblank (E29), E29, E29 + F29*'Control PanelOur Matches'!$K$2 + G29*5 + H29*(1/3) + I29*'Control PanelOur Matches'!$M$2 + J29*50)</f>
        <v/>
      </c>
      <c r="P29" s="59">
        <f t="shared" si="2"/>
        <v>5</v>
      </c>
      <c r="Q29" s="60">
        <f t="shared" si="3"/>
        <v>5677</v>
      </c>
      <c r="R29" s="60" t="str">
        <f t="shared" si="4"/>
        <v>5677-1</v>
      </c>
    </row>
    <row r="30" ht="15.0" customHeight="1">
      <c r="A30" s="49">
        <v>27.0</v>
      </c>
      <c r="B30" s="50">
        <v>5.0</v>
      </c>
      <c r="C30" s="52" t="s">
        <v>41</v>
      </c>
      <c r="D30" s="53">
        <f t="array" ref="D30">index('Match Sched'!$C$3:$H753,match(B30,'Match Sched'!$A$3:$A753,0),if(mod(A30,6)=0,6,mod(A30,6)),0)</f>
        <v>973</v>
      </c>
      <c r="E30" s="54"/>
      <c r="F30" s="55">
        <v>0.0</v>
      </c>
      <c r="G30" s="54">
        <v>1.0</v>
      </c>
      <c r="H30" s="54"/>
      <c r="I30" s="54">
        <v>3.0</v>
      </c>
      <c r="J30" s="54"/>
      <c r="K30" s="54"/>
      <c r="L30" s="54"/>
      <c r="M30" s="62">
        <f t="shared" ref="M30:N30" si="21">M28</f>
        <v>0</v>
      </c>
      <c r="N30" s="57">
        <f t="shared" si="21"/>
        <v>7</v>
      </c>
      <c r="O30" s="59" t="str">
        <f>if ( isblank (E30), E30, E30 + F30*'Control PanelOur Matches'!$K$2 + G30*5 + H30*(1/3) + I30*'Control PanelOur Matches'!$M$2 + J30*50)</f>
        <v/>
      </c>
      <c r="P30" s="59">
        <f t="shared" si="2"/>
        <v>56.42857143</v>
      </c>
      <c r="Q30" s="60">
        <f t="shared" si="3"/>
        <v>973</v>
      </c>
      <c r="R30" s="60" t="str">
        <f t="shared" si="4"/>
        <v>973-1</v>
      </c>
    </row>
    <row r="31" ht="15.0" customHeight="1">
      <c r="A31" s="49">
        <v>28.0</v>
      </c>
      <c r="B31" s="50">
        <v>5.0</v>
      </c>
      <c r="C31" s="52" t="s">
        <v>42</v>
      </c>
      <c r="D31" s="53">
        <f t="array" ref="D31">index('Match Sched'!$C$3:$H753,match(B31,'Match Sched'!$A$3:$A753,0),if(mod(A31,6)=0,6,mod(A31,6)),0)</f>
        <v>3495</v>
      </c>
      <c r="E31" s="54"/>
      <c r="F31" s="55">
        <v>0.0</v>
      </c>
      <c r="G31" s="54"/>
      <c r="H31" s="54"/>
      <c r="I31" s="54"/>
      <c r="J31" s="54"/>
      <c r="K31" s="54"/>
      <c r="L31" s="54"/>
      <c r="M31" s="57">
        <f>SUM(F31:F33)</f>
        <v>0</v>
      </c>
      <c r="N31" s="57">
        <f>SUM(I31:I33)+1</f>
        <v>5</v>
      </c>
      <c r="O31" s="59" t="str">
        <f>if ( isblank (E31), E31, E31 + F31*'Control PanelOur Matches'!$K$2 + G31*5 + H31*(1/3) + I31*'Control PanelOur Matches'!$M$2 + J31*50)</f>
        <v/>
      </c>
      <c r="P31" s="59">
        <f t="shared" si="2"/>
        <v>0</v>
      </c>
      <c r="Q31" s="60">
        <f t="shared" si="3"/>
        <v>3495</v>
      </c>
      <c r="R31" s="60" t="str">
        <f t="shared" si="4"/>
        <v>3495-1</v>
      </c>
    </row>
    <row r="32" ht="15.0" customHeight="1">
      <c r="A32" s="49">
        <v>29.0</v>
      </c>
      <c r="B32" s="50">
        <v>5.0</v>
      </c>
      <c r="C32" s="52" t="s">
        <v>43</v>
      </c>
      <c r="D32" s="53">
        <f t="array" ref="D32">index('Match Sched'!$C$3:$H753,match(B32,'Match Sched'!$A$3:$A753,0),if(mod(A32,6)=0,6,mod(A32,6)),0)</f>
        <v>3189</v>
      </c>
      <c r="E32" s="54"/>
      <c r="F32" s="55">
        <v>0.0</v>
      </c>
      <c r="G32" s="54">
        <v>1.0</v>
      </c>
      <c r="H32" s="54"/>
      <c r="I32" s="54">
        <v>1.0</v>
      </c>
      <c r="J32" s="54"/>
      <c r="K32" s="54"/>
      <c r="L32" s="54"/>
      <c r="M32" s="61">
        <f t="shared" ref="M32:N32" si="22">M31</f>
        <v>0</v>
      </c>
      <c r="N32" s="57">
        <f t="shared" si="22"/>
        <v>5</v>
      </c>
      <c r="O32" s="59" t="str">
        <f>if ( isblank (E32), E32, E32 + F32*'Control PanelOur Matches'!$K$2 + G32*5 + H32*(1/3) + I32*'Control PanelOur Matches'!$M$2 + J32*50)</f>
        <v/>
      </c>
      <c r="P32" s="59">
        <f t="shared" si="2"/>
        <v>21</v>
      </c>
      <c r="Q32" s="60">
        <f t="shared" si="3"/>
        <v>3189</v>
      </c>
      <c r="R32" s="60" t="str">
        <f t="shared" si="4"/>
        <v>3189-1</v>
      </c>
    </row>
    <row r="33" ht="15.0" customHeight="1">
      <c r="A33" s="49">
        <v>30.0</v>
      </c>
      <c r="B33" s="50">
        <v>5.0</v>
      </c>
      <c r="C33" s="52" t="s">
        <v>44</v>
      </c>
      <c r="D33" s="53">
        <f t="array" ref="D33">index('Match Sched'!$C$3:$H753,match(B33,'Match Sched'!$A$3:$A753,0),if(mod(A33,6)=0,6,mod(A33,6)),0)</f>
        <v>1671</v>
      </c>
      <c r="E33" s="54"/>
      <c r="F33" s="55">
        <v>0.0</v>
      </c>
      <c r="G33" s="54">
        <v>1.0</v>
      </c>
      <c r="H33" s="54"/>
      <c r="I33" s="54">
        <v>3.0</v>
      </c>
      <c r="J33" s="54"/>
      <c r="K33" s="54"/>
      <c r="L33" s="54"/>
      <c r="M33" s="62">
        <f t="shared" ref="M33:N33" si="23">M31</f>
        <v>0</v>
      </c>
      <c r="N33" s="57">
        <f t="shared" si="23"/>
        <v>5</v>
      </c>
      <c r="O33" s="59" t="str">
        <f>if ( isblank (E33), E33, E33 + F33*'Control PanelOur Matches'!$K$2 + G33*5 + H33*(1/3) + I33*'Control PanelOur Matches'!$M$2 + J33*50)</f>
        <v/>
      </c>
      <c r="P33" s="59">
        <f t="shared" si="2"/>
        <v>53</v>
      </c>
      <c r="Q33" s="60">
        <f t="shared" si="3"/>
        <v>1671</v>
      </c>
      <c r="R33" s="60" t="str">
        <f t="shared" si="4"/>
        <v>1671-1</v>
      </c>
    </row>
    <row r="34" ht="15.0" customHeight="1">
      <c r="A34" s="65">
        <v>31.0</v>
      </c>
      <c r="B34" s="66">
        <v>6.0</v>
      </c>
      <c r="C34" s="52" t="s">
        <v>39</v>
      </c>
      <c r="D34" s="53">
        <f t="array" ref="D34">index('Match Sched'!$C$3:$H753,match(B34,'Match Sched'!$A$3:$A753,0),if(mod(A34,6)=0,6,mod(A34,6)),0)</f>
        <v>1868</v>
      </c>
      <c r="E34" s="54"/>
      <c r="F34" s="55">
        <v>0.0</v>
      </c>
      <c r="G34" s="67">
        <v>1.0</v>
      </c>
      <c r="H34" s="67"/>
      <c r="I34" s="67">
        <v>2.0</v>
      </c>
      <c r="J34" s="67">
        <v>1.0</v>
      </c>
      <c r="K34" s="67"/>
      <c r="L34" s="67"/>
      <c r="M34" s="57">
        <f>SUM(F34:F36)</f>
        <v>0</v>
      </c>
      <c r="N34" s="57">
        <f>SUM(I34:I36)+1</f>
        <v>6</v>
      </c>
      <c r="O34" s="59" t="str">
        <f>if ( isblank (E34), E34, E34 + F34*'Control PanelOur Matches'!$K$2 + G34*5 + H34*(1/3) + I34*'Control PanelOur Matches'!$M$2 + J34*50)</f>
        <v/>
      </c>
      <c r="P34" s="59">
        <f t="shared" si="2"/>
        <v>81.66666667</v>
      </c>
      <c r="Q34" s="60">
        <f t="shared" si="3"/>
        <v>1868</v>
      </c>
      <c r="R34" s="60" t="str">
        <f t="shared" si="4"/>
        <v>1868-1</v>
      </c>
    </row>
    <row r="35" ht="15.0" customHeight="1">
      <c r="A35" s="65">
        <v>32.0</v>
      </c>
      <c r="B35" s="66">
        <v>6.0</v>
      </c>
      <c r="C35" s="52" t="s">
        <v>40</v>
      </c>
      <c r="D35" s="53">
        <f t="array" ref="D35">index('Match Sched'!$C$3:$H753,match(B35,'Match Sched'!$A$3:$A753,0),if(mod(A35,6)=0,6,mod(A35,6)),0)</f>
        <v>2135</v>
      </c>
      <c r="E35" s="54"/>
      <c r="F35" s="55">
        <v>0.0</v>
      </c>
      <c r="G35" s="67"/>
      <c r="H35" s="67"/>
      <c r="I35" s="67">
        <v>1.0</v>
      </c>
      <c r="J35" s="67">
        <v>1.0</v>
      </c>
      <c r="K35" s="67"/>
      <c r="L35" s="67"/>
      <c r="M35" s="61">
        <f t="shared" ref="M35:N35" si="24">M34</f>
        <v>0</v>
      </c>
      <c r="N35" s="57">
        <f t="shared" si="24"/>
        <v>6</v>
      </c>
      <c r="O35" s="59" t="str">
        <f>if ( isblank (E35), E35, E35 + F35*'Control PanelOur Matches'!$K$2 + G35*5 + H35*(1/3) + I35*'Control PanelOur Matches'!$M$2 + J35*50)</f>
        <v/>
      </c>
      <c r="P35" s="59">
        <f t="shared" si="2"/>
        <v>63.33333333</v>
      </c>
      <c r="Q35" s="60">
        <f t="shared" si="3"/>
        <v>2135</v>
      </c>
      <c r="R35" s="60" t="str">
        <f t="shared" si="4"/>
        <v>2135-1</v>
      </c>
    </row>
    <row r="36" ht="15.0" customHeight="1">
      <c r="A36" s="65">
        <v>33.0</v>
      </c>
      <c r="B36" s="66">
        <v>6.0</v>
      </c>
      <c r="C36" s="52" t="s">
        <v>41</v>
      </c>
      <c r="D36" s="53">
        <f t="array" ref="D36">index('Match Sched'!$C$3:$H753,match(B36,'Match Sched'!$A$3:$A753,0),if(mod(A36,6)=0,6,mod(A36,6)),0)</f>
        <v>751</v>
      </c>
      <c r="E36" s="54"/>
      <c r="F36" s="55">
        <v>0.0</v>
      </c>
      <c r="G36" s="67">
        <v>1.0</v>
      </c>
      <c r="H36" s="67"/>
      <c r="I36" s="67">
        <v>2.0</v>
      </c>
      <c r="J36" s="67">
        <v>1.0</v>
      </c>
      <c r="K36" s="67"/>
      <c r="L36" s="67"/>
      <c r="M36" s="62">
        <f t="shared" ref="M36:N36" si="25">M34</f>
        <v>0</v>
      </c>
      <c r="N36" s="57">
        <f t="shared" si="25"/>
        <v>6</v>
      </c>
      <c r="O36" s="59" t="str">
        <f>if ( isblank (E36), E36, E36 + F36*'Control PanelOur Matches'!$K$2 + G36*5 + H36*(1/3) + I36*'Control PanelOur Matches'!$M$2 + J36*50)</f>
        <v/>
      </c>
      <c r="P36" s="59">
        <f t="shared" si="2"/>
        <v>81.66666667</v>
      </c>
      <c r="Q36" s="60">
        <f t="shared" si="3"/>
        <v>751</v>
      </c>
      <c r="R36" s="60" t="str">
        <f t="shared" si="4"/>
        <v>751-1</v>
      </c>
    </row>
    <row r="37" ht="15.0" customHeight="1">
      <c r="A37" s="65">
        <v>34.0</v>
      </c>
      <c r="B37" s="66">
        <v>6.0</v>
      </c>
      <c r="C37" s="52" t="s">
        <v>42</v>
      </c>
      <c r="D37" s="53">
        <f t="array" ref="D37">index('Match Sched'!$C$3:$H753,match(B37,'Match Sched'!$A$3:$A753,0),if(mod(A37,6)=0,6,mod(A37,6)),0)</f>
        <v>1662</v>
      </c>
      <c r="E37" s="54"/>
      <c r="F37" s="55">
        <v>0.0</v>
      </c>
      <c r="G37" s="67">
        <v>1.0</v>
      </c>
      <c r="H37" s="67"/>
      <c r="I37" s="67"/>
      <c r="J37" s="67">
        <v>1.0</v>
      </c>
      <c r="K37" s="67"/>
      <c r="L37" s="67"/>
      <c r="M37" s="57">
        <f>SUM(F37:F39)</f>
        <v>1</v>
      </c>
      <c r="N37" s="57">
        <f>SUM(I37:I39)+1</f>
        <v>3</v>
      </c>
      <c r="O37" s="59" t="str">
        <f>if ( isblank (E37), E37, E37 + F37*'Control PanelOur Matches'!$K$2 + G37*5 + H37*(1/3) + I37*'Control PanelOur Matches'!$M$2 + J37*50)</f>
        <v/>
      </c>
      <c r="P37" s="59">
        <f t="shared" si="2"/>
        <v>55</v>
      </c>
      <c r="Q37" s="60">
        <f t="shared" si="3"/>
        <v>1662</v>
      </c>
      <c r="R37" s="60" t="str">
        <f t="shared" si="4"/>
        <v>1662-1</v>
      </c>
    </row>
    <row r="38" ht="15.0" customHeight="1">
      <c r="A38" s="65">
        <v>35.0</v>
      </c>
      <c r="B38" s="66">
        <v>6.0</v>
      </c>
      <c r="C38" s="52" t="s">
        <v>43</v>
      </c>
      <c r="D38" s="53">
        <f t="array" ref="D38">index('Match Sched'!$C$3:$H753,match(B38,'Match Sched'!$A$3:$A753,0),if(mod(A38,6)=0,6,mod(A38,6)),0)</f>
        <v>1072</v>
      </c>
      <c r="E38" s="54"/>
      <c r="F38" s="55">
        <v>1.0</v>
      </c>
      <c r="G38" s="67">
        <v>1.0</v>
      </c>
      <c r="H38" s="67"/>
      <c r="I38" s="67">
        <v>1.0</v>
      </c>
      <c r="J38" s="67">
        <v>1.0</v>
      </c>
      <c r="K38" s="67"/>
      <c r="L38" s="67"/>
      <c r="M38" s="61">
        <f t="shared" ref="M38:N38" si="26">M37</f>
        <v>1</v>
      </c>
      <c r="N38" s="57">
        <f t="shared" si="26"/>
        <v>3</v>
      </c>
      <c r="O38" s="59" t="str">
        <f>if ( isblank (E38), E38, E38 + F38*'Control PanelOur Matches'!$K$2 + G38*5 + H38*(1/3) + I38*'Control PanelOur Matches'!$M$2 + J38*50)</f>
        <v/>
      </c>
      <c r="P38" s="59">
        <f t="shared" si="2"/>
        <v>128.3333333</v>
      </c>
      <c r="Q38" s="60">
        <f t="shared" si="3"/>
        <v>1072</v>
      </c>
      <c r="R38" s="60" t="str">
        <f t="shared" si="4"/>
        <v>1072-1</v>
      </c>
    </row>
    <row r="39" ht="15.0" customHeight="1">
      <c r="A39" s="65">
        <v>36.0</v>
      </c>
      <c r="B39" s="66">
        <v>6.0</v>
      </c>
      <c r="C39" s="68" t="s">
        <v>44</v>
      </c>
      <c r="D39" s="53">
        <f t="array" ref="D39">index('Match Sched'!$C$3:$H753,match(B39,'Match Sched'!$A$3:$A753,0),if(mod(A39,6)=0,6,mod(A39,6)),0)</f>
        <v>852</v>
      </c>
      <c r="E39" s="54"/>
      <c r="F39" s="55">
        <v>0.0</v>
      </c>
      <c r="G39" s="67">
        <v>1.0</v>
      </c>
      <c r="H39" s="67"/>
      <c r="I39" s="67">
        <v>1.0</v>
      </c>
      <c r="J39" s="67">
        <v>1.0</v>
      </c>
      <c r="K39" s="67"/>
      <c r="L39" s="67"/>
      <c r="M39" s="62">
        <f t="shared" ref="M39:N39" si="27">M37</f>
        <v>1</v>
      </c>
      <c r="N39" s="57">
        <f t="shared" si="27"/>
        <v>3</v>
      </c>
      <c r="O39" s="59" t="str">
        <f>if ( isblank (E39), E39, E39 + F39*'Control PanelOur Matches'!$K$2 + G39*5 + H39*(1/3) + I39*'Control PanelOur Matches'!$M$2 + J39*50)</f>
        <v/>
      </c>
      <c r="P39" s="59">
        <f t="shared" si="2"/>
        <v>68.33333333</v>
      </c>
      <c r="Q39" s="60">
        <f t="shared" si="3"/>
        <v>852</v>
      </c>
      <c r="R39" s="60" t="str">
        <f t="shared" si="4"/>
        <v>852-1</v>
      </c>
    </row>
    <row r="40" ht="15.0" customHeight="1">
      <c r="A40" s="49">
        <v>37.0</v>
      </c>
      <c r="B40" s="50">
        <v>7.0</v>
      </c>
      <c r="C40" s="52" t="s">
        <v>39</v>
      </c>
      <c r="D40" s="53">
        <f t="array" ref="D40">index('Match Sched'!$C$3:$H753,match(B40,'Match Sched'!$A$3:$A753,0),if(mod(A40,6)=0,6,mod(A40,6)),0)</f>
        <v>972</v>
      </c>
      <c r="E40" s="54"/>
      <c r="F40" s="55">
        <v>0.0</v>
      </c>
      <c r="G40" s="54"/>
      <c r="H40" s="54"/>
      <c r="I40" s="54">
        <v>2.0</v>
      </c>
      <c r="J40" s="54"/>
      <c r="K40" s="54"/>
      <c r="L40" s="54"/>
      <c r="M40" s="57">
        <f>SUM(F40:F42)</f>
        <v>0</v>
      </c>
      <c r="N40" s="57">
        <f>SUM(I40:I42)+1</f>
        <v>8</v>
      </c>
      <c r="O40" s="59" t="str">
        <f>if ( isblank (E40), E40, E40 + F40*'Control PanelOur Matches'!$K$2 + G40*5 + H40*(1/3) + I40*'Control PanelOur Matches'!$M$2 + J40*50)</f>
        <v/>
      </c>
      <c r="P40" s="59">
        <f t="shared" si="2"/>
        <v>30</v>
      </c>
      <c r="Q40" s="60">
        <f t="shared" si="3"/>
        <v>972</v>
      </c>
      <c r="R40" s="60" t="str">
        <f t="shared" si="4"/>
        <v>972-1</v>
      </c>
    </row>
    <row r="41" ht="15.0" customHeight="1">
      <c r="A41" s="49">
        <v>38.0</v>
      </c>
      <c r="B41" s="50">
        <v>7.0</v>
      </c>
      <c r="C41" s="52" t="s">
        <v>40</v>
      </c>
      <c r="D41" s="53">
        <f t="array" ref="D41">index('Match Sched'!$C$3:$H753,match(B41,'Match Sched'!$A$3:$A753,0),if(mod(A41,6)=0,6,mod(A41,6)),0)</f>
        <v>4643</v>
      </c>
      <c r="E41" s="54"/>
      <c r="F41" s="55">
        <v>0.0</v>
      </c>
      <c r="G41" s="54">
        <v>1.0</v>
      </c>
      <c r="H41" s="54"/>
      <c r="I41" s="54">
        <v>2.0</v>
      </c>
      <c r="J41" s="54"/>
      <c r="K41" s="54"/>
      <c r="L41" s="54"/>
      <c r="M41" s="61">
        <f t="shared" ref="M41:N41" si="28">M40</f>
        <v>0</v>
      </c>
      <c r="N41" s="57">
        <f t="shared" si="28"/>
        <v>8</v>
      </c>
      <c r="O41" s="59" t="str">
        <f>if ( isblank (E41), E41, E41 + F41*'Control PanelOur Matches'!$K$2 + G41*5 + H41*(1/3) + I41*'Control PanelOur Matches'!$M$2 + J41*50)</f>
        <v/>
      </c>
      <c r="P41" s="59">
        <f t="shared" si="2"/>
        <v>35</v>
      </c>
      <c r="Q41" s="60">
        <f t="shared" si="3"/>
        <v>4643</v>
      </c>
      <c r="R41" s="60" t="str">
        <f t="shared" si="4"/>
        <v>4643-1</v>
      </c>
    </row>
    <row r="42" ht="15.0" customHeight="1">
      <c r="A42" s="49">
        <v>39.0</v>
      </c>
      <c r="B42" s="50">
        <v>7.0</v>
      </c>
      <c r="C42" s="52" t="s">
        <v>41</v>
      </c>
      <c r="D42" s="53">
        <f t="array" ref="D42">index('Match Sched'!$C$3:$H753,match(B42,'Match Sched'!$A$3:$A753,0),if(mod(A42,6)=0,6,mod(A42,6)),0)</f>
        <v>4415</v>
      </c>
      <c r="E42" s="54"/>
      <c r="F42" s="55">
        <v>0.0</v>
      </c>
      <c r="G42" s="54"/>
      <c r="H42" s="54"/>
      <c r="I42" s="54">
        <v>3.0</v>
      </c>
      <c r="J42" s="54">
        <v>1.0</v>
      </c>
      <c r="K42" s="54"/>
      <c r="L42" s="54"/>
      <c r="M42" s="62">
        <f t="shared" ref="M42:N42" si="29">M40</f>
        <v>0</v>
      </c>
      <c r="N42" s="57">
        <f t="shared" si="29"/>
        <v>8</v>
      </c>
      <c r="O42" s="59" t="str">
        <f>if ( isblank (E42), E42, E42 + F42*'Control PanelOur Matches'!$K$2 + G42*5 + H42*(1/3) + I42*'Control PanelOur Matches'!$M$2 + J42*50)</f>
        <v/>
      </c>
      <c r="P42" s="59">
        <f t="shared" si="2"/>
        <v>95</v>
      </c>
      <c r="Q42" s="60">
        <f t="shared" si="3"/>
        <v>4415</v>
      </c>
      <c r="R42" s="60" t="str">
        <f t="shared" si="4"/>
        <v>4415-1</v>
      </c>
    </row>
    <row r="43" ht="15.0" customHeight="1">
      <c r="A43" s="49">
        <v>40.0</v>
      </c>
      <c r="B43" s="50">
        <v>7.0</v>
      </c>
      <c r="C43" s="52" t="s">
        <v>42</v>
      </c>
      <c r="D43" s="53">
        <f t="array" ref="D43">index('Match Sched'!$C$3:$H753,match(B43,'Match Sched'!$A$3:$A753,0),if(mod(A43,6)=0,6,mod(A43,6)),0)</f>
        <v>687</v>
      </c>
      <c r="E43" s="54"/>
      <c r="F43" s="55">
        <v>0.0</v>
      </c>
      <c r="G43" s="54">
        <v>1.0</v>
      </c>
      <c r="H43" s="54"/>
      <c r="I43" s="54">
        <v>1.0</v>
      </c>
      <c r="J43" s="54"/>
      <c r="K43" s="54"/>
      <c r="L43" s="54"/>
      <c r="M43" s="57">
        <f>SUM(F43:F45)</f>
        <v>0</v>
      </c>
      <c r="N43" s="57">
        <f>SUM(I43:I45)+1</f>
        <v>5</v>
      </c>
      <c r="O43" s="59" t="str">
        <f>if ( isblank (E43), E43, E43 + F43*'Control PanelOur Matches'!$K$2 + G43*5 + H43*(1/3) + I43*'Control PanelOur Matches'!$M$2 + J43*50)</f>
        <v/>
      </c>
      <c r="P43" s="59">
        <f t="shared" si="2"/>
        <v>21</v>
      </c>
      <c r="Q43" s="60">
        <f t="shared" si="3"/>
        <v>687</v>
      </c>
      <c r="R43" s="60" t="str">
        <f t="shared" si="4"/>
        <v>687-1</v>
      </c>
    </row>
    <row r="44" ht="15.0" customHeight="1">
      <c r="A44" s="49">
        <v>41.0</v>
      </c>
      <c r="B44" s="50">
        <v>7.0</v>
      </c>
      <c r="C44" s="52" t="s">
        <v>43</v>
      </c>
      <c r="D44" s="53">
        <f t="array" ref="D44">index('Match Sched'!$C$3:$H753,match(B44,'Match Sched'!$A$3:$A753,0),if(mod(A44,6)=0,6,mod(A44,6)),0)</f>
        <v>980</v>
      </c>
      <c r="E44" s="54"/>
      <c r="F44" s="55">
        <v>0.0</v>
      </c>
      <c r="G44" s="54"/>
      <c r="H44" s="54"/>
      <c r="I44" s="54">
        <v>3.0</v>
      </c>
      <c r="J44" s="54"/>
      <c r="K44" s="54"/>
      <c r="L44" s="54"/>
      <c r="M44" s="61">
        <f t="shared" ref="M44:N44" si="30">M43</f>
        <v>0</v>
      </c>
      <c r="N44" s="57">
        <f t="shared" si="30"/>
        <v>5</v>
      </c>
      <c r="O44" s="59" t="str">
        <f>if ( isblank (E44), E44, E44 + F44*'Control PanelOur Matches'!$K$2 + G44*5 + H44*(1/3) + I44*'Control PanelOur Matches'!$M$2 + J44*50)</f>
        <v/>
      </c>
      <c r="P44" s="59">
        <f t="shared" si="2"/>
        <v>48</v>
      </c>
      <c r="Q44" s="60">
        <f t="shared" si="3"/>
        <v>980</v>
      </c>
      <c r="R44" s="60" t="str">
        <f t="shared" si="4"/>
        <v>980-1</v>
      </c>
    </row>
    <row r="45" ht="15.0" customHeight="1">
      <c r="A45" s="49">
        <v>42.0</v>
      </c>
      <c r="B45" s="50">
        <v>7.0</v>
      </c>
      <c r="C45" s="52" t="s">
        <v>44</v>
      </c>
      <c r="D45" s="53">
        <f t="array" ref="D45">index('Match Sched'!$C$3:$H753,match(B45,'Match Sched'!$A$3:$A753,0),if(mod(A45,6)=0,6,mod(A45,6)),0)</f>
        <v>6059</v>
      </c>
      <c r="E45" s="54"/>
      <c r="F45" s="55">
        <v>0.0</v>
      </c>
      <c r="G45" s="54"/>
      <c r="H45" s="54"/>
      <c r="I45" s="54"/>
      <c r="J45" s="54"/>
      <c r="K45" s="54"/>
      <c r="L45" s="54"/>
      <c r="M45" s="62">
        <f t="shared" ref="M45:N45" si="31">M43</f>
        <v>0</v>
      </c>
      <c r="N45" s="57">
        <f t="shared" si="31"/>
        <v>5</v>
      </c>
      <c r="O45" s="59" t="str">
        <f>if ( isblank (E45), E45, E45 + F45*'Control PanelOur Matches'!$K$2 + G45*5 + H45*(1/3) + I45*'Control PanelOur Matches'!$M$2 + J45*50)</f>
        <v/>
      </c>
      <c r="P45" s="59">
        <f t="shared" si="2"/>
        <v>0</v>
      </c>
      <c r="Q45" s="60">
        <f t="shared" si="3"/>
        <v>6059</v>
      </c>
      <c r="R45" s="60" t="str">
        <f t="shared" si="4"/>
        <v>6059-1</v>
      </c>
    </row>
    <row r="46" ht="15.0" customHeight="1">
      <c r="A46" s="65">
        <v>43.0</v>
      </c>
      <c r="B46" s="66">
        <v>8.0</v>
      </c>
      <c r="C46" s="52" t="s">
        <v>39</v>
      </c>
      <c r="D46" s="53">
        <f t="array" ref="D46">index('Match Sched'!$C$3:$H753,match(B46,'Match Sched'!$A$3:$A753,0),if(mod(A46,6)=0,6,mod(A46,6)),0)</f>
        <v>1678</v>
      </c>
      <c r="E46" s="54"/>
      <c r="F46" s="55">
        <v>0.0</v>
      </c>
      <c r="G46" s="67">
        <v>1.0</v>
      </c>
      <c r="H46" s="67"/>
      <c r="I46" s="67">
        <v>3.0</v>
      </c>
      <c r="J46" s="67">
        <v>1.0</v>
      </c>
      <c r="K46" s="67"/>
      <c r="L46" s="67"/>
      <c r="M46" s="57">
        <f>SUM(F46:F48)</f>
        <v>0</v>
      </c>
      <c r="N46" s="57">
        <f>SUM(I46:I48)+1</f>
        <v>6</v>
      </c>
      <c r="O46" s="59" t="str">
        <f>if ( isblank (E46), E46, E46 + F46*'Control PanelOur Matches'!$K$2 + G46*5 + H46*(1/3) + I46*'Control PanelOur Matches'!$M$2 + J46*50)</f>
        <v/>
      </c>
      <c r="P46" s="59">
        <f t="shared" si="2"/>
        <v>95</v>
      </c>
      <c r="Q46" s="60">
        <f t="shared" si="3"/>
        <v>1678</v>
      </c>
      <c r="R46" s="60" t="str">
        <f t="shared" si="4"/>
        <v>1678-1</v>
      </c>
    </row>
    <row r="47" ht="15.0" customHeight="1">
      <c r="A47" s="65">
        <v>44.0</v>
      </c>
      <c r="B47" s="66">
        <v>8.0</v>
      </c>
      <c r="C47" s="69" t="s">
        <v>40</v>
      </c>
      <c r="D47" s="53">
        <f t="array" ref="D47">index('Match Sched'!$C$3:$H753,match(B47,'Match Sched'!$A$3:$A753,0),if(mod(A47,6)=0,6,mod(A47,6)),0)</f>
        <v>3501</v>
      </c>
      <c r="E47" s="54"/>
      <c r="F47" s="55">
        <v>0.0</v>
      </c>
      <c r="G47" s="67">
        <v>1.0</v>
      </c>
      <c r="H47" s="67"/>
      <c r="I47" s="67">
        <v>2.0</v>
      </c>
      <c r="J47" s="67"/>
      <c r="K47" s="67"/>
      <c r="L47" s="67"/>
      <c r="M47" s="61">
        <f t="shared" ref="M47:N47" si="32">M46</f>
        <v>0</v>
      </c>
      <c r="N47" s="57">
        <f t="shared" si="32"/>
        <v>6</v>
      </c>
      <c r="O47" s="59" t="str">
        <f>if ( isblank (E47), E47, E47 + F47*'Control PanelOur Matches'!$K$2 + G47*5 + H47*(1/3) + I47*'Control PanelOur Matches'!$M$2 + J47*50)</f>
        <v/>
      </c>
      <c r="P47" s="59">
        <f t="shared" si="2"/>
        <v>31.66666667</v>
      </c>
      <c r="Q47" s="60">
        <f t="shared" si="3"/>
        <v>3501</v>
      </c>
      <c r="R47" s="60" t="str">
        <f t="shared" si="4"/>
        <v>3501-1</v>
      </c>
    </row>
    <row r="48" ht="15.0" customHeight="1">
      <c r="A48" s="65">
        <v>45.0</v>
      </c>
      <c r="B48" s="66">
        <v>8.0</v>
      </c>
      <c r="C48" s="52" t="s">
        <v>41</v>
      </c>
      <c r="D48" s="53">
        <f t="array" ref="D48">index('Match Sched'!$C$3:$H753,match(B48,'Match Sched'!$A$3:$A753,0),if(mod(A48,6)=0,6,mod(A48,6)),0)</f>
        <v>6305</v>
      </c>
      <c r="E48" s="54"/>
      <c r="F48" s="55">
        <v>0.0</v>
      </c>
      <c r="G48" s="67"/>
      <c r="H48" s="67"/>
      <c r="I48" s="67"/>
      <c r="J48" s="67"/>
      <c r="K48" s="67">
        <v>1.0</v>
      </c>
      <c r="L48" s="67"/>
      <c r="M48" s="62">
        <f t="shared" ref="M48:N48" si="33">M46</f>
        <v>0</v>
      </c>
      <c r="N48" s="57">
        <f t="shared" si="33"/>
        <v>6</v>
      </c>
      <c r="O48" s="59" t="str">
        <f>if ( isblank (E48), E48, E48 + F48*'Control PanelOur Matches'!$K$2 + G48*5 + H48*(1/3) + I48*'Control PanelOur Matches'!$M$2 + J48*50)</f>
        <v/>
      </c>
      <c r="P48" s="59">
        <f t="shared" si="2"/>
        <v>0</v>
      </c>
      <c r="Q48" s="60">
        <f t="shared" si="3"/>
        <v>6305</v>
      </c>
      <c r="R48" s="60" t="str">
        <f t="shared" si="4"/>
        <v>6305-1</v>
      </c>
    </row>
    <row r="49" ht="15.0" customHeight="1">
      <c r="A49" s="65">
        <v>46.0</v>
      </c>
      <c r="B49" s="66">
        <v>8.0</v>
      </c>
      <c r="C49" s="52" t="s">
        <v>42</v>
      </c>
      <c r="D49" s="53">
        <f t="array" ref="D49">index('Match Sched'!$C$3:$H753,match(B49,'Match Sched'!$A$3:$A753,0),if(mod(A49,6)=0,6,mod(A49,6)),0)</f>
        <v>670</v>
      </c>
      <c r="E49" s="54"/>
      <c r="F49" s="55">
        <v>0.0</v>
      </c>
      <c r="G49" s="67">
        <v>1.0</v>
      </c>
      <c r="H49" s="67"/>
      <c r="I49" s="67"/>
      <c r="J49" s="67"/>
      <c r="K49" s="67"/>
      <c r="L49" s="67"/>
      <c r="M49" s="57">
        <f>SUM(F49:F51)</f>
        <v>0</v>
      </c>
      <c r="N49" s="57">
        <f>SUM(I49:I51)+1</f>
        <v>2</v>
      </c>
      <c r="O49" s="59" t="str">
        <f>if ( isblank (E49), E49, E49 + F49*'Control PanelOur Matches'!$K$2 + G49*5 + H49*(1/3) + I49*'Control PanelOur Matches'!$M$2 + J49*50)</f>
        <v/>
      </c>
      <c r="P49" s="59">
        <f t="shared" si="2"/>
        <v>5</v>
      </c>
      <c r="Q49" s="60">
        <f t="shared" si="3"/>
        <v>670</v>
      </c>
      <c r="R49" s="60" t="str">
        <f t="shared" si="4"/>
        <v>670-1</v>
      </c>
    </row>
    <row r="50" ht="15.0" customHeight="1">
      <c r="A50" s="65">
        <v>47.0</v>
      </c>
      <c r="B50" s="66">
        <v>8.0</v>
      </c>
      <c r="C50" s="52" t="s">
        <v>43</v>
      </c>
      <c r="D50" s="53">
        <f t="array" ref="D50">index('Match Sched'!$C$3:$H753,match(B50,'Match Sched'!$A$3:$A753,0),if(mod(A50,6)=0,6,mod(A50,6)),0)</f>
        <v>3970</v>
      </c>
      <c r="E50" s="54"/>
      <c r="F50" s="55">
        <v>0.0</v>
      </c>
      <c r="G50" s="67"/>
      <c r="H50" s="67"/>
      <c r="I50" s="67"/>
      <c r="J50" s="67"/>
      <c r="K50" s="67"/>
      <c r="L50" s="67"/>
      <c r="M50" s="61">
        <f t="shared" ref="M50:N50" si="34">M49</f>
        <v>0</v>
      </c>
      <c r="N50" s="57">
        <f t="shared" si="34"/>
        <v>2</v>
      </c>
      <c r="O50" s="59" t="str">
        <f>if ( isblank (E50), E50, E50 + F50*'Control PanelOur Matches'!$K$2 + G50*5 + H50*(1/3) + I50*'Control PanelOur Matches'!$M$2 + J50*50)</f>
        <v/>
      </c>
      <c r="P50" s="59">
        <f t="shared" si="2"/>
        <v>0</v>
      </c>
      <c r="Q50" s="60">
        <f t="shared" si="3"/>
        <v>3970</v>
      </c>
      <c r="R50" s="60" t="str">
        <f t="shared" si="4"/>
        <v>3970-1</v>
      </c>
    </row>
    <row r="51" ht="15.0" customHeight="1">
      <c r="A51" s="65">
        <v>48.0</v>
      </c>
      <c r="B51" s="66">
        <v>8.0</v>
      </c>
      <c r="C51" s="68" t="s">
        <v>44</v>
      </c>
      <c r="D51" s="53">
        <f t="array" ref="D51">index('Match Sched'!$C$3:$H753,match(B51,'Match Sched'!$A$3:$A753,0),if(mod(A51,6)=0,6,mod(A51,6)),0)</f>
        <v>5134</v>
      </c>
      <c r="E51" s="54"/>
      <c r="F51" s="55">
        <v>0.0</v>
      </c>
      <c r="G51" s="67">
        <v>1.0</v>
      </c>
      <c r="H51" s="67"/>
      <c r="I51" s="67">
        <v>1.0</v>
      </c>
      <c r="J51" s="67"/>
      <c r="K51" s="67"/>
      <c r="L51" s="67"/>
      <c r="M51" s="62">
        <f t="shared" ref="M51:N51" si="35">M49</f>
        <v>0</v>
      </c>
      <c r="N51" s="57">
        <f t="shared" si="35"/>
        <v>2</v>
      </c>
      <c r="O51" s="59" t="str">
        <f>if ( isblank (E51), E51, E51 + F51*'Control PanelOur Matches'!$K$2 + G51*5 + H51*(1/3) + I51*'Control PanelOur Matches'!$M$2 + J51*50)</f>
        <v/>
      </c>
      <c r="P51" s="59">
        <f t="shared" si="2"/>
        <v>25</v>
      </c>
      <c r="Q51" s="60">
        <f t="shared" si="3"/>
        <v>5134</v>
      </c>
      <c r="R51" s="60" t="str">
        <f t="shared" si="4"/>
        <v>5134-2</v>
      </c>
    </row>
    <row r="52" ht="15.0" customHeight="1">
      <c r="A52" s="49">
        <v>49.0</v>
      </c>
      <c r="B52" s="50">
        <v>9.0</v>
      </c>
      <c r="C52" s="52" t="s">
        <v>39</v>
      </c>
      <c r="D52" s="53">
        <f t="array" ref="D52">index('Match Sched'!$C$3:$H753,match(B52,'Match Sched'!$A$3:$A753,0),if(mod(A52,6)=0,6,mod(A52,6)),0)</f>
        <v>751</v>
      </c>
      <c r="E52" s="54"/>
      <c r="F52" s="55">
        <v>0.0</v>
      </c>
      <c r="G52" s="54">
        <v>1.0</v>
      </c>
      <c r="H52" s="54"/>
      <c r="I52" s="54">
        <v>2.0</v>
      </c>
      <c r="J52" s="54">
        <v>1.0</v>
      </c>
      <c r="K52" s="54"/>
      <c r="L52" s="54"/>
      <c r="M52" s="57">
        <f>SUM(F52:F54)</f>
        <v>0</v>
      </c>
      <c r="N52" s="57">
        <f>SUM(I52:I54)+1</f>
        <v>7</v>
      </c>
      <c r="O52" s="59" t="str">
        <f>if ( isblank (E52), E52, E52 + F52*'Control PanelOur Matches'!$K$2 + G52*5 + H52*(1/3) + I52*'Control PanelOur Matches'!$M$2 + J52*50)</f>
        <v/>
      </c>
      <c r="P52" s="59">
        <f t="shared" si="2"/>
        <v>89.28571429</v>
      </c>
      <c r="Q52" s="60">
        <f t="shared" si="3"/>
        <v>751</v>
      </c>
      <c r="R52" s="60" t="str">
        <f t="shared" si="4"/>
        <v>751-2</v>
      </c>
    </row>
    <row r="53" ht="15.0" customHeight="1">
      <c r="A53" s="49">
        <v>50.0</v>
      </c>
      <c r="B53" s="50">
        <v>9.0</v>
      </c>
      <c r="C53" s="52" t="s">
        <v>40</v>
      </c>
      <c r="D53" s="53">
        <f t="array" ref="D53">index('Match Sched'!$C$3:$H753,match(B53,'Match Sched'!$A$3:$A753,0),if(mod(A53,6)=0,6,mod(A53,6)),0)</f>
        <v>5104</v>
      </c>
      <c r="E53" s="54"/>
      <c r="F53" s="55">
        <v>0.0</v>
      </c>
      <c r="G53" s="54"/>
      <c r="H53" s="54"/>
      <c r="I53" s="54">
        <v>1.0</v>
      </c>
      <c r="J53" s="54"/>
      <c r="K53" s="54"/>
      <c r="L53" s="54"/>
      <c r="M53" s="61">
        <f t="shared" ref="M53:N53" si="36">M52</f>
        <v>0</v>
      </c>
      <c r="N53" s="57">
        <f t="shared" si="36"/>
        <v>7</v>
      </c>
      <c r="O53" s="59" t="str">
        <f>if ( isblank (E53), E53, E53 + F53*'Control PanelOur Matches'!$K$2 + G53*5 + H53*(1/3) + I53*'Control PanelOur Matches'!$M$2 + J53*50)</f>
        <v/>
      </c>
      <c r="P53" s="59">
        <f t="shared" si="2"/>
        <v>17.14285714</v>
      </c>
      <c r="Q53" s="60">
        <f t="shared" si="3"/>
        <v>5104</v>
      </c>
      <c r="R53" s="60" t="str">
        <f t="shared" si="4"/>
        <v>5104-2</v>
      </c>
    </row>
    <row r="54" ht="15.0" customHeight="1">
      <c r="A54" s="49">
        <v>51.0</v>
      </c>
      <c r="B54" s="50">
        <v>9.0</v>
      </c>
      <c r="C54" s="52" t="s">
        <v>41</v>
      </c>
      <c r="D54" s="53">
        <f t="array" ref="D54">index('Match Sched'!$C$3:$H753,match(B54,'Match Sched'!$A$3:$A753,0),if(mod(A54,6)=0,6,mod(A54,6)),0)</f>
        <v>973</v>
      </c>
      <c r="E54" s="54"/>
      <c r="F54" s="55">
        <v>0.0</v>
      </c>
      <c r="G54" s="54"/>
      <c r="H54" s="54"/>
      <c r="I54" s="54">
        <v>3.0</v>
      </c>
      <c r="J54" s="54">
        <v>1.0</v>
      </c>
      <c r="K54" s="54"/>
      <c r="L54" s="54"/>
      <c r="M54" s="62">
        <f t="shared" ref="M54:N54" si="37">M52</f>
        <v>0</v>
      </c>
      <c r="N54" s="57">
        <f t="shared" si="37"/>
        <v>7</v>
      </c>
      <c r="O54" s="59" t="str">
        <f>if ( isblank (E54), E54, E54 + F54*'Control PanelOur Matches'!$K$2 + G54*5 + H54*(1/3) + I54*'Control PanelOur Matches'!$M$2 + J54*50)</f>
        <v/>
      </c>
      <c r="P54" s="59">
        <f t="shared" si="2"/>
        <v>101.4285714</v>
      </c>
      <c r="Q54" s="60">
        <f t="shared" si="3"/>
        <v>973</v>
      </c>
      <c r="R54" s="60" t="str">
        <f t="shared" si="4"/>
        <v>973-2</v>
      </c>
    </row>
    <row r="55" ht="15.0" customHeight="1">
      <c r="A55" s="49">
        <v>52.0</v>
      </c>
      <c r="B55" s="50">
        <v>9.0</v>
      </c>
      <c r="C55" s="52" t="s">
        <v>42</v>
      </c>
      <c r="D55" s="53">
        <f t="array" ref="D55">index('Match Sched'!$C$3:$H753,match(B55,'Match Sched'!$A$3:$A753,0),if(mod(A55,6)=0,6,mod(A55,6)),0)</f>
        <v>2135</v>
      </c>
      <c r="E55" s="54"/>
      <c r="F55" s="55">
        <v>0.0</v>
      </c>
      <c r="G55" s="54"/>
      <c r="H55" s="54"/>
      <c r="I55" s="54">
        <v>2.0</v>
      </c>
      <c r="J55" s="54"/>
      <c r="K55" s="54"/>
      <c r="L55" s="54"/>
      <c r="M55" s="57">
        <f>SUM(F55:F57)</f>
        <v>0</v>
      </c>
      <c r="N55" s="57">
        <f>SUM(I55:I57)+1</f>
        <v>3</v>
      </c>
      <c r="O55" s="59" t="str">
        <f>if ( isblank (E55), E55, E55 + F55*'Control PanelOur Matches'!$K$2 + G55*5 + H55*(1/3) + I55*'Control PanelOur Matches'!$M$2 + J55*50)</f>
        <v/>
      </c>
      <c r="P55" s="59">
        <f t="shared" si="2"/>
        <v>53.33333333</v>
      </c>
      <c r="Q55" s="60">
        <f t="shared" si="3"/>
        <v>2135</v>
      </c>
      <c r="R55" s="60" t="str">
        <f t="shared" si="4"/>
        <v>2135-2</v>
      </c>
    </row>
    <row r="56" ht="15.0" customHeight="1">
      <c r="A56" s="49">
        <v>53.0</v>
      </c>
      <c r="B56" s="50">
        <v>9.0</v>
      </c>
      <c r="C56" s="52" t="s">
        <v>43</v>
      </c>
      <c r="D56" s="53">
        <f t="array" ref="D56">index('Match Sched'!$C$3:$H753,match(B56,'Match Sched'!$A$3:$A753,0),if(mod(A56,6)=0,6,mod(A56,6)),0)</f>
        <v>4543</v>
      </c>
      <c r="E56" s="54"/>
      <c r="F56" s="55">
        <v>0.0</v>
      </c>
      <c r="G56" s="54">
        <v>1.0</v>
      </c>
      <c r="H56" s="54"/>
      <c r="I56" s="54"/>
      <c r="J56" s="54"/>
      <c r="K56" s="54"/>
      <c r="L56" s="54"/>
      <c r="M56" s="61">
        <f t="shared" ref="M56:N56" si="38">M55</f>
        <v>0</v>
      </c>
      <c r="N56" s="57">
        <f t="shared" si="38"/>
        <v>3</v>
      </c>
      <c r="O56" s="59" t="str">
        <f>if ( isblank (E56), E56, E56 + F56*'Control PanelOur Matches'!$K$2 + G56*5 + H56*(1/3) + I56*'Control PanelOur Matches'!$M$2 + J56*50)</f>
        <v/>
      </c>
      <c r="P56" s="59">
        <f t="shared" si="2"/>
        <v>5</v>
      </c>
      <c r="Q56" s="60">
        <f t="shared" si="3"/>
        <v>4543</v>
      </c>
      <c r="R56" s="60" t="str">
        <f t="shared" si="4"/>
        <v>4543-2</v>
      </c>
    </row>
    <row r="57" ht="15.0" customHeight="1">
      <c r="A57" s="49">
        <v>54.0</v>
      </c>
      <c r="B57" s="50">
        <v>9.0</v>
      </c>
      <c r="C57" s="52" t="s">
        <v>44</v>
      </c>
      <c r="D57" s="53">
        <f t="array" ref="D57">index('Match Sched'!$C$3:$H753,match(B57,'Match Sched'!$A$3:$A753,0),if(mod(A57,6)=0,6,mod(A57,6)),0)</f>
        <v>2085</v>
      </c>
      <c r="E57" s="54"/>
      <c r="F57" s="55">
        <v>0.0</v>
      </c>
      <c r="G57" s="54"/>
      <c r="H57" s="54"/>
      <c r="I57" s="54"/>
      <c r="J57" s="54"/>
      <c r="K57" s="54"/>
      <c r="L57" s="54"/>
      <c r="M57" s="62">
        <f t="shared" ref="M57:N57" si="39">M55</f>
        <v>0</v>
      </c>
      <c r="N57" s="57">
        <f t="shared" si="39"/>
        <v>3</v>
      </c>
      <c r="O57" s="59" t="str">
        <f>if ( isblank (E57), E57, E57 + F57*'Control PanelOur Matches'!$K$2 + G57*5 + H57*(1/3) + I57*'Control PanelOur Matches'!$M$2 + J57*50)</f>
        <v/>
      </c>
      <c r="P57" s="59">
        <f t="shared" si="2"/>
        <v>0</v>
      </c>
      <c r="Q57" s="60">
        <f t="shared" si="3"/>
        <v>2085</v>
      </c>
      <c r="R57" s="60" t="str">
        <f t="shared" si="4"/>
        <v>2085-2</v>
      </c>
    </row>
    <row r="58" ht="15.0" customHeight="1">
      <c r="A58" s="65">
        <v>55.0</v>
      </c>
      <c r="B58" s="66">
        <v>10.0</v>
      </c>
      <c r="C58" s="52" t="s">
        <v>39</v>
      </c>
      <c r="D58" s="53">
        <f t="array" ref="D58">index('Match Sched'!$C$3:$H753,match(B58,'Match Sched'!$A$3:$A753,0),if(mod(A58,6)=0,6,mod(A58,6)),0)</f>
        <v>2367</v>
      </c>
      <c r="E58" s="54"/>
      <c r="F58" s="55">
        <v>0.0</v>
      </c>
      <c r="G58" s="67"/>
      <c r="H58" s="67"/>
      <c r="I58" s="67"/>
      <c r="J58" s="67"/>
      <c r="K58" s="67">
        <v>1.0</v>
      </c>
      <c r="L58" s="67"/>
      <c r="M58" s="57">
        <f>SUM(F58:F60)</f>
        <v>0</v>
      </c>
      <c r="N58" s="57">
        <f>SUM(I58:I60)+1</f>
        <v>3</v>
      </c>
      <c r="O58" s="59" t="str">
        <f>if ( isblank (E58), E58, E58 + F58*'Control PanelOur Matches'!$K$2 + G58*5 + H58*(1/3) + I58*'Control PanelOur Matches'!$M$2 + J58*50)</f>
        <v/>
      </c>
      <c r="P58" s="59">
        <f t="shared" si="2"/>
        <v>0</v>
      </c>
      <c r="Q58" s="60">
        <f t="shared" si="3"/>
        <v>2367</v>
      </c>
      <c r="R58" s="60" t="str">
        <f t="shared" si="4"/>
        <v>2367-2</v>
      </c>
    </row>
    <row r="59" ht="15.0" customHeight="1">
      <c r="A59" s="65">
        <v>56.0</v>
      </c>
      <c r="B59" s="66">
        <v>10.0</v>
      </c>
      <c r="C59" s="52" t="s">
        <v>40</v>
      </c>
      <c r="D59" s="53">
        <f t="array" ref="D59">index('Match Sched'!$C$3:$H753,match(B59,'Match Sched'!$A$3:$A753,0),if(mod(A59,6)=0,6,mod(A59,6)),0)</f>
        <v>852</v>
      </c>
      <c r="E59" s="54"/>
      <c r="F59" s="55">
        <v>0.0</v>
      </c>
      <c r="G59" s="67">
        <v>1.0</v>
      </c>
      <c r="H59" s="67"/>
      <c r="I59" s="67">
        <v>2.0</v>
      </c>
      <c r="J59" s="67"/>
      <c r="K59" s="67"/>
      <c r="L59" s="67"/>
      <c r="M59" s="61">
        <f t="shared" ref="M59:N59" si="40">M58</f>
        <v>0</v>
      </c>
      <c r="N59" s="57">
        <f t="shared" si="40"/>
        <v>3</v>
      </c>
      <c r="O59" s="59" t="str">
        <f>if ( isblank (E59), E59, E59 + F59*'Control PanelOur Matches'!$K$2 + G59*5 + H59*(1/3) + I59*'Control PanelOur Matches'!$M$2 + J59*50)</f>
        <v/>
      </c>
      <c r="P59" s="59">
        <f t="shared" si="2"/>
        <v>58.33333333</v>
      </c>
      <c r="Q59" s="60">
        <f t="shared" si="3"/>
        <v>852</v>
      </c>
      <c r="R59" s="60" t="str">
        <f t="shared" si="4"/>
        <v>852-2</v>
      </c>
    </row>
    <row r="60" ht="15.0" customHeight="1">
      <c r="A60" s="65">
        <v>57.0</v>
      </c>
      <c r="B60" s="66">
        <v>10.0</v>
      </c>
      <c r="C60" s="52" t="s">
        <v>41</v>
      </c>
      <c r="D60" s="53">
        <f t="array" ref="D60">index('Match Sched'!$C$3:$H753,match(B60,'Match Sched'!$A$3:$A753,0),if(mod(A60,6)=0,6,mod(A60,6)),0)</f>
        <v>4255</v>
      </c>
      <c r="E60" s="54"/>
      <c r="F60" s="55">
        <v>0.0</v>
      </c>
      <c r="G60" s="67">
        <v>1.0</v>
      </c>
      <c r="H60" s="67"/>
      <c r="I60" s="67"/>
      <c r="J60" s="67"/>
      <c r="K60" s="67"/>
      <c r="L60" s="67"/>
      <c r="M60" s="62">
        <f t="shared" ref="M60:N60" si="41">M58</f>
        <v>0</v>
      </c>
      <c r="N60" s="57">
        <f t="shared" si="41"/>
        <v>3</v>
      </c>
      <c r="O60" s="59" t="str">
        <f>if ( isblank (E60), E60, E60 + F60*'Control PanelOur Matches'!$K$2 + G60*5 + H60*(1/3) + I60*'Control PanelOur Matches'!$M$2 + J60*50)</f>
        <v/>
      </c>
      <c r="P60" s="59">
        <f t="shared" si="2"/>
        <v>5</v>
      </c>
      <c r="Q60" s="60">
        <f t="shared" si="3"/>
        <v>4255</v>
      </c>
      <c r="R60" s="60" t="str">
        <f t="shared" si="4"/>
        <v>4255-2</v>
      </c>
    </row>
    <row r="61" ht="15.0" customHeight="1">
      <c r="A61" s="65">
        <v>58.0</v>
      </c>
      <c r="B61" s="66">
        <v>10.0</v>
      </c>
      <c r="C61" s="52" t="s">
        <v>42</v>
      </c>
      <c r="D61" s="53">
        <f t="array" ref="D61">index('Match Sched'!$C$3:$H753,match(B61,'Match Sched'!$A$3:$A753,0),if(mod(A61,6)=0,6,mod(A61,6)),0)</f>
        <v>4276</v>
      </c>
      <c r="E61" s="54"/>
      <c r="F61" s="55">
        <v>0.0</v>
      </c>
      <c r="G61" s="67">
        <v>1.0</v>
      </c>
      <c r="H61" s="67"/>
      <c r="I61" s="67">
        <v>2.0</v>
      </c>
      <c r="J61" s="67">
        <v>1.0</v>
      </c>
      <c r="K61" s="67"/>
      <c r="L61" s="67"/>
      <c r="M61" s="57">
        <f>SUM(F61:F63)</f>
        <v>0</v>
      </c>
      <c r="N61" s="57">
        <f>SUM(I61:I63)+1</f>
        <v>5</v>
      </c>
      <c r="O61" s="59" t="str">
        <f>if ( isblank (E61), E61, E61 + F61*'Control PanelOur Matches'!$K$2 + G61*5 + H61*(1/3) + I61*'Control PanelOur Matches'!$M$2 + J61*50)</f>
        <v/>
      </c>
      <c r="P61" s="59">
        <f t="shared" si="2"/>
        <v>87</v>
      </c>
      <c r="Q61" s="60">
        <f t="shared" si="3"/>
        <v>4276</v>
      </c>
      <c r="R61" s="60" t="str">
        <f t="shared" si="4"/>
        <v>4276-2</v>
      </c>
    </row>
    <row r="62" ht="15.0" customHeight="1">
      <c r="A62" s="65">
        <v>59.0</v>
      </c>
      <c r="B62" s="66">
        <v>10.0</v>
      </c>
      <c r="C62" s="52" t="s">
        <v>43</v>
      </c>
      <c r="D62" s="53">
        <f t="array" ref="D62">index('Match Sched'!$C$3:$H753,match(B62,'Match Sched'!$A$3:$A753,0),if(mod(A62,6)=0,6,mod(A62,6)),0)</f>
        <v>6657</v>
      </c>
      <c r="E62" s="54"/>
      <c r="F62" s="55">
        <v>0.0</v>
      </c>
      <c r="G62" s="67"/>
      <c r="H62" s="67"/>
      <c r="I62" s="67"/>
      <c r="J62" s="67"/>
      <c r="K62" s="67"/>
      <c r="L62" s="67"/>
      <c r="M62" s="61">
        <f t="shared" ref="M62:N62" si="42">M61</f>
        <v>0</v>
      </c>
      <c r="N62" s="57">
        <f t="shared" si="42"/>
        <v>5</v>
      </c>
      <c r="O62" s="59" t="str">
        <f>if ( isblank (E62), E62, E62 + F62*'Control PanelOur Matches'!$K$2 + G62*5 + H62*(1/3) + I62*'Control PanelOur Matches'!$M$2 + J62*50)</f>
        <v/>
      </c>
      <c r="P62" s="59">
        <f t="shared" si="2"/>
        <v>0</v>
      </c>
      <c r="Q62" s="60">
        <f t="shared" si="3"/>
        <v>6657</v>
      </c>
      <c r="R62" s="60" t="str">
        <f t="shared" si="4"/>
        <v>6657-2</v>
      </c>
    </row>
    <row r="63" ht="15.0" customHeight="1">
      <c r="A63" s="65">
        <v>60.0</v>
      </c>
      <c r="B63" s="66">
        <v>10.0</v>
      </c>
      <c r="C63" s="68" t="s">
        <v>44</v>
      </c>
      <c r="D63" s="53">
        <f t="array" ref="D63">index('Match Sched'!$C$3:$H753,match(B63,'Match Sched'!$A$3:$A753,0),if(mod(A63,6)=0,6,mod(A63,6)),0)</f>
        <v>4415</v>
      </c>
      <c r="E63" s="54"/>
      <c r="F63" s="55">
        <v>0.0</v>
      </c>
      <c r="G63" s="67">
        <v>1.0</v>
      </c>
      <c r="H63" s="67"/>
      <c r="I63" s="67">
        <v>2.0</v>
      </c>
      <c r="J63" s="67">
        <v>1.0</v>
      </c>
      <c r="K63" s="67"/>
      <c r="L63" s="67"/>
      <c r="M63" s="62">
        <f t="shared" ref="M63:N63" si="43">M61</f>
        <v>0</v>
      </c>
      <c r="N63" s="57">
        <f t="shared" si="43"/>
        <v>5</v>
      </c>
      <c r="O63" s="59" t="str">
        <f>if ( isblank (E63), E63, E63 + F63*'Control PanelOur Matches'!$K$2 + G63*5 + H63*(1/3) + I63*'Control PanelOur Matches'!$M$2 + J63*50)</f>
        <v/>
      </c>
      <c r="P63" s="59">
        <f t="shared" si="2"/>
        <v>87</v>
      </c>
      <c r="Q63" s="60">
        <f t="shared" si="3"/>
        <v>4415</v>
      </c>
      <c r="R63" s="60" t="str">
        <f t="shared" si="4"/>
        <v>4415-2</v>
      </c>
    </row>
    <row r="64" ht="15.0" customHeight="1">
      <c r="A64" s="49">
        <v>61.0</v>
      </c>
      <c r="B64" s="50">
        <v>11.0</v>
      </c>
      <c r="C64" s="52" t="s">
        <v>39</v>
      </c>
      <c r="D64" s="53">
        <f t="array" ref="D64">index('Match Sched'!$C$3:$H753,match(B64,'Match Sched'!$A$3:$A753,0),if(mod(A64,6)=0,6,mod(A64,6)),0)</f>
        <v>6711</v>
      </c>
      <c r="E64" s="54"/>
      <c r="F64" s="55">
        <v>0.0</v>
      </c>
      <c r="G64" s="54"/>
      <c r="H64" s="54"/>
      <c r="I64" s="54">
        <v>1.0</v>
      </c>
      <c r="J64" s="54"/>
      <c r="K64" s="54"/>
      <c r="L64" s="54"/>
      <c r="M64" s="57">
        <f>SUM(F64:F66)</f>
        <v>1</v>
      </c>
      <c r="N64" s="57">
        <f>SUM(I64:I66)+1</f>
        <v>4</v>
      </c>
      <c r="O64" s="59" t="str">
        <f>if ( isblank (E64), E64, E64 + F64*'Control PanelOur Matches'!$K$2 + G64*5 + H64*(1/3) + I64*'Control PanelOur Matches'!$M$2 + J64*50)</f>
        <v/>
      </c>
      <c r="P64" s="59">
        <f t="shared" si="2"/>
        <v>10</v>
      </c>
      <c r="Q64" s="60">
        <f t="shared" si="3"/>
        <v>6711</v>
      </c>
      <c r="R64" s="60" t="str">
        <f t="shared" si="4"/>
        <v>6711-2</v>
      </c>
    </row>
    <row r="65" ht="15.0" customHeight="1">
      <c r="A65" s="49">
        <v>62.0</v>
      </c>
      <c r="B65" s="50">
        <v>11.0</v>
      </c>
      <c r="C65" s="52" t="s">
        <v>40</v>
      </c>
      <c r="D65" s="53">
        <f t="array" ref="D65">index('Match Sched'!$C$3:$H753,match(B65,'Match Sched'!$A$3:$A753,0),if(mod(A65,6)=0,6,mod(A65,6)),0)</f>
        <v>1072</v>
      </c>
      <c r="E65" s="54"/>
      <c r="F65" s="55">
        <v>1.0</v>
      </c>
      <c r="G65" s="54">
        <v>1.0</v>
      </c>
      <c r="H65" s="54"/>
      <c r="I65" s="54">
        <v>2.0</v>
      </c>
      <c r="J65" s="54">
        <v>1.0</v>
      </c>
      <c r="K65" s="54"/>
      <c r="L65" s="54"/>
      <c r="M65" s="61">
        <f t="shared" ref="M65:N65" si="44">M64</f>
        <v>1</v>
      </c>
      <c r="N65" s="57">
        <f t="shared" si="44"/>
        <v>4</v>
      </c>
      <c r="O65" s="59" t="str">
        <f>if ( isblank (E65), E65, E65 + F65*'Control PanelOur Matches'!$K$2 + G65*5 + H65*(1/3) + I65*'Control PanelOur Matches'!$M$2 + J65*50)</f>
        <v/>
      </c>
      <c r="P65" s="59">
        <f t="shared" si="2"/>
        <v>135</v>
      </c>
      <c r="Q65" s="60">
        <f t="shared" si="3"/>
        <v>1072</v>
      </c>
      <c r="R65" s="60" t="str">
        <f t="shared" si="4"/>
        <v>1072-2</v>
      </c>
    </row>
    <row r="66" ht="15.0" customHeight="1">
      <c r="A66" s="49">
        <v>63.0</v>
      </c>
      <c r="B66" s="50">
        <v>11.0</v>
      </c>
      <c r="C66" s="52" t="s">
        <v>41</v>
      </c>
      <c r="D66" s="53">
        <f t="array" ref="D66">index('Match Sched'!$C$3:$H753,match(B66,'Match Sched'!$A$3:$A753,0),if(mod(A66,6)=0,6,mod(A66,6)),0)</f>
        <v>670</v>
      </c>
      <c r="E66" s="54"/>
      <c r="F66" s="55">
        <v>0.0</v>
      </c>
      <c r="G66" s="54">
        <v>1.0</v>
      </c>
      <c r="H66" s="54"/>
      <c r="I66" s="54"/>
      <c r="J66" s="54">
        <v>1.0</v>
      </c>
      <c r="K66" s="54"/>
      <c r="L66" s="54"/>
      <c r="M66" s="62">
        <f t="shared" ref="M66:N66" si="45">M64</f>
        <v>1</v>
      </c>
      <c r="N66" s="57">
        <f t="shared" si="45"/>
        <v>4</v>
      </c>
      <c r="O66" s="59" t="str">
        <f>if ( isblank (E66), E66, E66 + F66*'Control PanelOur Matches'!$K$2 + G66*5 + H66*(1/3) + I66*'Control PanelOur Matches'!$M$2 + J66*50)</f>
        <v/>
      </c>
      <c r="P66" s="59">
        <f t="shared" si="2"/>
        <v>55</v>
      </c>
      <c r="Q66" s="60">
        <f t="shared" si="3"/>
        <v>670</v>
      </c>
      <c r="R66" s="60" t="str">
        <f t="shared" si="4"/>
        <v>670-2</v>
      </c>
    </row>
    <row r="67" ht="15.0" customHeight="1">
      <c r="A67" s="49">
        <v>64.0</v>
      </c>
      <c r="B67" s="50">
        <v>11.0</v>
      </c>
      <c r="C67" s="52" t="s">
        <v>42</v>
      </c>
      <c r="D67" s="53">
        <f t="array" ref="D67">index('Match Sched'!$C$3:$H753,match(B67,'Match Sched'!$A$3:$A753,0),if(mod(A67,6)=0,6,mod(A67,6)),0)</f>
        <v>4643</v>
      </c>
      <c r="E67" s="54"/>
      <c r="F67" s="55">
        <v>0.0</v>
      </c>
      <c r="G67" s="54">
        <v>1.0</v>
      </c>
      <c r="H67" s="54"/>
      <c r="I67" s="54">
        <v>2.0</v>
      </c>
      <c r="J67" s="54"/>
      <c r="K67" s="54"/>
      <c r="L67" s="54"/>
      <c r="M67" s="57">
        <f>SUM(F67:F69)</f>
        <v>0</v>
      </c>
      <c r="N67" s="57">
        <f>SUM(I67:I69)+1</f>
        <v>4</v>
      </c>
      <c r="O67" s="59" t="str">
        <f>if ( isblank (E67), E67, E67 + F67*'Control PanelOur Matches'!$K$2 + G67*5 + H67*(1/3) + I67*'Control PanelOur Matches'!$M$2 + J67*50)</f>
        <v/>
      </c>
      <c r="P67" s="59">
        <f t="shared" si="2"/>
        <v>45</v>
      </c>
      <c r="Q67" s="60">
        <f t="shared" si="3"/>
        <v>4643</v>
      </c>
      <c r="R67" s="60" t="str">
        <f t="shared" si="4"/>
        <v>4643-2</v>
      </c>
    </row>
    <row r="68" ht="15.0" customHeight="1">
      <c r="A68" s="49">
        <v>65.0</v>
      </c>
      <c r="B68" s="50">
        <v>11.0</v>
      </c>
      <c r="C68" s="52" t="s">
        <v>43</v>
      </c>
      <c r="D68" s="53">
        <f t="array" ref="D68">index('Match Sched'!$C$3:$H753,match(B68,'Match Sched'!$A$3:$A753,0),if(mod(A68,6)=0,6,mod(A68,6)),0)</f>
        <v>3970</v>
      </c>
      <c r="E68" s="54"/>
      <c r="F68" s="55">
        <v>0.0</v>
      </c>
      <c r="G68" s="54"/>
      <c r="H68" s="54"/>
      <c r="I68" s="54">
        <v>1.0</v>
      </c>
      <c r="J68" s="54"/>
      <c r="K68" s="54"/>
      <c r="L68" s="54"/>
      <c r="M68" s="61">
        <f t="shared" ref="M68:N68" si="46">M67</f>
        <v>0</v>
      </c>
      <c r="N68" s="57">
        <f t="shared" si="46"/>
        <v>4</v>
      </c>
      <c r="O68" s="59" t="str">
        <f>if ( isblank (E68), E68, E68 + F68*'Control PanelOur Matches'!$K$2 + G68*5 + H68*(1/3) + I68*'Control PanelOur Matches'!$M$2 + J68*50)</f>
        <v/>
      </c>
      <c r="P68" s="59">
        <f t="shared" si="2"/>
        <v>20</v>
      </c>
      <c r="Q68" s="60">
        <f t="shared" si="3"/>
        <v>3970</v>
      </c>
      <c r="R68" s="60" t="str">
        <f t="shared" si="4"/>
        <v>3970-2</v>
      </c>
    </row>
    <row r="69" ht="15.0" customHeight="1">
      <c r="A69" s="49">
        <v>66.0</v>
      </c>
      <c r="B69" s="50">
        <v>11.0</v>
      </c>
      <c r="C69" s="52" t="s">
        <v>44</v>
      </c>
      <c r="D69" s="53">
        <f t="array" ref="D69">index('Match Sched'!$C$3:$H753,match(B69,'Match Sched'!$A$3:$A753,0),if(mod(A69,6)=0,6,mod(A69,6)),0)</f>
        <v>3303</v>
      </c>
      <c r="E69" s="54"/>
      <c r="F69" s="55">
        <v>0.0</v>
      </c>
      <c r="G69" s="54">
        <v>1.0</v>
      </c>
      <c r="H69" s="54"/>
      <c r="I69" s="54"/>
      <c r="J69" s="54">
        <v>1.0</v>
      </c>
      <c r="K69" s="54"/>
      <c r="L69" s="54"/>
      <c r="M69" s="62">
        <f t="shared" ref="M69:N69" si="47">M67</f>
        <v>0</v>
      </c>
      <c r="N69" s="57">
        <f t="shared" si="47"/>
        <v>4</v>
      </c>
      <c r="O69" s="59" t="str">
        <f>if ( isblank (E69), E69, E69 + F69*'Control PanelOur Matches'!$K$2 + G69*5 + H69*(1/3) + I69*'Control PanelOur Matches'!$M$2 + J69*50)</f>
        <v/>
      </c>
      <c r="P69" s="59">
        <f t="shared" si="2"/>
        <v>55</v>
      </c>
      <c r="Q69" s="60">
        <f t="shared" si="3"/>
        <v>3303</v>
      </c>
      <c r="R69" s="60" t="str">
        <f t="shared" si="4"/>
        <v>3303-2</v>
      </c>
    </row>
    <row r="70" ht="15.0" customHeight="1">
      <c r="A70" s="65">
        <v>67.0</v>
      </c>
      <c r="B70" s="66">
        <v>12.0</v>
      </c>
      <c r="C70" s="52" t="s">
        <v>39</v>
      </c>
      <c r="D70" s="53">
        <f t="array" ref="D70">index('Match Sched'!$C$3:$H753,match(B70,'Match Sched'!$A$3:$A753,0),if(mod(A70,6)=0,6,mod(A70,6)),0)</f>
        <v>2761</v>
      </c>
      <c r="E70" s="54"/>
      <c r="F70" s="55">
        <v>0.0</v>
      </c>
      <c r="G70" s="67"/>
      <c r="H70" s="67"/>
      <c r="I70" s="67">
        <v>2.0</v>
      </c>
      <c r="J70" s="67"/>
      <c r="K70" s="67"/>
      <c r="L70" s="67"/>
      <c r="M70" s="57">
        <f>SUM(F70:F72)</f>
        <v>0</v>
      </c>
      <c r="N70" s="57">
        <f>SUM(I70:I72)+1</f>
        <v>3</v>
      </c>
      <c r="O70" s="59" t="str">
        <f>if ( isblank (E70), E70, E70 + F70*'Control PanelOur Matches'!$K$2 + G70*5 + H70*(1/3) + I70*'Control PanelOur Matches'!$M$2 + J70*50)</f>
        <v/>
      </c>
      <c r="P70" s="59">
        <f t="shared" si="2"/>
        <v>53.33333333</v>
      </c>
      <c r="Q70" s="60">
        <f t="shared" si="3"/>
        <v>2761</v>
      </c>
      <c r="R70" s="60" t="str">
        <f t="shared" si="4"/>
        <v>2761-2</v>
      </c>
    </row>
    <row r="71" ht="15.0" customHeight="1">
      <c r="A71" s="65">
        <v>68.0</v>
      </c>
      <c r="B71" s="66">
        <v>12.0</v>
      </c>
      <c r="C71" s="69" t="s">
        <v>40</v>
      </c>
      <c r="D71" s="53">
        <f t="array" ref="D71">index('Match Sched'!$C$3:$H753,match(B71,'Match Sched'!$A$3:$A753,0),if(mod(A71,6)=0,6,mod(A71,6)),0)</f>
        <v>2813</v>
      </c>
      <c r="E71" s="54"/>
      <c r="F71" s="55">
        <v>0.0</v>
      </c>
      <c r="G71" s="67"/>
      <c r="H71" s="67"/>
      <c r="I71" s="67"/>
      <c r="J71" s="67"/>
      <c r="K71" s="67"/>
      <c r="L71" s="67"/>
      <c r="M71" s="61">
        <f t="shared" ref="M71:N71" si="48">M70</f>
        <v>0</v>
      </c>
      <c r="N71" s="57">
        <f t="shared" si="48"/>
        <v>3</v>
      </c>
      <c r="O71" s="59" t="str">
        <f>if ( isblank (E71), E71, E71 + F71*'Control PanelOur Matches'!$K$2 + G71*5 + H71*(1/3) + I71*'Control PanelOur Matches'!$M$2 + J71*50)</f>
        <v/>
      </c>
      <c r="P71" s="59">
        <f t="shared" si="2"/>
        <v>0</v>
      </c>
      <c r="Q71" s="60">
        <f t="shared" si="3"/>
        <v>2813</v>
      </c>
      <c r="R71" s="60" t="str">
        <f t="shared" si="4"/>
        <v>2813-2</v>
      </c>
    </row>
    <row r="72" ht="15.0" customHeight="1">
      <c r="A72" s="65">
        <v>69.0</v>
      </c>
      <c r="B72" s="66">
        <v>12.0</v>
      </c>
      <c r="C72" s="52" t="s">
        <v>41</v>
      </c>
      <c r="D72" s="53">
        <f t="array" ref="D72">index('Match Sched'!$C$3:$H753,match(B72,'Match Sched'!$A$3:$A753,0),if(mod(A72,6)=0,6,mod(A72,6)),0)</f>
        <v>6059</v>
      </c>
      <c r="E72" s="54"/>
      <c r="F72" s="55">
        <v>0.0</v>
      </c>
      <c r="G72" s="67"/>
      <c r="H72" s="67"/>
      <c r="I72" s="67"/>
      <c r="J72" s="67"/>
      <c r="K72" s="67"/>
      <c r="L72" s="67"/>
      <c r="M72" s="62">
        <f t="shared" ref="M72:N72" si="49">M70</f>
        <v>0</v>
      </c>
      <c r="N72" s="57">
        <f t="shared" si="49"/>
        <v>3</v>
      </c>
      <c r="O72" s="59" t="str">
        <f>if ( isblank (E72), E72, E72 + F72*'Control PanelOur Matches'!$K$2 + G72*5 + H72*(1/3) + I72*'Control PanelOur Matches'!$M$2 + J72*50)</f>
        <v/>
      </c>
      <c r="P72" s="59">
        <f t="shared" si="2"/>
        <v>0</v>
      </c>
      <c r="Q72" s="60">
        <f t="shared" si="3"/>
        <v>6059</v>
      </c>
      <c r="R72" s="60" t="str">
        <f t="shared" si="4"/>
        <v>6059-2</v>
      </c>
    </row>
    <row r="73" ht="15.0" customHeight="1">
      <c r="A73" s="65">
        <v>70.0</v>
      </c>
      <c r="B73" s="66">
        <v>12.0</v>
      </c>
      <c r="C73" s="52" t="s">
        <v>42</v>
      </c>
      <c r="D73" s="53">
        <f t="array" ref="D73">index('Match Sched'!$C$3:$H753,match(B73,'Match Sched'!$A$3:$A753,0),if(mod(A73,6)=0,6,mod(A73,6)),0)</f>
        <v>5677</v>
      </c>
      <c r="E73" s="54"/>
      <c r="F73" s="55">
        <v>0.0</v>
      </c>
      <c r="G73" s="67">
        <v>1.0</v>
      </c>
      <c r="H73" s="67"/>
      <c r="I73" s="67">
        <v>2.0</v>
      </c>
      <c r="J73" s="67"/>
      <c r="K73" s="67"/>
      <c r="L73" s="67"/>
      <c r="M73" s="57">
        <f>SUM(F73:F75)</f>
        <v>0</v>
      </c>
      <c r="N73" s="57">
        <f>SUM(I73:I75)+1</f>
        <v>5</v>
      </c>
      <c r="O73" s="59" t="str">
        <f>if ( isblank (E73), E73, E73 + F73*'Control PanelOur Matches'!$K$2 + G73*5 + H73*(1/3) + I73*'Control PanelOur Matches'!$M$2 + J73*50)</f>
        <v/>
      </c>
      <c r="P73" s="59">
        <f t="shared" si="2"/>
        <v>37</v>
      </c>
      <c r="Q73" s="60">
        <f t="shared" si="3"/>
        <v>5677</v>
      </c>
      <c r="R73" s="60" t="str">
        <f t="shared" si="4"/>
        <v>5677-2</v>
      </c>
    </row>
    <row r="74" ht="15.0" customHeight="1">
      <c r="A74" s="65">
        <v>71.0</v>
      </c>
      <c r="B74" s="66">
        <v>12.0</v>
      </c>
      <c r="C74" s="52" t="s">
        <v>43</v>
      </c>
      <c r="D74" s="53">
        <f t="array" ref="D74">index('Match Sched'!$C$3:$H753,match(B74,'Match Sched'!$A$3:$A753,0),if(mod(A74,6)=0,6,mod(A74,6)),0)</f>
        <v>5852</v>
      </c>
      <c r="E74" s="54"/>
      <c r="F74" s="55">
        <v>0.0</v>
      </c>
      <c r="G74" s="67">
        <v>1.0</v>
      </c>
      <c r="H74" s="67"/>
      <c r="I74" s="67">
        <v>1.0</v>
      </c>
      <c r="J74" s="67"/>
      <c r="K74" s="67"/>
      <c r="L74" s="67"/>
      <c r="M74" s="61">
        <f t="shared" ref="M74:N74" si="50">M73</f>
        <v>0</v>
      </c>
      <c r="N74" s="57">
        <f t="shared" si="50"/>
        <v>5</v>
      </c>
      <c r="O74" s="59" t="str">
        <f>if ( isblank (E74), E74, E74 + F74*'Control PanelOur Matches'!$K$2 + G74*5 + H74*(1/3) + I74*'Control PanelOur Matches'!$M$2 + J74*50)</f>
        <v/>
      </c>
      <c r="P74" s="59">
        <f t="shared" si="2"/>
        <v>21</v>
      </c>
      <c r="Q74" s="60">
        <f t="shared" si="3"/>
        <v>5852</v>
      </c>
      <c r="R74" s="60" t="str">
        <f t="shared" si="4"/>
        <v>5852-2</v>
      </c>
    </row>
    <row r="75" ht="15.0" customHeight="1">
      <c r="A75" s="65">
        <v>72.0</v>
      </c>
      <c r="B75" s="66">
        <v>12.0</v>
      </c>
      <c r="C75" s="68" t="s">
        <v>44</v>
      </c>
      <c r="D75" s="53">
        <f t="array" ref="D75">index('Match Sched'!$C$3:$H753,match(B75,'Match Sched'!$A$3:$A753,0),if(mod(A75,6)=0,6,mod(A75,6)),0)</f>
        <v>2643</v>
      </c>
      <c r="E75" s="54"/>
      <c r="F75" s="55">
        <v>0.0</v>
      </c>
      <c r="G75" s="67"/>
      <c r="H75" s="67"/>
      <c r="I75" s="67">
        <v>1.0</v>
      </c>
      <c r="J75" s="67"/>
      <c r="K75" s="67"/>
      <c r="L75" s="67"/>
      <c r="M75" s="62">
        <f t="shared" ref="M75:N75" si="51">M73</f>
        <v>0</v>
      </c>
      <c r="N75" s="57">
        <f t="shared" si="51"/>
        <v>5</v>
      </c>
      <c r="O75" s="59" t="str">
        <f>if ( isblank (E75), E75, E75 + F75*'Control PanelOur Matches'!$K$2 + G75*5 + H75*(1/3) + I75*'Control PanelOur Matches'!$M$2 + J75*50)</f>
        <v/>
      </c>
      <c r="P75" s="59">
        <f t="shared" si="2"/>
        <v>16</v>
      </c>
      <c r="Q75" s="60">
        <f t="shared" si="3"/>
        <v>2643</v>
      </c>
      <c r="R75" s="60" t="str">
        <f t="shared" si="4"/>
        <v>2643-2</v>
      </c>
    </row>
    <row r="76" ht="15.0" customHeight="1">
      <c r="A76" s="49">
        <v>73.0</v>
      </c>
      <c r="B76" s="50">
        <v>13.0</v>
      </c>
      <c r="C76" s="52" t="s">
        <v>39</v>
      </c>
      <c r="D76" s="53">
        <f t="array" ref="D76">index('Match Sched'!$C$3:$H753,match(B76,'Match Sched'!$A$3:$A753,0),if(mod(A76,6)=0,6,mod(A76,6)),0)</f>
        <v>3256</v>
      </c>
      <c r="E76" s="54"/>
      <c r="F76" s="55">
        <v>0.0</v>
      </c>
      <c r="G76" s="54">
        <v>1.0</v>
      </c>
      <c r="H76" s="54"/>
      <c r="I76" s="54">
        <v>2.0</v>
      </c>
      <c r="J76" s="54">
        <v>1.0</v>
      </c>
      <c r="K76" s="54"/>
      <c r="L76" s="54"/>
      <c r="M76" s="57">
        <f>SUM(F76:F78)</f>
        <v>0</v>
      </c>
      <c r="N76" s="57">
        <f>SUM(I76:I78)+1</f>
        <v>3</v>
      </c>
      <c r="O76" s="59" t="str">
        <f>if ( isblank (E76), E76, E76 + F76*'Control PanelOur Matches'!$K$2 + G76*5 + H76*(1/3) + I76*'Control PanelOur Matches'!$M$2 + J76*50)</f>
        <v/>
      </c>
      <c r="P76" s="59">
        <f t="shared" si="2"/>
        <v>108.3333333</v>
      </c>
      <c r="Q76" s="60">
        <f t="shared" si="3"/>
        <v>3256</v>
      </c>
      <c r="R76" s="60" t="str">
        <f t="shared" si="4"/>
        <v>3256-2</v>
      </c>
    </row>
    <row r="77" ht="15.0" customHeight="1">
      <c r="A77" s="49">
        <v>74.0</v>
      </c>
      <c r="B77" s="50">
        <v>13.0</v>
      </c>
      <c r="C77" s="52" t="s">
        <v>40</v>
      </c>
      <c r="D77" s="53">
        <f t="array" ref="D77">index('Match Sched'!$C$3:$H753,match(B77,'Match Sched'!$A$3:$A753,0),if(mod(A77,6)=0,6,mod(A77,6)),0)</f>
        <v>3189</v>
      </c>
      <c r="E77" s="54"/>
      <c r="F77" s="55">
        <v>0.0</v>
      </c>
      <c r="G77" s="54"/>
      <c r="H77" s="54"/>
      <c r="I77" s="54"/>
      <c r="J77" s="54"/>
      <c r="K77" s="54"/>
      <c r="L77" s="54"/>
      <c r="M77" s="61">
        <f t="shared" ref="M77:N77" si="52">M76</f>
        <v>0</v>
      </c>
      <c r="N77" s="57">
        <f t="shared" si="52"/>
        <v>3</v>
      </c>
      <c r="O77" s="59" t="str">
        <f>if ( isblank (E77), E77, E77 + F77*'Control PanelOur Matches'!$K$2 + G77*5 + H77*(1/3) + I77*'Control PanelOur Matches'!$M$2 + J77*50)</f>
        <v/>
      </c>
      <c r="P77" s="59">
        <f t="shared" si="2"/>
        <v>0</v>
      </c>
      <c r="Q77" s="60">
        <f t="shared" si="3"/>
        <v>3189</v>
      </c>
      <c r="R77" s="60" t="str">
        <f t="shared" si="4"/>
        <v>3189-2</v>
      </c>
    </row>
    <row r="78" ht="15.0" customHeight="1">
      <c r="A78" s="49">
        <v>75.0</v>
      </c>
      <c r="B78" s="50">
        <v>13.0</v>
      </c>
      <c r="C78" s="52" t="s">
        <v>41</v>
      </c>
      <c r="D78" s="53">
        <f t="array" ref="D78">index('Match Sched'!$C$3:$H753,match(B78,'Match Sched'!$A$3:$A753,0),if(mod(A78,6)=0,6,mod(A78,6)),0)</f>
        <v>3501</v>
      </c>
      <c r="E78" s="54"/>
      <c r="F78" s="55">
        <v>0.0</v>
      </c>
      <c r="G78" s="54"/>
      <c r="H78" s="54"/>
      <c r="I78" s="54"/>
      <c r="J78" s="54"/>
      <c r="K78" s="54"/>
      <c r="L78" s="54"/>
      <c r="M78" s="62">
        <f t="shared" ref="M78:N78" si="53">M76</f>
        <v>0</v>
      </c>
      <c r="N78" s="57">
        <f t="shared" si="53"/>
        <v>3</v>
      </c>
      <c r="O78" s="59" t="str">
        <f>if ( isblank (E78), E78, E78 + F78*'Control PanelOur Matches'!$K$2 + G78*5 + H78*(1/3) + I78*'Control PanelOur Matches'!$M$2 + J78*50)</f>
        <v/>
      </c>
      <c r="P78" s="59">
        <f t="shared" si="2"/>
        <v>0</v>
      </c>
      <c r="Q78" s="60">
        <f t="shared" si="3"/>
        <v>3501</v>
      </c>
      <c r="R78" s="60" t="str">
        <f t="shared" si="4"/>
        <v>3501-2</v>
      </c>
    </row>
    <row r="79" ht="15.0" customHeight="1">
      <c r="A79" s="49">
        <v>76.0</v>
      </c>
      <c r="B79" s="50">
        <v>13.0</v>
      </c>
      <c r="C79" s="52" t="s">
        <v>42</v>
      </c>
      <c r="D79" s="53">
        <f t="array" ref="D79">index('Match Sched'!$C$3:$H753,match(B79,'Match Sched'!$A$3:$A753,0),if(mod(A79,6)=0,6,mod(A79,6)),0)</f>
        <v>1422</v>
      </c>
      <c r="E79" s="54"/>
      <c r="F79" s="55">
        <v>0.0</v>
      </c>
      <c r="G79" s="54"/>
      <c r="H79" s="54"/>
      <c r="I79" s="54"/>
      <c r="J79" s="54"/>
      <c r="K79" s="54"/>
      <c r="L79" s="54"/>
      <c r="M79" s="57">
        <f>SUM(F79:F81)</f>
        <v>0</v>
      </c>
      <c r="N79" s="57">
        <f>SUM(I79:I81)+1</f>
        <v>5</v>
      </c>
      <c r="O79" s="59" t="str">
        <f>if ( isblank (E79), E79, E79 + F79*'Control PanelOur Matches'!$K$2 + G79*5 + H79*(1/3) + I79*'Control PanelOur Matches'!$M$2 + J79*50)</f>
        <v/>
      </c>
      <c r="P79" s="59">
        <f t="shared" si="2"/>
        <v>0</v>
      </c>
      <c r="Q79" s="60">
        <f t="shared" si="3"/>
        <v>1422</v>
      </c>
      <c r="R79" s="60" t="str">
        <f t="shared" si="4"/>
        <v>1422-2</v>
      </c>
    </row>
    <row r="80" ht="15.0" customHeight="1">
      <c r="A80" s="49">
        <v>77.0</v>
      </c>
      <c r="B80" s="50">
        <v>13.0</v>
      </c>
      <c r="C80" s="52" t="s">
        <v>43</v>
      </c>
      <c r="D80" s="53">
        <f t="array" ref="D80">index('Match Sched'!$C$3:$H753,match(B80,'Match Sched'!$A$3:$A753,0),if(mod(A80,6)=0,6,mod(A80,6)),0)</f>
        <v>5817</v>
      </c>
      <c r="E80" s="54"/>
      <c r="F80" s="55">
        <v>0.0</v>
      </c>
      <c r="G80" s="54">
        <v>1.0</v>
      </c>
      <c r="H80" s="54"/>
      <c r="I80" s="54">
        <v>3.0</v>
      </c>
      <c r="J80" s="54">
        <v>1.0</v>
      </c>
      <c r="K80" s="54"/>
      <c r="L80" s="54"/>
      <c r="M80" s="61">
        <f t="shared" ref="M80:N80" si="54">M79</f>
        <v>0</v>
      </c>
      <c r="N80" s="57">
        <f t="shared" si="54"/>
        <v>5</v>
      </c>
      <c r="O80" s="59" t="str">
        <f>if ( isblank (E80), E80, E80 + F80*'Control PanelOur Matches'!$K$2 + G80*5 + H80*(1/3) + I80*'Control PanelOur Matches'!$M$2 + J80*50)</f>
        <v/>
      </c>
      <c r="P80" s="59">
        <f t="shared" si="2"/>
        <v>103</v>
      </c>
      <c r="Q80" s="60">
        <f t="shared" si="3"/>
        <v>5817</v>
      </c>
      <c r="R80" s="60" t="str">
        <f t="shared" si="4"/>
        <v>5817-2</v>
      </c>
    </row>
    <row r="81" ht="15.0" customHeight="1">
      <c r="A81" s="49">
        <v>78.0</v>
      </c>
      <c r="B81" s="50">
        <v>13.0</v>
      </c>
      <c r="C81" s="52" t="s">
        <v>44</v>
      </c>
      <c r="D81" s="53">
        <f t="array" ref="D81">index('Match Sched'!$C$3:$H753,match(B81,'Match Sched'!$A$3:$A753,0),if(mod(A81,6)=0,6,mod(A81,6)),0)</f>
        <v>972</v>
      </c>
      <c r="E81" s="54"/>
      <c r="F81" s="55">
        <v>0.0</v>
      </c>
      <c r="G81" s="54">
        <v>1.0</v>
      </c>
      <c r="H81" s="54"/>
      <c r="I81" s="54">
        <v>1.0</v>
      </c>
      <c r="J81" s="54"/>
      <c r="K81" s="54"/>
      <c r="L81" s="54"/>
      <c r="M81" s="62">
        <f t="shared" ref="M81:N81" si="55">M79</f>
        <v>0</v>
      </c>
      <c r="N81" s="57">
        <f t="shared" si="55"/>
        <v>5</v>
      </c>
      <c r="O81" s="59" t="str">
        <f>if ( isblank (E81), E81, E81 + F81*'Control PanelOur Matches'!$K$2 + G81*5 + H81*(1/3) + I81*'Control PanelOur Matches'!$M$2 + J81*50)</f>
        <v/>
      </c>
      <c r="P81" s="59">
        <f t="shared" si="2"/>
        <v>21</v>
      </c>
      <c r="Q81" s="60">
        <f t="shared" si="3"/>
        <v>972</v>
      </c>
      <c r="R81" s="60" t="str">
        <f t="shared" si="4"/>
        <v>972-2</v>
      </c>
    </row>
    <row r="82" ht="15.0" customHeight="1">
      <c r="A82" s="65">
        <v>79.0</v>
      </c>
      <c r="B82" s="66">
        <v>14.0</v>
      </c>
      <c r="C82" s="52" t="s">
        <v>39</v>
      </c>
      <c r="D82" s="53">
        <f t="array" ref="D82">index('Match Sched'!$C$3:$H753,match(B82,'Match Sched'!$A$3:$A753,0),if(mod(A82,6)=0,6,mod(A82,6)),0)</f>
        <v>3495</v>
      </c>
      <c r="E82" s="54"/>
      <c r="F82" s="55">
        <v>0.0</v>
      </c>
      <c r="G82" s="67"/>
      <c r="H82" s="67"/>
      <c r="I82" s="67"/>
      <c r="J82" s="67"/>
      <c r="K82" s="67"/>
      <c r="L82" s="67"/>
      <c r="M82" s="57">
        <f>SUM(F82:F84)</f>
        <v>0</v>
      </c>
      <c r="N82" s="57">
        <f>SUM(I82:I84)+1</f>
        <v>3</v>
      </c>
      <c r="O82" s="59" t="str">
        <f>if ( isblank (E82), E82, E82 + F82*'Control PanelOur Matches'!$K$2 + G82*5 + H82*(1/3) + I82*'Control PanelOur Matches'!$M$2 + J82*50)</f>
        <v/>
      </c>
      <c r="P82" s="59">
        <f t="shared" si="2"/>
        <v>0</v>
      </c>
      <c r="Q82" s="60">
        <f t="shared" si="3"/>
        <v>3495</v>
      </c>
      <c r="R82" s="60" t="str">
        <f t="shared" si="4"/>
        <v>3495-2</v>
      </c>
    </row>
    <row r="83" ht="15.0" customHeight="1">
      <c r="A83" s="65">
        <v>80.0</v>
      </c>
      <c r="B83" s="66">
        <v>14.0</v>
      </c>
      <c r="C83" s="52" t="s">
        <v>40</v>
      </c>
      <c r="D83" s="53">
        <f t="array" ref="D83">index('Match Sched'!$C$3:$H753,match(B83,'Match Sched'!$A$3:$A753,0),if(mod(A83,6)=0,6,mod(A83,6)),0)</f>
        <v>6305</v>
      </c>
      <c r="E83" s="54"/>
      <c r="F83" s="55">
        <v>0.0</v>
      </c>
      <c r="G83" s="67"/>
      <c r="H83" s="67"/>
      <c r="I83" s="67"/>
      <c r="J83" s="67"/>
      <c r="K83" s="67"/>
      <c r="L83" s="67"/>
      <c r="M83" s="61">
        <f t="shared" ref="M83:N83" si="56">M82</f>
        <v>0</v>
      </c>
      <c r="N83" s="57">
        <f t="shared" si="56"/>
        <v>3</v>
      </c>
      <c r="O83" s="59" t="str">
        <f>if ( isblank (E83), E83, E83 + F83*'Control PanelOur Matches'!$K$2 + G83*5 + H83*(1/3) + I83*'Control PanelOur Matches'!$M$2 + J83*50)</f>
        <v/>
      </c>
      <c r="P83" s="59">
        <f t="shared" si="2"/>
        <v>0</v>
      </c>
      <c r="Q83" s="60">
        <f t="shared" si="3"/>
        <v>6305</v>
      </c>
      <c r="R83" s="60" t="str">
        <f t="shared" si="4"/>
        <v>6305-2</v>
      </c>
    </row>
    <row r="84" ht="15.0" customHeight="1">
      <c r="A84" s="65">
        <v>81.0</v>
      </c>
      <c r="B84" s="66">
        <v>14.0</v>
      </c>
      <c r="C84" s="52" t="s">
        <v>41</v>
      </c>
      <c r="D84" s="53">
        <f t="array" ref="D84">index('Match Sched'!$C$3:$H753,match(B84,'Match Sched'!$A$3:$A753,0),if(mod(A84,6)=0,6,mod(A84,6)),0)</f>
        <v>294</v>
      </c>
      <c r="E84" s="54"/>
      <c r="F84" s="55">
        <v>0.0</v>
      </c>
      <c r="G84" s="67">
        <v>1.0</v>
      </c>
      <c r="H84" s="67"/>
      <c r="I84" s="67">
        <v>2.0</v>
      </c>
      <c r="J84" s="67"/>
      <c r="K84" s="67"/>
      <c r="L84" s="67"/>
      <c r="M84" s="62">
        <f t="shared" ref="M84:N84" si="57">M82</f>
        <v>0</v>
      </c>
      <c r="N84" s="57">
        <f t="shared" si="57"/>
        <v>3</v>
      </c>
      <c r="O84" s="59" t="str">
        <f>if ( isblank (E84), E84, E84 + F84*'Control PanelOur Matches'!$K$2 + G84*5 + H84*(1/3) + I84*'Control PanelOur Matches'!$M$2 + J84*50)</f>
        <v/>
      </c>
      <c r="P84" s="59">
        <f t="shared" si="2"/>
        <v>58.33333333</v>
      </c>
      <c r="Q84" s="60">
        <f t="shared" si="3"/>
        <v>294</v>
      </c>
      <c r="R84" s="60" t="str">
        <f t="shared" si="4"/>
        <v>294-2</v>
      </c>
    </row>
    <row r="85" ht="15.0" customHeight="1">
      <c r="A85" s="65">
        <v>82.0</v>
      </c>
      <c r="B85" s="66">
        <v>14.0</v>
      </c>
      <c r="C85" s="52" t="s">
        <v>42</v>
      </c>
      <c r="D85" s="53">
        <f t="array" ref="D85">index('Match Sched'!$C$3:$H753,match(B85,'Match Sched'!$A$3:$A753,0),if(mod(A85,6)=0,6,mod(A85,6)),0)</f>
        <v>1662</v>
      </c>
      <c r="E85" s="54"/>
      <c r="F85" s="55">
        <v>0.0</v>
      </c>
      <c r="G85" s="67">
        <v>1.0</v>
      </c>
      <c r="H85" s="67"/>
      <c r="I85" s="67">
        <v>3.0</v>
      </c>
      <c r="J85" s="67"/>
      <c r="K85" s="67"/>
      <c r="L85" s="67"/>
      <c r="M85" s="57">
        <f>SUM(F85:F87)</f>
        <v>0</v>
      </c>
      <c r="N85" s="57">
        <f>SUM(I85:I87)+1</f>
        <v>6</v>
      </c>
      <c r="O85" s="59" t="str">
        <f>if ( isblank (E85), E85, E85 + F85*'Control PanelOur Matches'!$K$2 + G85*5 + H85*(1/3) + I85*'Control PanelOur Matches'!$M$2 + J85*50)</f>
        <v/>
      </c>
      <c r="P85" s="59">
        <f t="shared" si="2"/>
        <v>45</v>
      </c>
      <c r="Q85" s="60">
        <f t="shared" si="3"/>
        <v>1662</v>
      </c>
      <c r="R85" s="60" t="str">
        <f t="shared" si="4"/>
        <v>1662-2</v>
      </c>
    </row>
    <row r="86" ht="15.0" customHeight="1">
      <c r="A86" s="65">
        <v>83.0</v>
      </c>
      <c r="B86" s="66">
        <v>14.0</v>
      </c>
      <c r="C86" s="52" t="s">
        <v>43</v>
      </c>
      <c r="D86" s="53">
        <f t="array" ref="D86">index('Match Sched'!$C$3:$H753,match(B86,'Match Sched'!$A$3:$A753,0),if(mod(A86,6)=0,6,mod(A86,6)),0)</f>
        <v>6619</v>
      </c>
      <c r="E86" s="54"/>
      <c r="F86" s="55">
        <v>0.0</v>
      </c>
      <c r="G86" s="67"/>
      <c r="H86" s="67"/>
      <c r="I86" s="67">
        <v>2.0</v>
      </c>
      <c r="J86" s="67"/>
      <c r="K86" s="67"/>
      <c r="L86" s="67"/>
      <c r="M86" s="61">
        <f t="shared" ref="M86:N86" si="58">M85</f>
        <v>0</v>
      </c>
      <c r="N86" s="57">
        <f t="shared" si="58"/>
        <v>6</v>
      </c>
      <c r="O86" s="59" t="str">
        <f>if ( isblank (E86), E86, E86 + F86*'Control PanelOur Matches'!$K$2 + G86*5 + H86*(1/3) + I86*'Control PanelOur Matches'!$M$2 + J86*50)</f>
        <v/>
      </c>
      <c r="P86" s="59">
        <f t="shared" si="2"/>
        <v>26.66666667</v>
      </c>
      <c r="Q86" s="60">
        <f t="shared" si="3"/>
        <v>6619</v>
      </c>
      <c r="R86" s="60" t="str">
        <f t="shared" si="4"/>
        <v>6619-2</v>
      </c>
    </row>
    <row r="87" ht="15.0" customHeight="1">
      <c r="A87" s="65">
        <v>84.0</v>
      </c>
      <c r="B87" s="66">
        <v>14.0</v>
      </c>
      <c r="C87" s="68" t="s">
        <v>44</v>
      </c>
      <c r="D87" s="53">
        <f t="array" ref="D87">index('Match Sched'!$C$3:$H753,match(B87,'Match Sched'!$A$3:$A753,0),if(mod(A87,6)=0,6,mod(A87,6)),0)</f>
        <v>3045</v>
      </c>
      <c r="E87" s="54"/>
      <c r="F87" s="55">
        <v>0.0</v>
      </c>
      <c r="G87" s="67">
        <v>1.0</v>
      </c>
      <c r="H87" s="67"/>
      <c r="I87" s="67"/>
      <c r="J87" s="67"/>
      <c r="K87" s="67"/>
      <c r="L87" s="67"/>
      <c r="M87" s="62">
        <f t="shared" ref="M87:N87" si="59">M85</f>
        <v>0</v>
      </c>
      <c r="N87" s="57">
        <f t="shared" si="59"/>
        <v>6</v>
      </c>
      <c r="O87" s="59" t="str">
        <f>if ( isblank (E87), E87, E87 + F87*'Control PanelOur Matches'!$K$2 + G87*5 + H87*(1/3) + I87*'Control PanelOur Matches'!$M$2 + J87*50)</f>
        <v/>
      </c>
      <c r="P87" s="59">
        <f t="shared" si="2"/>
        <v>5</v>
      </c>
      <c r="Q87" s="60">
        <f t="shared" si="3"/>
        <v>3045</v>
      </c>
      <c r="R87" s="60" t="str">
        <f t="shared" si="4"/>
        <v>3045-2</v>
      </c>
    </row>
    <row r="88" ht="15.0" customHeight="1">
      <c r="A88" s="49">
        <v>85.0</v>
      </c>
      <c r="B88" s="50">
        <v>15.0</v>
      </c>
      <c r="C88" s="52" t="s">
        <v>39</v>
      </c>
      <c r="D88" s="53">
        <f t="array" ref="D88">index('Match Sched'!$C$3:$H753,match(B88,'Match Sched'!$A$3:$A753,0),if(mod(A88,6)=0,6,mod(A88,6)),0)</f>
        <v>1323</v>
      </c>
      <c r="E88" s="54"/>
      <c r="F88" s="55">
        <v>0.0</v>
      </c>
      <c r="G88" s="54"/>
      <c r="H88" s="54"/>
      <c r="I88" s="54">
        <v>4.0</v>
      </c>
      <c r="J88" s="54"/>
      <c r="K88" s="54"/>
      <c r="L88" s="54"/>
      <c r="M88" s="57">
        <f>SUM(F88:F90)</f>
        <v>0</v>
      </c>
      <c r="N88" s="57">
        <f>SUM(I88:I90)+1</f>
        <v>7</v>
      </c>
      <c r="O88" s="59" t="str">
        <f>if ( isblank (E88), E88, E88 + F88*'Control PanelOur Matches'!$K$2 + G88*5 + H88*(1/3) + I88*'Control PanelOur Matches'!$M$2 + J88*50)</f>
        <v/>
      </c>
      <c r="P88" s="59">
        <f t="shared" si="2"/>
        <v>68.57142857</v>
      </c>
      <c r="Q88" s="60">
        <f t="shared" si="3"/>
        <v>1323</v>
      </c>
      <c r="R88" s="60" t="str">
        <f t="shared" si="4"/>
        <v>1323-2</v>
      </c>
    </row>
    <row r="89" ht="15.0" customHeight="1">
      <c r="A89" s="49">
        <v>86.0</v>
      </c>
      <c r="B89" s="50">
        <v>15.0</v>
      </c>
      <c r="C89" s="52" t="s">
        <v>40</v>
      </c>
      <c r="D89" s="53">
        <f t="array" ref="D89">index('Match Sched'!$C$3:$H753,match(B89,'Match Sched'!$A$3:$A753,0),if(mod(A89,6)=0,6,mod(A89,6)),0)</f>
        <v>1678</v>
      </c>
      <c r="E89" s="54"/>
      <c r="F89" s="55">
        <v>0.0</v>
      </c>
      <c r="G89" s="54">
        <v>1.0</v>
      </c>
      <c r="H89" s="54"/>
      <c r="I89" s="54">
        <v>2.0</v>
      </c>
      <c r="J89" s="54"/>
      <c r="K89" s="54"/>
      <c r="L89" s="54"/>
      <c r="M89" s="61">
        <f t="shared" ref="M89:N89" si="60">M88</f>
        <v>0</v>
      </c>
      <c r="N89" s="57">
        <f t="shared" si="60"/>
        <v>7</v>
      </c>
      <c r="O89" s="59" t="str">
        <f>if ( isblank (E89), E89, E89 + F89*'Control PanelOur Matches'!$K$2 + G89*5 + H89*(1/3) + I89*'Control PanelOur Matches'!$M$2 + J89*50)</f>
        <v/>
      </c>
      <c r="P89" s="59">
        <f t="shared" si="2"/>
        <v>39.28571429</v>
      </c>
      <c r="Q89" s="60">
        <f t="shared" si="3"/>
        <v>1678</v>
      </c>
      <c r="R89" s="60" t="str">
        <f t="shared" si="4"/>
        <v>1678-2</v>
      </c>
    </row>
    <row r="90" ht="15.0" customHeight="1">
      <c r="A90" s="49">
        <v>87.0</v>
      </c>
      <c r="B90" s="50">
        <v>15.0</v>
      </c>
      <c r="C90" s="52" t="s">
        <v>41</v>
      </c>
      <c r="D90" s="53">
        <f t="array" ref="D90">index('Match Sched'!$C$3:$H753,match(B90,'Match Sched'!$A$3:$A753,0),if(mod(A90,6)=0,6,mod(A90,6)),0)</f>
        <v>1671</v>
      </c>
      <c r="E90" s="54"/>
      <c r="F90" s="55">
        <v>0.0</v>
      </c>
      <c r="G90" s="54"/>
      <c r="H90" s="54"/>
      <c r="I90" s="54"/>
      <c r="J90" s="54"/>
      <c r="K90" s="54"/>
      <c r="L90" s="54"/>
      <c r="M90" s="62">
        <f t="shared" ref="M90:N90" si="61">M88</f>
        <v>0</v>
      </c>
      <c r="N90" s="57">
        <f t="shared" si="61"/>
        <v>7</v>
      </c>
      <c r="O90" s="59" t="str">
        <f>if ( isblank (E90), E90, E90 + F90*'Control PanelOur Matches'!$K$2 + G90*5 + H90*(1/3) + I90*'Control PanelOur Matches'!$M$2 + J90*50)</f>
        <v/>
      </c>
      <c r="P90" s="59">
        <f t="shared" si="2"/>
        <v>0</v>
      </c>
      <c r="Q90" s="60">
        <f t="shared" si="3"/>
        <v>1671</v>
      </c>
      <c r="R90" s="60" t="str">
        <f t="shared" si="4"/>
        <v>1671-2</v>
      </c>
    </row>
    <row r="91" ht="15.0" customHeight="1">
      <c r="A91" s="49">
        <v>88.0</v>
      </c>
      <c r="B91" s="50">
        <v>15.0</v>
      </c>
      <c r="C91" s="52" t="s">
        <v>42</v>
      </c>
      <c r="D91" s="53">
        <f t="array" ref="D91">index('Match Sched'!$C$3:$H753,match(B91,'Match Sched'!$A$3:$A753,0),if(mod(A91,6)=0,6,mod(A91,6)),0)</f>
        <v>1388</v>
      </c>
      <c r="E91" s="54"/>
      <c r="F91" s="55">
        <v>0.0</v>
      </c>
      <c r="G91" s="54"/>
      <c r="H91" s="54"/>
      <c r="I91" s="54"/>
      <c r="J91" s="54"/>
      <c r="K91" s="54"/>
      <c r="L91" s="54"/>
      <c r="M91" s="57">
        <f>SUM(F91:F93)</f>
        <v>0</v>
      </c>
      <c r="N91" s="57">
        <f>SUM(I91:I93)+1</f>
        <v>2</v>
      </c>
      <c r="O91" s="59" t="str">
        <f>if ( isblank (E91), E91, E91 + F91*'Control PanelOur Matches'!$K$2 + G91*5 + H91*(1/3) + I91*'Control PanelOur Matches'!$M$2 + J91*50)</f>
        <v/>
      </c>
      <c r="P91" s="59">
        <f t="shared" si="2"/>
        <v>0</v>
      </c>
      <c r="Q91" s="60">
        <f t="shared" si="3"/>
        <v>1388</v>
      </c>
      <c r="R91" s="60" t="str">
        <f t="shared" si="4"/>
        <v>1388-2</v>
      </c>
    </row>
    <row r="92" ht="15.0" customHeight="1">
      <c r="A92" s="49">
        <v>89.0</v>
      </c>
      <c r="B92" s="50">
        <v>15.0</v>
      </c>
      <c r="C92" s="52" t="s">
        <v>43</v>
      </c>
      <c r="D92" s="53">
        <f t="array" ref="D92">index('Match Sched'!$C$3:$H753,match(B92,'Match Sched'!$A$3:$A753,0),if(mod(A92,6)=0,6,mod(A92,6)),0)</f>
        <v>687</v>
      </c>
      <c r="E92" s="54"/>
      <c r="F92" s="55">
        <v>0.0</v>
      </c>
      <c r="G92" s="54"/>
      <c r="H92" s="54"/>
      <c r="I92" s="54"/>
      <c r="J92" s="54"/>
      <c r="K92" s="54">
        <v>1.0</v>
      </c>
      <c r="L92" s="54"/>
      <c r="M92" s="61">
        <f t="shared" ref="M92:N92" si="62">M91</f>
        <v>0</v>
      </c>
      <c r="N92" s="57">
        <f t="shared" si="62"/>
        <v>2</v>
      </c>
      <c r="O92" s="59" t="str">
        <f>if ( isblank (E92), E92, E92 + F92*'Control PanelOur Matches'!$K$2 + G92*5 + H92*(1/3) + I92*'Control PanelOur Matches'!$M$2 + J92*50)</f>
        <v/>
      </c>
      <c r="P92" s="59">
        <f t="shared" si="2"/>
        <v>0</v>
      </c>
      <c r="Q92" s="60">
        <f t="shared" si="3"/>
        <v>687</v>
      </c>
      <c r="R92" s="60" t="str">
        <f t="shared" si="4"/>
        <v>687-2</v>
      </c>
    </row>
    <row r="93" ht="15.0" customHeight="1">
      <c r="A93" s="49">
        <v>90.0</v>
      </c>
      <c r="B93" s="50">
        <v>15.0</v>
      </c>
      <c r="C93" s="52" t="s">
        <v>44</v>
      </c>
      <c r="D93" s="53">
        <f t="array" ref="D93">index('Match Sched'!$C$3:$H753,match(B93,'Match Sched'!$A$3:$A753,0),if(mod(A93,6)=0,6,mod(A93,6)),0)</f>
        <v>2493</v>
      </c>
      <c r="E93" s="54"/>
      <c r="F93" s="55">
        <v>0.0</v>
      </c>
      <c r="G93" s="54">
        <v>1.0</v>
      </c>
      <c r="H93" s="54"/>
      <c r="I93" s="54">
        <v>1.0</v>
      </c>
      <c r="J93" s="54"/>
      <c r="K93" s="54"/>
      <c r="L93" s="54"/>
      <c r="M93" s="62">
        <f t="shared" ref="M93:N93" si="63">M91</f>
        <v>0</v>
      </c>
      <c r="N93" s="57">
        <f t="shared" si="63"/>
        <v>2</v>
      </c>
      <c r="O93" s="59" t="str">
        <f>if ( isblank (E93), E93, E93 + F93*'Control PanelOur Matches'!$K$2 + G93*5 + H93*(1/3) + I93*'Control PanelOur Matches'!$M$2 + J93*50)</f>
        <v/>
      </c>
      <c r="P93" s="59">
        <f t="shared" si="2"/>
        <v>25</v>
      </c>
      <c r="Q93" s="60">
        <f t="shared" si="3"/>
        <v>2493</v>
      </c>
      <c r="R93" s="60" t="str">
        <f t="shared" si="4"/>
        <v>2493-2</v>
      </c>
    </row>
    <row r="94" ht="15.0" customHeight="1">
      <c r="A94" s="65">
        <v>91.0</v>
      </c>
      <c r="B94" s="66">
        <v>16.0</v>
      </c>
      <c r="C94" s="52" t="s">
        <v>39</v>
      </c>
      <c r="D94" s="53">
        <f t="array" ref="D94">index('Match Sched'!$C$3:$H753,match(B94,'Match Sched'!$A$3:$A753,0),if(mod(A94,6)=0,6,mod(A94,6)),0)</f>
        <v>6699</v>
      </c>
      <c r="E94" s="54"/>
      <c r="F94" s="55">
        <v>0.0</v>
      </c>
      <c r="G94" s="67"/>
      <c r="H94" s="67"/>
      <c r="I94" s="67">
        <v>1.0</v>
      </c>
      <c r="J94" s="67"/>
      <c r="K94" s="67"/>
      <c r="L94" s="67"/>
      <c r="M94" s="57">
        <f>SUM(F94:F96)</f>
        <v>0</v>
      </c>
      <c r="N94" s="57">
        <f>SUM(I94:I96)+1</f>
        <v>4</v>
      </c>
      <c r="O94" s="59" t="str">
        <f>if ( isblank (E94), E94, E94 + F94*'Control PanelOur Matches'!$K$2 + G94*5 + H94*(1/3) + I94*'Control PanelOur Matches'!$M$2 + J94*50)</f>
        <v/>
      </c>
      <c r="P94" s="59">
        <f t="shared" si="2"/>
        <v>20</v>
      </c>
      <c r="Q94" s="60">
        <f t="shared" si="3"/>
        <v>6699</v>
      </c>
      <c r="R94" s="60" t="str">
        <f t="shared" si="4"/>
        <v>6699-2</v>
      </c>
    </row>
    <row r="95" ht="15.0" customHeight="1">
      <c r="A95" s="65">
        <v>92.0</v>
      </c>
      <c r="B95" s="66">
        <v>16.0</v>
      </c>
      <c r="C95" s="69" t="s">
        <v>40</v>
      </c>
      <c r="D95" s="53">
        <f t="array" ref="D95">index('Match Sched'!$C$3:$H753,match(B95,'Match Sched'!$A$3:$A753,0),if(mod(A95,6)=0,6,mod(A95,6)),0)</f>
        <v>980</v>
      </c>
      <c r="E95" s="54"/>
      <c r="F95" s="55">
        <v>0.0</v>
      </c>
      <c r="G95" s="67"/>
      <c r="H95" s="67"/>
      <c r="I95" s="67">
        <v>1.0</v>
      </c>
      <c r="J95" s="67"/>
      <c r="K95" s="67"/>
      <c r="L95" s="67"/>
      <c r="M95" s="61">
        <f t="shared" ref="M95:N95" si="64">M94</f>
        <v>0</v>
      </c>
      <c r="N95" s="57">
        <f t="shared" si="64"/>
        <v>4</v>
      </c>
      <c r="O95" s="59" t="str">
        <f>if ( isblank (E95), E95, E95 + F95*'Control PanelOur Matches'!$K$2 + G95*5 + H95*(1/3) + I95*'Control PanelOur Matches'!$M$2 + J95*50)</f>
        <v/>
      </c>
      <c r="P95" s="59">
        <f t="shared" si="2"/>
        <v>20</v>
      </c>
      <c r="Q95" s="60">
        <f t="shared" si="3"/>
        <v>980</v>
      </c>
      <c r="R95" s="60" t="str">
        <f t="shared" si="4"/>
        <v>980-2</v>
      </c>
    </row>
    <row r="96" ht="15.0" customHeight="1">
      <c r="A96" s="65">
        <v>93.0</v>
      </c>
      <c r="B96" s="66">
        <v>16.0</v>
      </c>
      <c r="C96" s="52" t="s">
        <v>41</v>
      </c>
      <c r="D96" s="53">
        <f t="array" ref="D96">index('Match Sched'!$C$3:$H753,match(B96,'Match Sched'!$A$3:$A753,0),if(mod(A96,6)=0,6,mod(A96,6)),0)</f>
        <v>2085</v>
      </c>
      <c r="E96" s="54"/>
      <c r="F96" s="55">
        <v>0.0</v>
      </c>
      <c r="G96" s="67"/>
      <c r="H96" s="67"/>
      <c r="I96" s="67">
        <v>1.0</v>
      </c>
      <c r="J96" s="67"/>
      <c r="K96" s="67"/>
      <c r="L96" s="67"/>
      <c r="M96" s="62">
        <f t="shared" ref="M96:N96" si="65">M94</f>
        <v>0</v>
      </c>
      <c r="N96" s="57">
        <f t="shared" si="65"/>
        <v>4</v>
      </c>
      <c r="O96" s="59" t="str">
        <f>if ( isblank (E96), E96, E96 + F96*'Control PanelOur Matches'!$K$2 + G96*5 + H96*(1/3) + I96*'Control PanelOur Matches'!$M$2 + J96*50)</f>
        <v/>
      </c>
      <c r="P96" s="59">
        <f t="shared" si="2"/>
        <v>20</v>
      </c>
      <c r="Q96" s="60">
        <f t="shared" si="3"/>
        <v>2085</v>
      </c>
      <c r="R96" s="60" t="str">
        <f t="shared" si="4"/>
        <v>2085-3</v>
      </c>
    </row>
    <row r="97" ht="15.0" customHeight="1">
      <c r="A97" s="65">
        <v>94.0</v>
      </c>
      <c r="B97" s="66">
        <v>16.0</v>
      </c>
      <c r="C97" s="52" t="s">
        <v>42</v>
      </c>
      <c r="D97" s="53">
        <f t="array" ref="D97">index('Match Sched'!$C$3:$H753,match(B97,'Match Sched'!$A$3:$A753,0),if(mod(A97,6)=0,6,mod(A97,6)),0)</f>
        <v>1868</v>
      </c>
      <c r="E97" s="54"/>
      <c r="F97" s="55">
        <v>0.0</v>
      </c>
      <c r="G97" s="67"/>
      <c r="H97" s="67"/>
      <c r="I97" s="67"/>
      <c r="J97" s="67"/>
      <c r="K97" s="67"/>
      <c r="L97" s="67"/>
      <c r="M97" s="57">
        <f>SUM(F97:F99)</f>
        <v>1</v>
      </c>
      <c r="N97" s="57">
        <f>SUM(I97:I99)+1</f>
        <v>1</v>
      </c>
      <c r="O97" s="59" t="str">
        <f>if ( isblank (E97), E97, E97 + F97*'Control PanelOur Matches'!$K$2 + G97*5 + H97*(1/3) + I97*'Control PanelOur Matches'!$M$2 + J97*50)</f>
        <v/>
      </c>
      <c r="P97" s="59">
        <f t="shared" si="2"/>
        <v>0</v>
      </c>
      <c r="Q97" s="60">
        <f t="shared" si="3"/>
        <v>1868</v>
      </c>
      <c r="R97" s="60" t="str">
        <f t="shared" si="4"/>
        <v>1868-2</v>
      </c>
    </row>
    <row r="98" ht="15.0" customHeight="1">
      <c r="A98" s="65">
        <v>95.0</v>
      </c>
      <c r="B98" s="66">
        <v>16.0</v>
      </c>
      <c r="C98" s="52" t="s">
        <v>43</v>
      </c>
      <c r="D98" s="53">
        <f t="array" ref="D98">index('Match Sched'!$C$3:$H753,match(B98,'Match Sched'!$A$3:$A753,0),if(mod(A98,6)=0,6,mod(A98,6)),0)</f>
        <v>3501</v>
      </c>
      <c r="E98" s="54"/>
      <c r="F98" s="55">
        <v>1.0</v>
      </c>
      <c r="G98" s="67">
        <v>1.0</v>
      </c>
      <c r="H98" s="67"/>
      <c r="I98" s="67"/>
      <c r="J98" s="67"/>
      <c r="K98" s="67"/>
      <c r="L98" s="67"/>
      <c r="M98" s="61">
        <f t="shared" ref="M98:N98" si="66">M97</f>
        <v>1</v>
      </c>
      <c r="N98" s="57">
        <f t="shared" si="66"/>
        <v>1</v>
      </c>
      <c r="O98" s="59" t="str">
        <f>if ( isblank (E98), E98, E98 + F98*'Control PanelOur Matches'!$K$2 + G98*5 + H98*(1/3) + I98*'Control PanelOur Matches'!$M$2 + J98*50)</f>
        <v/>
      </c>
      <c r="P98" s="59">
        <f t="shared" si="2"/>
        <v>65</v>
      </c>
      <c r="Q98" s="60">
        <f t="shared" si="3"/>
        <v>3501</v>
      </c>
      <c r="R98" s="60" t="str">
        <f t="shared" si="4"/>
        <v>3501-3</v>
      </c>
    </row>
    <row r="99" ht="15.0" customHeight="1">
      <c r="A99" s="65">
        <v>96.0</v>
      </c>
      <c r="B99" s="66">
        <v>16.0</v>
      </c>
      <c r="C99" s="68" t="s">
        <v>44</v>
      </c>
      <c r="D99" s="53">
        <f t="array" ref="D99">index('Match Sched'!$C$3:$H753,match(B99,'Match Sched'!$A$3:$A753,0),if(mod(A99,6)=0,6,mod(A99,6)),0)</f>
        <v>6650</v>
      </c>
      <c r="E99" s="54"/>
      <c r="F99" s="55">
        <v>0.0</v>
      </c>
      <c r="G99" s="67"/>
      <c r="H99" s="67"/>
      <c r="I99" s="67"/>
      <c r="J99" s="67"/>
      <c r="K99" s="67"/>
      <c r="L99" s="67"/>
      <c r="M99" s="62">
        <f t="shared" ref="M99:N99" si="67">M97</f>
        <v>1</v>
      </c>
      <c r="N99" s="57">
        <f t="shared" si="67"/>
        <v>1</v>
      </c>
      <c r="O99" s="59" t="str">
        <f>if ( isblank (E99), E99, E99 + F99*'Control PanelOur Matches'!$K$2 + G99*5 + H99*(1/3) + I99*'Control PanelOur Matches'!$M$2 + J99*50)</f>
        <v/>
      </c>
      <c r="P99" s="59">
        <f t="shared" si="2"/>
        <v>0</v>
      </c>
      <c r="Q99" s="60">
        <f t="shared" si="3"/>
        <v>6650</v>
      </c>
      <c r="R99" s="60" t="str">
        <f t="shared" si="4"/>
        <v>6650-2</v>
      </c>
    </row>
    <row r="100" ht="15.0" customHeight="1">
      <c r="A100" s="49">
        <v>97.0</v>
      </c>
      <c r="B100" s="50">
        <v>17.0</v>
      </c>
      <c r="C100" s="52" t="s">
        <v>39</v>
      </c>
      <c r="D100" s="53">
        <f t="array" ref="D100">index('Match Sched'!$C$3:$H753,match(B100,'Match Sched'!$A$3:$A753,0),if(mod(A100,6)=0,6,mod(A100,6)),0)</f>
        <v>751</v>
      </c>
      <c r="E100" s="54"/>
      <c r="F100" s="55">
        <v>0.0</v>
      </c>
      <c r="G100" s="54"/>
      <c r="H100" s="54"/>
      <c r="I100" s="54">
        <v>3.0</v>
      </c>
      <c r="J100" s="54">
        <v>1.0</v>
      </c>
      <c r="K100" s="54"/>
      <c r="L100" s="54"/>
      <c r="M100" s="57">
        <f>SUM(F100:F102)</f>
        <v>1</v>
      </c>
      <c r="N100" s="57">
        <f>SUM(I100:I102)+1</f>
        <v>6</v>
      </c>
      <c r="O100" s="59" t="str">
        <f>if ( isblank (E100), E100, E100 + F100*'Control PanelOur Matches'!$K$2 + G100*5 + H100*(1/3) + I100*'Control PanelOur Matches'!$M$2 + J100*50)</f>
        <v/>
      </c>
      <c r="P100" s="59">
        <f t="shared" si="2"/>
        <v>90</v>
      </c>
      <c r="Q100" s="60">
        <f t="shared" si="3"/>
        <v>751</v>
      </c>
      <c r="R100" s="60" t="str">
        <f t="shared" si="4"/>
        <v>751-3</v>
      </c>
    </row>
    <row r="101" ht="15.0" customHeight="1">
      <c r="A101" s="49">
        <v>98.0</v>
      </c>
      <c r="B101" s="50">
        <v>17.0</v>
      </c>
      <c r="C101" s="52" t="s">
        <v>40</v>
      </c>
      <c r="D101" s="53">
        <f t="array" ref="D101">index('Match Sched'!$C$3:$H753,match(B101,'Match Sched'!$A$3:$A753,0),if(mod(A101,6)=0,6,mod(A101,6)),0)</f>
        <v>2643</v>
      </c>
      <c r="E101" s="54"/>
      <c r="F101" s="55">
        <v>0.0</v>
      </c>
      <c r="G101" s="54"/>
      <c r="H101" s="54"/>
      <c r="I101" s="54">
        <v>0.0</v>
      </c>
      <c r="J101" s="54">
        <v>0.0</v>
      </c>
      <c r="K101" s="54"/>
      <c r="L101" s="54"/>
      <c r="M101" s="61">
        <f t="shared" ref="M101:N101" si="68">M100</f>
        <v>1</v>
      </c>
      <c r="N101" s="57">
        <f t="shared" si="68"/>
        <v>6</v>
      </c>
      <c r="O101" s="59" t="str">
        <f>if ( isblank (E101), E101, E101 + F101*'Control PanelOur Matches'!$K$2 + G101*5 + H101*(1/3) + I101*'Control PanelOur Matches'!$M$2 + J101*50)</f>
        <v/>
      </c>
      <c r="P101" s="59">
        <f t="shared" si="2"/>
        <v>0</v>
      </c>
      <c r="Q101" s="60">
        <f t="shared" si="3"/>
        <v>2643</v>
      </c>
      <c r="R101" s="60" t="str">
        <f t="shared" si="4"/>
        <v>2643-3</v>
      </c>
    </row>
    <row r="102" ht="15.0" customHeight="1">
      <c r="A102" s="49">
        <v>99.0</v>
      </c>
      <c r="B102" s="50">
        <v>17.0</v>
      </c>
      <c r="C102" s="52" t="s">
        <v>41</v>
      </c>
      <c r="D102" s="53">
        <f t="array" ref="D102">index('Match Sched'!$C$3:$H753,match(B102,'Match Sched'!$A$3:$A753,0),if(mod(A102,6)=0,6,mod(A102,6)),0)</f>
        <v>3256</v>
      </c>
      <c r="E102" s="54"/>
      <c r="F102" s="55">
        <v>1.0</v>
      </c>
      <c r="G102" s="54">
        <v>1.0</v>
      </c>
      <c r="H102" s="54"/>
      <c r="I102" s="54">
        <v>2.0</v>
      </c>
      <c r="J102" s="54">
        <v>0.0</v>
      </c>
      <c r="K102" s="54">
        <v>1.0</v>
      </c>
      <c r="L102" s="54"/>
      <c r="M102" s="62">
        <f t="shared" ref="M102:N102" si="69">M100</f>
        <v>1</v>
      </c>
      <c r="N102" s="57">
        <f t="shared" si="69"/>
        <v>6</v>
      </c>
      <c r="O102" s="59" t="str">
        <f>if ( isblank (E102), E102, E102 + F102*'Control PanelOur Matches'!$K$2 + G102*5 + H102*(1/3) + I102*'Control PanelOur Matches'!$M$2 + J102*50)</f>
        <v/>
      </c>
      <c r="P102" s="59">
        <f t="shared" si="2"/>
        <v>91.66666667</v>
      </c>
      <c r="Q102" s="60">
        <f t="shared" si="3"/>
        <v>3256</v>
      </c>
      <c r="R102" s="60" t="str">
        <f t="shared" si="4"/>
        <v>3256-3</v>
      </c>
    </row>
    <row r="103" ht="15.0" customHeight="1">
      <c r="A103" s="49">
        <v>100.0</v>
      </c>
      <c r="B103" s="50">
        <v>17.0</v>
      </c>
      <c r="C103" s="52" t="s">
        <v>42</v>
      </c>
      <c r="D103" s="53">
        <f t="array" ref="D103">index('Match Sched'!$C$3:$H753,match(B103,'Match Sched'!$A$3:$A753,0),if(mod(A103,6)=0,6,mod(A103,6)),0)</f>
        <v>2135</v>
      </c>
      <c r="E103" s="54"/>
      <c r="F103" s="55">
        <v>0.0</v>
      </c>
      <c r="G103" s="54"/>
      <c r="H103" s="54"/>
      <c r="I103" s="54">
        <v>2.0</v>
      </c>
      <c r="J103" s="54"/>
      <c r="K103" s="54"/>
      <c r="L103" s="54"/>
      <c r="M103" s="57">
        <f>SUM(F103:F105)</f>
        <v>0</v>
      </c>
      <c r="N103" s="57">
        <f>SUM(I103:I105)+1</f>
        <v>6</v>
      </c>
      <c r="O103" s="59" t="str">
        <f>if ( isblank (E103), E103, E103 + F103*'Control PanelOur Matches'!$K$2 + G103*5 + H103*(1/3) + I103*'Control PanelOur Matches'!$M$2 + J103*50)</f>
        <v/>
      </c>
      <c r="P103" s="59">
        <f t="shared" si="2"/>
        <v>26.66666667</v>
      </c>
      <c r="Q103" s="60">
        <f t="shared" si="3"/>
        <v>2135</v>
      </c>
      <c r="R103" s="60" t="str">
        <f t="shared" si="4"/>
        <v>2135-3</v>
      </c>
    </row>
    <row r="104" ht="15.0" customHeight="1">
      <c r="A104" s="49">
        <v>101.0</v>
      </c>
      <c r="B104" s="50">
        <v>17.0</v>
      </c>
      <c r="C104" s="52" t="s">
        <v>43</v>
      </c>
      <c r="D104" s="53">
        <f t="array" ref="D104">index('Match Sched'!$C$3:$H753,match(B104,'Match Sched'!$A$3:$A753,0),if(mod(A104,6)=0,6,mod(A104,6)),0)</f>
        <v>6711</v>
      </c>
      <c r="E104" s="54"/>
      <c r="F104" s="55">
        <v>0.0</v>
      </c>
      <c r="G104" s="54"/>
      <c r="H104" s="54"/>
      <c r="I104" s="54">
        <v>1.0</v>
      </c>
      <c r="J104" s="54"/>
      <c r="K104" s="54"/>
      <c r="L104" s="54"/>
      <c r="M104" s="61">
        <f t="shared" ref="M104:N104" si="70">M103</f>
        <v>0</v>
      </c>
      <c r="N104" s="57">
        <f t="shared" si="70"/>
        <v>6</v>
      </c>
      <c r="O104" s="59" t="str">
        <f>if ( isblank (E104), E104, E104 + F104*'Control PanelOur Matches'!$K$2 + G104*5 + H104*(1/3) + I104*'Control PanelOur Matches'!$M$2 + J104*50)</f>
        <v/>
      </c>
      <c r="P104" s="59">
        <f t="shared" si="2"/>
        <v>13.33333333</v>
      </c>
      <c r="Q104" s="60">
        <f t="shared" si="3"/>
        <v>6711</v>
      </c>
      <c r="R104" s="60" t="str">
        <f t="shared" si="4"/>
        <v>6711-3</v>
      </c>
    </row>
    <row r="105" ht="15.0" customHeight="1">
      <c r="A105" s="49">
        <v>102.0</v>
      </c>
      <c r="B105" s="50">
        <v>17.0</v>
      </c>
      <c r="C105" s="52" t="s">
        <v>44</v>
      </c>
      <c r="D105" s="53">
        <f t="array" ref="D105">index('Match Sched'!$C$3:$H753,match(B105,'Match Sched'!$A$3:$A753,0),if(mod(A105,6)=0,6,mod(A105,6)),0)</f>
        <v>4255</v>
      </c>
      <c r="E105" s="54"/>
      <c r="F105" s="55">
        <v>0.0</v>
      </c>
      <c r="G105" s="54">
        <v>1.0</v>
      </c>
      <c r="H105" s="54"/>
      <c r="I105" s="54">
        <v>2.0</v>
      </c>
      <c r="J105" s="54"/>
      <c r="K105" s="54"/>
      <c r="L105" s="54"/>
      <c r="M105" s="62">
        <f t="shared" ref="M105:N105" si="71">M103</f>
        <v>0</v>
      </c>
      <c r="N105" s="57">
        <f t="shared" si="71"/>
        <v>6</v>
      </c>
      <c r="O105" s="59" t="str">
        <f>if ( isblank (E105), E105, E105 + F105*'Control PanelOur Matches'!$K$2 + G105*5 + H105*(1/3) + I105*'Control PanelOur Matches'!$M$2 + J105*50)</f>
        <v/>
      </c>
      <c r="P105" s="59">
        <f t="shared" si="2"/>
        <v>31.66666667</v>
      </c>
      <c r="Q105" s="60">
        <f t="shared" si="3"/>
        <v>4255</v>
      </c>
      <c r="R105" s="60" t="str">
        <f t="shared" si="4"/>
        <v>4255-3</v>
      </c>
    </row>
    <row r="106" ht="15.0" customHeight="1">
      <c r="A106" s="65">
        <v>103.0</v>
      </c>
      <c r="B106" s="66">
        <v>18.0</v>
      </c>
      <c r="C106" s="52" t="s">
        <v>39</v>
      </c>
      <c r="D106" s="53">
        <f t="array" ref="D106">index('Match Sched'!$C$3:$H753,match(B106,'Match Sched'!$A$3:$A753,0),if(mod(A106,6)=0,6,mod(A106,6)),0)</f>
        <v>2761</v>
      </c>
      <c r="E106" s="54"/>
      <c r="F106" s="55">
        <v>0.0</v>
      </c>
      <c r="G106" s="67"/>
      <c r="H106" s="67"/>
      <c r="I106" s="67">
        <v>1.0</v>
      </c>
      <c r="J106" s="67"/>
      <c r="K106" s="67"/>
      <c r="L106" s="67"/>
      <c r="M106" s="57">
        <f>SUM(F106:F108)</f>
        <v>0</v>
      </c>
      <c r="N106" s="57">
        <f>SUM(I106:I108)+1</f>
        <v>3</v>
      </c>
      <c r="O106" s="59" t="str">
        <f>if ( isblank (E106), E106, E106 + F106*'Control PanelOur Matches'!$K$2 + G106*5 + H106*(1/3) + I106*'Control PanelOur Matches'!$M$2 + J106*50)</f>
        <v/>
      </c>
      <c r="P106" s="59">
        <f t="shared" si="2"/>
        <v>26.66666667</v>
      </c>
      <c r="Q106" s="60">
        <f t="shared" si="3"/>
        <v>2761</v>
      </c>
      <c r="R106" s="60" t="str">
        <f t="shared" si="4"/>
        <v>2761-3</v>
      </c>
    </row>
    <row r="107" ht="15.0" customHeight="1">
      <c r="A107" s="65">
        <v>104.0</v>
      </c>
      <c r="B107" s="66">
        <v>18.0</v>
      </c>
      <c r="C107" s="52" t="s">
        <v>40</v>
      </c>
      <c r="D107" s="53">
        <f t="array" ref="D107">index('Match Sched'!$C$3:$H753,match(B107,'Match Sched'!$A$3:$A753,0),if(mod(A107,6)=0,6,mod(A107,6)),0)</f>
        <v>6619</v>
      </c>
      <c r="E107" s="54"/>
      <c r="F107" s="55">
        <v>0.0</v>
      </c>
      <c r="G107" s="67"/>
      <c r="H107" s="67"/>
      <c r="I107" s="67">
        <v>0.0</v>
      </c>
      <c r="J107" s="67"/>
      <c r="K107" s="67"/>
      <c r="L107" s="67"/>
      <c r="M107" s="61">
        <f t="shared" ref="M107:N107" si="72">M106</f>
        <v>0</v>
      </c>
      <c r="N107" s="57">
        <f t="shared" si="72"/>
        <v>3</v>
      </c>
      <c r="O107" s="59" t="str">
        <f>if ( isblank (E107), E107, E107 + F107*'Control PanelOur Matches'!$K$2 + G107*5 + H107*(1/3) + I107*'Control PanelOur Matches'!$M$2 + J107*50)</f>
        <v/>
      </c>
      <c r="P107" s="59">
        <f t="shared" si="2"/>
        <v>0</v>
      </c>
      <c r="Q107" s="60">
        <f t="shared" si="3"/>
        <v>6619</v>
      </c>
      <c r="R107" s="60" t="str">
        <f t="shared" si="4"/>
        <v>6619-3</v>
      </c>
    </row>
    <row r="108" ht="15.0" customHeight="1">
      <c r="A108" s="65">
        <v>105.0</v>
      </c>
      <c r="B108" s="66">
        <v>18.0</v>
      </c>
      <c r="C108" s="52" t="s">
        <v>41</v>
      </c>
      <c r="D108" s="53">
        <f t="array" ref="D108">index('Match Sched'!$C$3:$H753,match(B108,'Match Sched'!$A$3:$A753,0),if(mod(A108,6)=0,6,mod(A108,6)),0)</f>
        <v>3970</v>
      </c>
      <c r="E108" s="54"/>
      <c r="F108" s="55">
        <v>0.0</v>
      </c>
      <c r="G108" s="67"/>
      <c r="H108" s="67"/>
      <c r="I108" s="67">
        <v>1.0</v>
      </c>
      <c r="J108" s="67"/>
      <c r="K108" s="67"/>
      <c r="L108" s="67"/>
      <c r="M108" s="62">
        <f t="shared" ref="M108:N108" si="73">M106</f>
        <v>0</v>
      </c>
      <c r="N108" s="57">
        <f t="shared" si="73"/>
        <v>3</v>
      </c>
      <c r="O108" s="59" t="str">
        <f>if ( isblank (E108), E108, E108 + F108*'Control PanelOur Matches'!$K$2 + G108*5 + H108*(1/3) + I108*'Control PanelOur Matches'!$M$2 + J108*50)</f>
        <v/>
      </c>
      <c r="P108" s="59">
        <f t="shared" si="2"/>
        <v>26.66666667</v>
      </c>
      <c r="Q108" s="60">
        <f t="shared" si="3"/>
        <v>3970</v>
      </c>
      <c r="R108" s="60" t="str">
        <f t="shared" si="4"/>
        <v>3970-3</v>
      </c>
    </row>
    <row r="109" ht="15.0" customHeight="1">
      <c r="A109" s="65">
        <v>106.0</v>
      </c>
      <c r="B109" s="66">
        <v>18.0</v>
      </c>
      <c r="C109" s="52" t="s">
        <v>42</v>
      </c>
      <c r="D109" s="53">
        <f t="array" ref="D109">index('Match Sched'!$C$3:$H753,match(B109,'Match Sched'!$A$3:$A753,0),if(mod(A109,6)=0,6,mod(A109,6)),0)</f>
        <v>1671</v>
      </c>
      <c r="E109" s="54"/>
      <c r="F109" s="55">
        <v>0.0</v>
      </c>
      <c r="G109" s="67">
        <v>1.0</v>
      </c>
      <c r="H109" s="67"/>
      <c r="I109" s="67">
        <v>0.0</v>
      </c>
      <c r="J109" s="67"/>
      <c r="K109" s="67"/>
      <c r="L109" s="67"/>
      <c r="M109" s="57">
        <f>SUM(F109:F111)</f>
        <v>0</v>
      </c>
      <c r="N109" s="57">
        <f>SUM(I109:I111)+1</f>
        <v>4</v>
      </c>
      <c r="O109" s="59" t="str">
        <f>if ( isblank (E109), E109, E109 + F109*'Control PanelOur Matches'!$K$2 + G109*5 + H109*(1/3) + I109*'Control PanelOur Matches'!$M$2 + J109*50)</f>
        <v/>
      </c>
      <c r="P109" s="59">
        <f t="shared" si="2"/>
        <v>5</v>
      </c>
      <c r="Q109" s="60">
        <f t="shared" si="3"/>
        <v>1671</v>
      </c>
      <c r="R109" s="60" t="str">
        <f t="shared" si="4"/>
        <v>1671-3</v>
      </c>
    </row>
    <row r="110" ht="15.0" customHeight="1">
      <c r="A110" s="65">
        <v>107.0</v>
      </c>
      <c r="B110" s="66">
        <v>18.0</v>
      </c>
      <c r="C110" s="52" t="s">
        <v>43</v>
      </c>
      <c r="D110" s="53">
        <f t="array" ref="D110">index('Match Sched'!$C$3:$H753,match(B110,'Match Sched'!$A$3:$A753,0),if(mod(A110,6)=0,6,mod(A110,6)),0)</f>
        <v>4643</v>
      </c>
      <c r="E110" s="54"/>
      <c r="F110" s="55">
        <v>0.0</v>
      </c>
      <c r="G110" s="67">
        <v>1.0</v>
      </c>
      <c r="H110" s="67"/>
      <c r="I110" s="67">
        <v>2.0</v>
      </c>
      <c r="J110" s="67"/>
      <c r="K110" s="67"/>
      <c r="L110" s="67"/>
      <c r="M110" s="61">
        <f t="shared" ref="M110:N110" si="74">M109</f>
        <v>0</v>
      </c>
      <c r="N110" s="57">
        <f t="shared" si="74"/>
        <v>4</v>
      </c>
      <c r="O110" s="59" t="str">
        <f>if ( isblank (E110), E110, E110 + F110*'Control PanelOur Matches'!$K$2 + G110*5 + H110*(1/3) + I110*'Control PanelOur Matches'!$M$2 + J110*50)</f>
        <v/>
      </c>
      <c r="P110" s="59">
        <f t="shared" si="2"/>
        <v>45</v>
      </c>
      <c r="Q110" s="60">
        <f t="shared" si="3"/>
        <v>4643</v>
      </c>
      <c r="R110" s="60" t="str">
        <f t="shared" si="4"/>
        <v>4643-3</v>
      </c>
    </row>
    <row r="111" ht="15.0" customHeight="1">
      <c r="A111" s="65">
        <v>108.0</v>
      </c>
      <c r="B111" s="66">
        <v>18.0</v>
      </c>
      <c r="C111" s="68" t="s">
        <v>44</v>
      </c>
      <c r="D111" s="53">
        <f t="array" ref="D111">index('Match Sched'!$C$3:$H753,match(B111,'Match Sched'!$A$3:$A753,0),if(mod(A111,6)=0,6,mod(A111,6)),0)</f>
        <v>852</v>
      </c>
      <c r="E111" s="54"/>
      <c r="F111" s="55">
        <v>0.0</v>
      </c>
      <c r="G111" s="67">
        <v>1.0</v>
      </c>
      <c r="H111" s="67"/>
      <c r="I111" s="67">
        <v>1.0</v>
      </c>
      <c r="J111" s="67">
        <v>1.0</v>
      </c>
      <c r="K111" s="67"/>
      <c r="L111" s="67"/>
      <c r="M111" s="62">
        <f t="shared" ref="M111:N111" si="75">M109</f>
        <v>0</v>
      </c>
      <c r="N111" s="57">
        <f t="shared" si="75"/>
        <v>4</v>
      </c>
      <c r="O111" s="59" t="str">
        <f>if ( isblank (E111), E111, E111 + F111*'Control PanelOur Matches'!$K$2 + G111*5 + H111*(1/3) + I111*'Control PanelOur Matches'!$M$2 + J111*50)</f>
        <v/>
      </c>
      <c r="P111" s="59">
        <f t="shared" si="2"/>
        <v>75</v>
      </c>
      <c r="Q111" s="60">
        <f t="shared" si="3"/>
        <v>852</v>
      </c>
      <c r="R111" s="60" t="str">
        <f t="shared" si="4"/>
        <v>852-3</v>
      </c>
    </row>
    <row r="112" ht="15.0" customHeight="1">
      <c r="A112" s="49">
        <v>109.0</v>
      </c>
      <c r="B112" s="50">
        <v>19.0</v>
      </c>
      <c r="C112" s="52" t="s">
        <v>39</v>
      </c>
      <c r="D112" s="53">
        <f t="array" ref="D112">index('Match Sched'!$C$3:$H753,match(B112,'Match Sched'!$A$3:$A753,0),if(mod(A112,6)=0,6,mod(A112,6)),0)</f>
        <v>4543</v>
      </c>
      <c r="E112" s="54"/>
      <c r="F112" s="55">
        <v>0.0</v>
      </c>
      <c r="G112" s="54">
        <v>0.0</v>
      </c>
      <c r="H112" s="54"/>
      <c r="I112" s="54">
        <v>0.0</v>
      </c>
      <c r="J112" s="54">
        <v>0.0</v>
      </c>
      <c r="K112" s="54"/>
      <c r="L112" s="54"/>
      <c r="M112" s="57">
        <f>SUM(F112:F114)</f>
        <v>0</v>
      </c>
      <c r="N112" s="57">
        <f>SUM(I112:I114)+1</f>
        <v>3</v>
      </c>
      <c r="O112" s="59" t="str">
        <f>if ( isblank (E112), E112, E112 + F112*'Control PanelOur Matches'!$K$2 + G112*5 + H112*(1/3) + I112*'Control PanelOur Matches'!$M$2 + J112*50)</f>
        <v/>
      </c>
      <c r="P112" s="59">
        <f t="shared" si="2"/>
        <v>0</v>
      </c>
      <c r="Q112" s="60">
        <f t="shared" si="3"/>
        <v>4543</v>
      </c>
      <c r="R112" s="60" t="str">
        <f t="shared" si="4"/>
        <v>4543-3</v>
      </c>
    </row>
    <row r="113" ht="15.0" customHeight="1">
      <c r="A113" s="49">
        <v>110.0</v>
      </c>
      <c r="B113" s="50">
        <v>19.0</v>
      </c>
      <c r="C113" s="52" t="s">
        <v>40</v>
      </c>
      <c r="D113" s="53">
        <f t="array" ref="D113">index('Match Sched'!$C$3:$H753,match(B113,'Match Sched'!$A$3:$A753,0),if(mod(A113,6)=0,6,mod(A113,6)),0)</f>
        <v>294</v>
      </c>
      <c r="E113" s="54"/>
      <c r="F113" s="55">
        <v>0.0</v>
      </c>
      <c r="G113" s="54">
        <v>0.0</v>
      </c>
      <c r="H113" s="54"/>
      <c r="I113" s="54">
        <v>1.0</v>
      </c>
      <c r="J113" s="54">
        <v>0.0</v>
      </c>
      <c r="K113" s="54"/>
      <c r="L113" s="54"/>
      <c r="M113" s="61">
        <f t="shared" ref="M113:N113" si="76">M112</f>
        <v>0</v>
      </c>
      <c r="N113" s="57">
        <f t="shared" si="76"/>
        <v>3</v>
      </c>
      <c r="O113" s="59" t="str">
        <f>if ( isblank (E113), E113, E113 + F113*'Control PanelOur Matches'!$K$2 + G113*5 + H113*(1/3) + I113*'Control PanelOur Matches'!$M$2 + J113*50)</f>
        <v/>
      </c>
      <c r="P113" s="59">
        <f t="shared" si="2"/>
        <v>26.66666667</v>
      </c>
      <c r="Q113" s="60">
        <f t="shared" si="3"/>
        <v>294</v>
      </c>
      <c r="R113" s="60" t="str">
        <f t="shared" si="4"/>
        <v>294-3</v>
      </c>
    </row>
    <row r="114" ht="15.0" customHeight="1">
      <c r="A114" s="49">
        <v>111.0</v>
      </c>
      <c r="B114" s="50">
        <v>19.0</v>
      </c>
      <c r="C114" s="52" t="s">
        <v>41</v>
      </c>
      <c r="D114" s="53">
        <f t="array" ref="D114">index('Match Sched'!$C$3:$H753,match(B114,'Match Sched'!$A$3:$A753,0),if(mod(A114,6)=0,6,mod(A114,6)),0)</f>
        <v>6657</v>
      </c>
      <c r="E114" s="54"/>
      <c r="F114" s="55">
        <v>0.0</v>
      </c>
      <c r="G114" s="54">
        <v>0.0</v>
      </c>
      <c r="H114" s="54"/>
      <c r="I114" s="54">
        <v>1.0</v>
      </c>
      <c r="J114" s="54">
        <v>0.0</v>
      </c>
      <c r="K114" s="54"/>
      <c r="L114" s="54"/>
      <c r="M114" s="62">
        <f t="shared" ref="M114:N114" si="77">M112</f>
        <v>0</v>
      </c>
      <c r="N114" s="57">
        <f t="shared" si="77"/>
        <v>3</v>
      </c>
      <c r="O114" s="59" t="str">
        <f>if ( isblank (E114), E114, E114 + F114*'Control PanelOur Matches'!$K$2 + G114*5 + H114*(1/3) + I114*'Control PanelOur Matches'!$M$2 + J114*50)</f>
        <v/>
      </c>
      <c r="P114" s="59">
        <f t="shared" si="2"/>
        <v>26.66666667</v>
      </c>
      <c r="Q114" s="60">
        <f t="shared" si="3"/>
        <v>6657</v>
      </c>
      <c r="R114" s="60" t="str">
        <f t="shared" si="4"/>
        <v>6657-3</v>
      </c>
    </row>
    <row r="115" ht="15.0" customHeight="1">
      <c r="A115" s="49">
        <v>112.0</v>
      </c>
      <c r="B115" s="50">
        <v>19.0</v>
      </c>
      <c r="C115" s="52" t="s">
        <v>42</v>
      </c>
      <c r="D115" s="53">
        <f t="array" ref="D115">index('Match Sched'!$C$3:$H753,match(B115,'Match Sched'!$A$3:$A753,0),if(mod(A115,6)=0,6,mod(A115,6)),0)</f>
        <v>1678</v>
      </c>
      <c r="E115" s="54"/>
      <c r="F115" s="55">
        <v>0.0</v>
      </c>
      <c r="G115" s="54">
        <v>1.0</v>
      </c>
      <c r="H115" s="54"/>
      <c r="I115" s="54">
        <v>2.0</v>
      </c>
      <c r="J115" s="54">
        <v>0.0</v>
      </c>
      <c r="K115" s="54"/>
      <c r="L115" s="54"/>
      <c r="M115" s="57">
        <f>SUM(F115:F117)</f>
        <v>0</v>
      </c>
      <c r="N115" s="57">
        <f>SUM(I115:I117)+1</f>
        <v>3</v>
      </c>
      <c r="O115" s="59" t="str">
        <f>if ( isblank (E115), E115, E115 + F115*'Control PanelOur Matches'!$K$2 + G115*5 + H115*(1/3) + I115*'Control PanelOur Matches'!$M$2 + J115*50)</f>
        <v/>
      </c>
      <c r="P115" s="59">
        <f t="shared" si="2"/>
        <v>58.33333333</v>
      </c>
      <c r="Q115" s="60">
        <f t="shared" si="3"/>
        <v>1678</v>
      </c>
      <c r="R115" s="60" t="str">
        <f t="shared" si="4"/>
        <v>1678-3</v>
      </c>
    </row>
    <row r="116" ht="15.0" customHeight="1">
      <c r="A116" s="49">
        <v>113.0</v>
      </c>
      <c r="B116" s="50">
        <v>19.0</v>
      </c>
      <c r="C116" s="52" t="s">
        <v>43</v>
      </c>
      <c r="D116" s="53">
        <f t="array" ref="D116">index('Match Sched'!$C$3:$H753,match(B116,'Match Sched'!$A$3:$A753,0),if(mod(A116,6)=0,6,mod(A116,6)),0)</f>
        <v>972</v>
      </c>
      <c r="E116" s="54"/>
      <c r="F116" s="55">
        <v>0.0</v>
      </c>
      <c r="G116" s="54">
        <v>1.0</v>
      </c>
      <c r="H116" s="54"/>
      <c r="I116" s="54">
        <v>0.0</v>
      </c>
      <c r="J116" s="54">
        <v>0.0</v>
      </c>
      <c r="K116" s="54"/>
      <c r="L116" s="54"/>
      <c r="M116" s="61">
        <f t="shared" ref="M116:N116" si="78">M115</f>
        <v>0</v>
      </c>
      <c r="N116" s="57">
        <f t="shared" si="78"/>
        <v>3</v>
      </c>
      <c r="O116" s="59" t="str">
        <f>if ( isblank (E116), E116, E116 + F116*'Control PanelOur Matches'!$K$2 + G116*5 + H116*(1/3) + I116*'Control PanelOur Matches'!$M$2 + J116*50)</f>
        <v/>
      </c>
      <c r="P116" s="59">
        <f t="shared" si="2"/>
        <v>5</v>
      </c>
      <c r="Q116" s="60">
        <f t="shared" si="3"/>
        <v>972</v>
      </c>
      <c r="R116" s="60" t="str">
        <f t="shared" si="4"/>
        <v>972-3</v>
      </c>
    </row>
    <row r="117" ht="15.0" customHeight="1">
      <c r="A117" s="49">
        <v>114.0</v>
      </c>
      <c r="B117" s="50">
        <v>19.0</v>
      </c>
      <c r="C117" s="52" t="s">
        <v>44</v>
      </c>
      <c r="D117" s="53">
        <f t="array" ref="D117">index('Match Sched'!$C$3:$H753,match(B117,'Match Sched'!$A$3:$A753,0),if(mod(A117,6)=0,6,mod(A117,6)),0)</f>
        <v>2813</v>
      </c>
      <c r="E117" s="54"/>
      <c r="F117" s="55">
        <v>0.0</v>
      </c>
      <c r="G117" s="54">
        <v>0.0</v>
      </c>
      <c r="H117" s="54"/>
      <c r="I117" s="54">
        <v>0.0</v>
      </c>
      <c r="J117" s="54">
        <v>0.0</v>
      </c>
      <c r="K117" s="54"/>
      <c r="L117" s="54"/>
      <c r="M117" s="62">
        <f t="shared" ref="M117:N117" si="79">M115</f>
        <v>0</v>
      </c>
      <c r="N117" s="57">
        <f t="shared" si="79"/>
        <v>3</v>
      </c>
      <c r="O117" s="59" t="str">
        <f>if ( isblank (E117), E117, E117 + F117*'Control PanelOur Matches'!$K$2 + G117*5 + H117*(1/3) + I117*'Control PanelOur Matches'!$M$2 + J117*50)</f>
        <v/>
      </c>
      <c r="P117" s="59">
        <f t="shared" si="2"/>
        <v>0</v>
      </c>
      <c r="Q117" s="60">
        <f t="shared" si="3"/>
        <v>2813</v>
      </c>
      <c r="R117" s="60" t="str">
        <f t="shared" si="4"/>
        <v>2813-3</v>
      </c>
    </row>
    <row r="118" ht="15.0" customHeight="1">
      <c r="A118" s="65">
        <v>115.0</v>
      </c>
      <c r="B118" s="66">
        <v>20.0</v>
      </c>
      <c r="C118" s="52" t="s">
        <v>39</v>
      </c>
      <c r="D118" s="53">
        <f t="array" ref="D118">index('Match Sched'!$C$3:$H753,match(B118,'Match Sched'!$A$3:$A753,0),if(mod(A118,6)=0,6,mod(A118,6)),0)</f>
        <v>6059</v>
      </c>
      <c r="E118" s="54"/>
      <c r="F118" s="55">
        <v>0.0</v>
      </c>
      <c r="G118" s="67">
        <v>0.0</v>
      </c>
      <c r="H118" s="67"/>
      <c r="I118" s="67">
        <v>0.0</v>
      </c>
      <c r="J118" s="67">
        <v>0.0</v>
      </c>
      <c r="K118" s="67"/>
      <c r="L118" s="67"/>
      <c r="M118" s="57">
        <f>SUM(F118:F120)</f>
        <v>0</v>
      </c>
      <c r="N118" s="57">
        <f>SUM(I118:I120)+1</f>
        <v>1</v>
      </c>
      <c r="O118" s="59" t="str">
        <f>if ( isblank (E118), E118, E118 + F118*'Control PanelOur Matches'!$K$2 + G118*5 + H118*(1/3) + I118*'Control PanelOur Matches'!$M$2 + J118*50)</f>
        <v/>
      </c>
      <c r="P118" s="59">
        <f t="shared" si="2"/>
        <v>0</v>
      </c>
      <c r="Q118" s="60">
        <f t="shared" si="3"/>
        <v>6059</v>
      </c>
      <c r="R118" s="60" t="str">
        <f t="shared" si="4"/>
        <v>6059-3</v>
      </c>
    </row>
    <row r="119" ht="15.0" customHeight="1">
      <c r="A119" s="65">
        <v>116.0</v>
      </c>
      <c r="B119" s="66">
        <v>20.0</v>
      </c>
      <c r="C119" s="69" t="s">
        <v>40</v>
      </c>
      <c r="D119" s="53">
        <f t="array" ref="D119">index('Match Sched'!$C$3:$H753,match(B119,'Match Sched'!$A$3:$A753,0),if(mod(A119,6)=0,6,mod(A119,6)),0)</f>
        <v>1072</v>
      </c>
      <c r="E119" s="54"/>
      <c r="F119" s="55">
        <v>0.0</v>
      </c>
      <c r="G119" s="67">
        <v>1.0</v>
      </c>
      <c r="H119" s="67"/>
      <c r="I119" s="67">
        <v>0.0</v>
      </c>
      <c r="J119" s="67">
        <v>0.0</v>
      </c>
      <c r="K119" s="67"/>
      <c r="L119" s="67"/>
      <c r="M119" s="61">
        <f t="shared" ref="M119:N119" si="80">M118</f>
        <v>0</v>
      </c>
      <c r="N119" s="57">
        <f t="shared" si="80"/>
        <v>1</v>
      </c>
      <c r="O119" s="59" t="str">
        <f>if ( isblank (E119), E119, E119 + F119*'Control PanelOur Matches'!$K$2 + G119*5 + H119*(1/3) + I119*'Control PanelOur Matches'!$M$2 + J119*50)</f>
        <v/>
      </c>
      <c r="P119" s="59">
        <f t="shared" si="2"/>
        <v>5</v>
      </c>
      <c r="Q119" s="60">
        <f t="shared" si="3"/>
        <v>1072</v>
      </c>
      <c r="R119" s="60" t="str">
        <f t="shared" si="4"/>
        <v>1072-3</v>
      </c>
    </row>
    <row r="120" ht="15.0" customHeight="1">
      <c r="A120" s="65">
        <v>117.0</v>
      </c>
      <c r="B120" s="66">
        <v>20.0</v>
      </c>
      <c r="C120" s="52" t="s">
        <v>41</v>
      </c>
      <c r="D120" s="53">
        <f t="array" ref="D120">index('Match Sched'!$C$3:$H753,match(B120,'Match Sched'!$A$3:$A753,0),if(mod(A120,6)=0,6,mod(A120,6)),0)</f>
        <v>5677</v>
      </c>
      <c r="E120" s="54"/>
      <c r="F120" s="55">
        <v>0.0</v>
      </c>
      <c r="G120" s="67">
        <v>1.0</v>
      </c>
      <c r="H120" s="67"/>
      <c r="I120" s="67">
        <v>0.0</v>
      </c>
      <c r="J120" s="67">
        <v>1.0</v>
      </c>
      <c r="K120" s="67"/>
      <c r="L120" s="67"/>
      <c r="M120" s="62">
        <f t="shared" ref="M120:N120" si="81">M118</f>
        <v>0</v>
      </c>
      <c r="N120" s="57">
        <f t="shared" si="81"/>
        <v>1</v>
      </c>
      <c r="O120" s="59" t="str">
        <f>if ( isblank (E120), E120, E120 + F120*'Control PanelOur Matches'!$K$2 + G120*5 + H120*(1/3) + I120*'Control PanelOur Matches'!$M$2 + J120*50)</f>
        <v/>
      </c>
      <c r="P120" s="59">
        <f t="shared" si="2"/>
        <v>55</v>
      </c>
      <c r="Q120" s="60">
        <f t="shared" si="3"/>
        <v>5677</v>
      </c>
      <c r="R120" s="60" t="str">
        <f t="shared" si="4"/>
        <v>5677-3</v>
      </c>
    </row>
    <row r="121" ht="15.0" customHeight="1">
      <c r="A121" s="65">
        <v>118.0</v>
      </c>
      <c r="B121" s="66">
        <v>20.0</v>
      </c>
      <c r="C121" s="52" t="s">
        <v>42</v>
      </c>
      <c r="D121" s="53">
        <f t="array" ref="D121">index('Match Sched'!$C$3:$H753,match(B121,'Match Sched'!$A$3:$A753,0),if(mod(A121,6)=0,6,mod(A121,6)),0)</f>
        <v>5134</v>
      </c>
      <c r="E121" s="54"/>
      <c r="F121" s="55">
        <v>0.0</v>
      </c>
      <c r="G121" s="67">
        <v>0.0</v>
      </c>
      <c r="H121" s="67"/>
      <c r="I121" s="67">
        <v>0.0</v>
      </c>
      <c r="J121" s="67">
        <v>0.0</v>
      </c>
      <c r="K121" s="67"/>
      <c r="L121" s="67"/>
      <c r="M121" s="57">
        <f>SUM(F121:F123)</f>
        <v>0</v>
      </c>
      <c r="N121" s="57">
        <f>SUM(I121:I123)+1</f>
        <v>4</v>
      </c>
      <c r="O121" s="59" t="str">
        <f>if ( isblank (E121), E121, E121 + F121*'Control PanelOur Matches'!$K$2 + G121*5 + H121*(1/3) + I121*'Control PanelOur Matches'!$M$2 + J121*50)</f>
        <v/>
      </c>
      <c r="P121" s="59">
        <f t="shared" si="2"/>
        <v>0</v>
      </c>
      <c r="Q121" s="60">
        <f t="shared" si="3"/>
        <v>5134</v>
      </c>
      <c r="R121" s="60" t="str">
        <f t="shared" si="4"/>
        <v>5134-3</v>
      </c>
    </row>
    <row r="122" ht="15.0" customHeight="1">
      <c r="A122" s="65">
        <v>119.0</v>
      </c>
      <c r="B122" s="66">
        <v>20.0</v>
      </c>
      <c r="C122" s="52" t="s">
        <v>43</v>
      </c>
      <c r="D122" s="53">
        <f t="array" ref="D122">index('Match Sched'!$C$3:$H753,match(B122,'Match Sched'!$A$3:$A753,0),if(mod(A122,6)=0,6,mod(A122,6)),0)</f>
        <v>4276</v>
      </c>
      <c r="E122" s="54"/>
      <c r="F122" s="55">
        <v>0.0</v>
      </c>
      <c r="G122" s="67">
        <v>1.0</v>
      </c>
      <c r="H122" s="67"/>
      <c r="I122" s="67">
        <v>3.0</v>
      </c>
      <c r="J122" s="67">
        <v>1.0</v>
      </c>
      <c r="K122" s="67"/>
      <c r="L122" s="67"/>
      <c r="M122" s="61">
        <f t="shared" ref="M122:N122" si="82">M121</f>
        <v>0</v>
      </c>
      <c r="N122" s="57">
        <f t="shared" si="82"/>
        <v>4</v>
      </c>
      <c r="O122" s="59" t="str">
        <f>if ( isblank (E122), E122, E122 + F122*'Control PanelOur Matches'!$K$2 + G122*5 + H122*(1/3) + I122*'Control PanelOur Matches'!$M$2 + J122*50)</f>
        <v/>
      </c>
      <c r="P122" s="59">
        <f t="shared" si="2"/>
        <v>115</v>
      </c>
      <c r="Q122" s="60">
        <f t="shared" si="3"/>
        <v>4276</v>
      </c>
      <c r="R122" s="60" t="str">
        <f t="shared" si="4"/>
        <v>4276-3</v>
      </c>
    </row>
    <row r="123" ht="15.0" customHeight="1">
      <c r="A123" s="65">
        <v>120.0</v>
      </c>
      <c r="B123" s="66">
        <v>20.0</v>
      </c>
      <c r="C123" s="68" t="s">
        <v>44</v>
      </c>
      <c r="D123" s="53">
        <f t="array" ref="D123">index('Match Sched'!$C$3:$H753,match(B123,'Match Sched'!$A$3:$A753,0),if(mod(A123,6)=0,6,mod(A123,6)),0)</f>
        <v>1388</v>
      </c>
      <c r="E123" s="54"/>
      <c r="F123" s="55">
        <v>0.0</v>
      </c>
      <c r="G123" s="67">
        <v>0.0</v>
      </c>
      <c r="H123" s="67"/>
      <c r="I123" s="67">
        <v>0.0</v>
      </c>
      <c r="J123" s="67">
        <v>1.0</v>
      </c>
      <c r="K123" s="67"/>
      <c r="L123" s="67"/>
      <c r="M123" s="62">
        <f t="shared" ref="M123:N123" si="83">M121</f>
        <v>0</v>
      </c>
      <c r="N123" s="57">
        <f t="shared" si="83"/>
        <v>4</v>
      </c>
      <c r="O123" s="59" t="str">
        <f>if ( isblank (E123), E123, E123 + F123*'Control PanelOur Matches'!$K$2 + G123*5 + H123*(1/3) + I123*'Control PanelOur Matches'!$M$2 + J123*50)</f>
        <v/>
      </c>
      <c r="P123" s="59">
        <f t="shared" si="2"/>
        <v>50</v>
      </c>
      <c r="Q123" s="60">
        <f t="shared" si="3"/>
        <v>1388</v>
      </c>
      <c r="R123" s="60" t="str">
        <f t="shared" si="4"/>
        <v>1388-3</v>
      </c>
    </row>
    <row r="124" ht="15.0" customHeight="1">
      <c r="A124" s="49">
        <v>121.0</v>
      </c>
      <c r="B124" s="50">
        <v>21.0</v>
      </c>
      <c r="C124" s="52" t="s">
        <v>39</v>
      </c>
      <c r="D124" s="53">
        <f t="array" ref="D124">index('Match Sched'!$C$3:$H753,match(B124,'Match Sched'!$A$3:$A753,0),if(mod(A124,6)=0,6,mod(A124,6)),0)</f>
        <v>5817</v>
      </c>
      <c r="E124" s="54"/>
      <c r="F124" s="55">
        <v>0.0</v>
      </c>
      <c r="G124" s="54">
        <v>0.0</v>
      </c>
      <c r="H124" s="54"/>
      <c r="I124" s="54">
        <v>0.0</v>
      </c>
      <c r="J124" s="54">
        <v>1.0</v>
      </c>
      <c r="K124" s="54"/>
      <c r="L124" s="54"/>
      <c r="M124" s="57">
        <f>SUM(F124:F126)</f>
        <v>0</v>
      </c>
      <c r="N124" s="57">
        <f>SUM(I124:I126)+1</f>
        <v>3</v>
      </c>
      <c r="O124" s="59" t="str">
        <f>if ( isblank (E124), E124, E124 + F124*'Control PanelOur Matches'!$K$2 + G124*5 + H124*(1/3) + I124*'Control PanelOur Matches'!$M$2 + J124*50)</f>
        <v/>
      </c>
      <c r="P124" s="59">
        <f t="shared" si="2"/>
        <v>50</v>
      </c>
      <c r="Q124" s="60">
        <f t="shared" si="3"/>
        <v>5817</v>
      </c>
      <c r="R124" s="60" t="str">
        <f t="shared" si="4"/>
        <v>5817-3</v>
      </c>
    </row>
    <row r="125" ht="15.0" customHeight="1">
      <c r="A125" s="49">
        <v>122.0</v>
      </c>
      <c r="B125" s="50">
        <v>21.0</v>
      </c>
      <c r="C125" s="52" t="s">
        <v>40</v>
      </c>
      <c r="D125" s="53">
        <f t="array" ref="D125">index('Match Sched'!$C$3:$H753,match(B125,'Match Sched'!$A$3:$A753,0),if(mod(A125,6)=0,6,mod(A125,6)),0)</f>
        <v>3495</v>
      </c>
      <c r="E125" s="54"/>
      <c r="F125" s="55">
        <v>0.0</v>
      </c>
      <c r="G125" s="54">
        <v>0.0</v>
      </c>
      <c r="H125" s="54"/>
      <c r="I125" s="54">
        <v>1.0</v>
      </c>
      <c r="J125" s="54">
        <v>0.0</v>
      </c>
      <c r="K125" s="54"/>
      <c r="L125" s="54"/>
      <c r="M125" s="61">
        <f t="shared" ref="M125:N125" si="84">M124</f>
        <v>0</v>
      </c>
      <c r="N125" s="57">
        <f t="shared" si="84"/>
        <v>3</v>
      </c>
      <c r="O125" s="59" t="str">
        <f>if ( isblank (E125), E125, E125 + F125*'Control PanelOur Matches'!$K$2 + G125*5 + H125*(1/3) + I125*'Control PanelOur Matches'!$M$2 + J125*50)</f>
        <v/>
      </c>
      <c r="P125" s="59">
        <f t="shared" si="2"/>
        <v>26.66666667</v>
      </c>
      <c r="Q125" s="60">
        <f t="shared" si="3"/>
        <v>3495</v>
      </c>
      <c r="R125" s="60" t="str">
        <f t="shared" si="4"/>
        <v>3495-3</v>
      </c>
    </row>
    <row r="126" ht="15.0" customHeight="1">
      <c r="A126" s="49">
        <v>123.0</v>
      </c>
      <c r="B126" s="50">
        <v>21.0</v>
      </c>
      <c r="C126" s="52" t="s">
        <v>41</v>
      </c>
      <c r="D126" s="53">
        <f t="array" ref="D126">index('Match Sched'!$C$3:$H753,match(B126,'Match Sched'!$A$3:$A753,0),if(mod(A126,6)=0,6,mod(A126,6)),0)</f>
        <v>1662</v>
      </c>
      <c r="E126" s="54"/>
      <c r="F126" s="55">
        <v>0.0</v>
      </c>
      <c r="G126" s="54">
        <v>0.0</v>
      </c>
      <c r="H126" s="54"/>
      <c r="I126" s="54">
        <v>1.0</v>
      </c>
      <c r="J126" s="54">
        <v>0.0</v>
      </c>
      <c r="K126" s="54"/>
      <c r="L126" s="54"/>
      <c r="M126" s="62">
        <f t="shared" ref="M126:N126" si="85">M124</f>
        <v>0</v>
      </c>
      <c r="N126" s="57">
        <f t="shared" si="85"/>
        <v>3</v>
      </c>
      <c r="O126" s="59" t="str">
        <f>if ( isblank (E126), E126, E126 + F126*'Control PanelOur Matches'!$K$2 + G126*5 + H126*(1/3) + I126*'Control PanelOur Matches'!$M$2 + J126*50)</f>
        <v/>
      </c>
      <c r="P126" s="59">
        <f t="shared" si="2"/>
        <v>26.66666667</v>
      </c>
      <c r="Q126" s="60">
        <f t="shared" si="3"/>
        <v>1662</v>
      </c>
      <c r="R126" s="60" t="str">
        <f t="shared" si="4"/>
        <v>1662-3</v>
      </c>
    </row>
    <row r="127" ht="15.0" customHeight="1">
      <c r="A127" s="49">
        <v>124.0</v>
      </c>
      <c r="B127" s="50">
        <v>21.0</v>
      </c>
      <c r="C127" s="52" t="s">
        <v>42</v>
      </c>
      <c r="D127" s="53">
        <f t="array" ref="D127">index('Match Sched'!$C$3:$H753,match(B127,'Match Sched'!$A$3:$A753,0),if(mod(A127,6)=0,6,mod(A127,6)),0)</f>
        <v>5104</v>
      </c>
      <c r="E127" s="54"/>
      <c r="F127" s="55">
        <v>0.0</v>
      </c>
      <c r="G127" s="54">
        <v>0.0</v>
      </c>
      <c r="H127" s="54"/>
      <c r="I127" s="54">
        <v>2.0</v>
      </c>
      <c r="J127" s="54">
        <v>0.0</v>
      </c>
      <c r="K127" s="54"/>
      <c r="L127" s="54"/>
      <c r="M127" s="57">
        <f>SUM(F127:F129)</f>
        <v>0</v>
      </c>
      <c r="N127" s="57">
        <f>SUM(I127:I129)+1</f>
        <v>8</v>
      </c>
      <c r="O127" s="59" t="str">
        <f>if ( isblank (E127), E127, E127 + F127*'Control PanelOur Matches'!$K$2 + G127*5 + H127*(1/3) + I127*'Control PanelOur Matches'!$M$2 + J127*50)</f>
        <v/>
      </c>
      <c r="P127" s="59">
        <f t="shared" si="2"/>
        <v>30</v>
      </c>
      <c r="Q127" s="60">
        <f t="shared" si="3"/>
        <v>5104</v>
      </c>
      <c r="R127" s="60" t="str">
        <f t="shared" si="4"/>
        <v>5104-3</v>
      </c>
    </row>
    <row r="128" ht="15.0" customHeight="1">
      <c r="A128" s="49">
        <v>125.0</v>
      </c>
      <c r="B128" s="50">
        <v>21.0</v>
      </c>
      <c r="C128" s="52" t="s">
        <v>43</v>
      </c>
      <c r="D128" s="53">
        <f t="array" ref="D128">index('Match Sched'!$C$3:$H753,match(B128,'Match Sched'!$A$3:$A753,0),if(mod(A128,6)=0,6,mod(A128,6)),0)</f>
        <v>1323</v>
      </c>
      <c r="E128" s="54"/>
      <c r="F128" s="55">
        <v>0.0</v>
      </c>
      <c r="G128" s="54">
        <v>0.0</v>
      </c>
      <c r="H128" s="54"/>
      <c r="I128" s="54">
        <v>1.0</v>
      </c>
      <c r="J128" s="54">
        <v>0.0</v>
      </c>
      <c r="K128" s="54"/>
      <c r="L128" s="54"/>
      <c r="M128" s="61">
        <f t="shared" ref="M128:N128" si="86">M127</f>
        <v>0</v>
      </c>
      <c r="N128" s="57">
        <f t="shared" si="86"/>
        <v>8</v>
      </c>
      <c r="O128" s="59" t="str">
        <f>if ( isblank (E128), E128, E128 + F128*'Control PanelOur Matches'!$K$2 + G128*5 + H128*(1/3) + I128*'Control PanelOur Matches'!$M$2 + J128*50)</f>
        <v/>
      </c>
      <c r="P128" s="59">
        <f t="shared" si="2"/>
        <v>15</v>
      </c>
      <c r="Q128" s="60">
        <f t="shared" si="3"/>
        <v>1323</v>
      </c>
      <c r="R128" s="60" t="str">
        <f t="shared" si="4"/>
        <v>1323-3</v>
      </c>
    </row>
    <row r="129" ht="15.0" customHeight="1">
      <c r="A129" s="49">
        <v>126.0</v>
      </c>
      <c r="B129" s="50">
        <v>21.0</v>
      </c>
      <c r="C129" s="52" t="s">
        <v>44</v>
      </c>
      <c r="D129" s="53">
        <f t="array" ref="D129">index('Match Sched'!$C$3:$H753,match(B129,'Match Sched'!$A$3:$A753,0),if(mod(A129,6)=0,6,mod(A129,6)),0)</f>
        <v>687</v>
      </c>
      <c r="E129" s="54"/>
      <c r="F129" s="55">
        <v>0.0</v>
      </c>
      <c r="G129" s="54">
        <v>0.0</v>
      </c>
      <c r="H129" s="54"/>
      <c r="I129" s="54">
        <v>4.0</v>
      </c>
      <c r="J129" s="54">
        <v>0.0</v>
      </c>
      <c r="K129" s="54"/>
      <c r="L129" s="54"/>
      <c r="M129" s="62">
        <f t="shared" ref="M129:N129" si="87">M127</f>
        <v>0</v>
      </c>
      <c r="N129" s="57">
        <f t="shared" si="87"/>
        <v>8</v>
      </c>
      <c r="O129" s="59" t="str">
        <f>if ( isblank (E129), E129, E129 + F129*'Control PanelOur Matches'!$K$2 + G129*5 + H129*(1/3) + I129*'Control PanelOur Matches'!$M$2 + J129*50)</f>
        <v/>
      </c>
      <c r="P129" s="59">
        <f t="shared" si="2"/>
        <v>60</v>
      </c>
      <c r="Q129" s="60">
        <f t="shared" si="3"/>
        <v>687</v>
      </c>
      <c r="R129" s="60" t="str">
        <f t="shared" si="4"/>
        <v>687-3</v>
      </c>
    </row>
    <row r="130" ht="15.0" customHeight="1">
      <c r="A130" s="65">
        <v>127.0</v>
      </c>
      <c r="B130" s="66">
        <v>22.0</v>
      </c>
      <c r="C130" s="52" t="s">
        <v>39</v>
      </c>
      <c r="D130" s="53">
        <f t="array" ref="D130">index('Match Sched'!$C$3:$H753,match(B130,'Match Sched'!$A$3:$A753,0),if(mod(A130,6)=0,6,mod(A130,6)),0)</f>
        <v>3045</v>
      </c>
      <c r="E130" s="54"/>
      <c r="F130" s="55">
        <v>0.0</v>
      </c>
      <c r="G130" s="67">
        <v>1.0</v>
      </c>
      <c r="H130" s="67"/>
      <c r="I130" s="67">
        <v>0.0</v>
      </c>
      <c r="J130" s="67">
        <v>0.0</v>
      </c>
      <c r="K130" s="67"/>
      <c r="L130" s="67"/>
      <c r="M130" s="57">
        <f>SUM(F130:F132)</f>
        <v>0</v>
      </c>
      <c r="N130" s="57">
        <f>SUM(I130:I132)+1</f>
        <v>2</v>
      </c>
      <c r="O130" s="59" t="str">
        <f>if ( isblank (E130), E130, E130 + F130*'Control PanelOur Matches'!$K$2 + G130*5 + H130*(1/3) + I130*'Control PanelOur Matches'!$M$2 + J130*50)</f>
        <v/>
      </c>
      <c r="P130" s="59">
        <f t="shared" si="2"/>
        <v>5</v>
      </c>
      <c r="Q130" s="60">
        <f t="shared" si="3"/>
        <v>3045</v>
      </c>
      <c r="R130" s="60" t="str">
        <f t="shared" si="4"/>
        <v>3045-3</v>
      </c>
    </row>
    <row r="131" ht="15.0" customHeight="1">
      <c r="A131" s="65">
        <v>128.0</v>
      </c>
      <c r="B131" s="66">
        <v>22.0</v>
      </c>
      <c r="C131" s="52" t="s">
        <v>40</v>
      </c>
      <c r="D131" s="53">
        <f t="array" ref="D131">index('Match Sched'!$C$3:$H753,match(B131,'Match Sched'!$A$3:$A753,0),if(mod(A131,6)=0,6,mod(A131,6)),0)</f>
        <v>3189</v>
      </c>
      <c r="E131" s="54"/>
      <c r="F131" s="55">
        <v>0.0</v>
      </c>
      <c r="G131" s="67">
        <v>1.0</v>
      </c>
      <c r="H131" s="67"/>
      <c r="I131" s="67">
        <v>1.0</v>
      </c>
      <c r="J131" s="67">
        <v>0.0</v>
      </c>
      <c r="K131" s="67"/>
      <c r="L131" s="67"/>
      <c r="M131" s="61">
        <f t="shared" ref="M131:N131" si="88">M130</f>
        <v>0</v>
      </c>
      <c r="N131" s="57">
        <f t="shared" si="88"/>
        <v>2</v>
      </c>
      <c r="O131" s="59" t="str">
        <f>if ( isblank (E131), E131, E131 + F131*'Control PanelOur Matches'!$K$2 + G131*5 + H131*(1/3) + I131*'Control PanelOur Matches'!$M$2 + J131*50)</f>
        <v/>
      </c>
      <c r="P131" s="59">
        <f t="shared" si="2"/>
        <v>25</v>
      </c>
      <c r="Q131" s="60">
        <f t="shared" si="3"/>
        <v>3189</v>
      </c>
      <c r="R131" s="60" t="str">
        <f t="shared" si="4"/>
        <v>3189-3</v>
      </c>
    </row>
    <row r="132" ht="15.0" customHeight="1">
      <c r="A132" s="65">
        <v>129.0</v>
      </c>
      <c r="B132" s="66">
        <v>22.0</v>
      </c>
      <c r="C132" s="52" t="s">
        <v>41</v>
      </c>
      <c r="D132" s="53">
        <f t="array" ref="D132">index('Match Sched'!$C$3:$H753,match(B132,'Match Sched'!$A$3:$A753,0),if(mod(A132,6)=0,6,mod(A132,6)),0)</f>
        <v>2367</v>
      </c>
      <c r="E132" s="54"/>
      <c r="F132" s="55">
        <v>0.0</v>
      </c>
      <c r="G132" s="67">
        <v>0.0</v>
      </c>
      <c r="H132" s="67"/>
      <c r="I132" s="67">
        <v>0.0</v>
      </c>
      <c r="J132" s="67">
        <v>0.0</v>
      </c>
      <c r="K132" s="67"/>
      <c r="L132" s="67"/>
      <c r="M132" s="62">
        <f t="shared" ref="M132:N132" si="89">M130</f>
        <v>0</v>
      </c>
      <c r="N132" s="57">
        <f t="shared" si="89"/>
        <v>2</v>
      </c>
      <c r="O132" s="59" t="str">
        <f>if ( isblank (E132), E132, E132 + F132*'Control PanelOur Matches'!$K$2 + G132*5 + H132*(1/3) + I132*'Control PanelOur Matches'!$M$2 + J132*50)</f>
        <v/>
      </c>
      <c r="P132" s="59">
        <f t="shared" si="2"/>
        <v>0</v>
      </c>
      <c r="Q132" s="60">
        <f t="shared" si="3"/>
        <v>2367</v>
      </c>
      <c r="R132" s="60" t="str">
        <f t="shared" si="4"/>
        <v>2367-3</v>
      </c>
    </row>
    <row r="133" ht="15.0" customHeight="1">
      <c r="A133" s="65">
        <v>130.0</v>
      </c>
      <c r="B133" s="66">
        <v>22.0</v>
      </c>
      <c r="C133" s="52" t="s">
        <v>42</v>
      </c>
      <c r="D133" s="53">
        <f t="array" ref="D133">index('Match Sched'!$C$3:$H753,match(B133,'Match Sched'!$A$3:$A753,0),if(mod(A133,6)=0,6,mod(A133,6)),0)</f>
        <v>6699</v>
      </c>
      <c r="E133" s="54"/>
      <c r="F133" s="55">
        <v>0.0</v>
      </c>
      <c r="G133" s="67">
        <v>1.0</v>
      </c>
      <c r="H133" s="67"/>
      <c r="I133" s="67">
        <v>1.0</v>
      </c>
      <c r="J133" s="67">
        <v>0.0</v>
      </c>
      <c r="K133" s="67"/>
      <c r="L133" s="67"/>
      <c r="M133" s="57">
        <f>SUM(F133:F135)</f>
        <v>0</v>
      </c>
      <c r="N133" s="57">
        <f>SUM(I133:I135)+1</f>
        <v>4</v>
      </c>
      <c r="O133" s="59" t="str">
        <f>if ( isblank (E133), E133, E133 + F133*'Control PanelOur Matches'!$K$2 + G133*5 + H133*(1/3) + I133*'Control PanelOur Matches'!$M$2 + J133*50)</f>
        <v/>
      </c>
      <c r="P133" s="59">
        <f t="shared" si="2"/>
        <v>25</v>
      </c>
      <c r="Q133" s="60">
        <f t="shared" si="3"/>
        <v>6699</v>
      </c>
      <c r="R133" s="60" t="str">
        <f t="shared" si="4"/>
        <v>6699-3</v>
      </c>
    </row>
    <row r="134" ht="15.0" customHeight="1">
      <c r="A134" s="65">
        <v>131.0</v>
      </c>
      <c r="B134" s="66">
        <v>22.0</v>
      </c>
      <c r="C134" s="52" t="s">
        <v>43</v>
      </c>
      <c r="D134" s="53">
        <f t="array" ref="D134">index('Match Sched'!$C$3:$H753,match(B134,'Match Sched'!$A$3:$A753,0),if(mod(A134,6)=0,6,mod(A134,6)),0)</f>
        <v>1868</v>
      </c>
      <c r="E134" s="54"/>
      <c r="F134" s="55">
        <v>0.0</v>
      </c>
      <c r="G134" s="67">
        <v>1.0</v>
      </c>
      <c r="H134" s="67"/>
      <c r="I134" s="67">
        <v>2.0</v>
      </c>
      <c r="J134" s="67">
        <v>0.0</v>
      </c>
      <c r="K134" s="67"/>
      <c r="L134" s="67"/>
      <c r="M134" s="61">
        <f t="shared" ref="M134:N134" si="90">M133</f>
        <v>0</v>
      </c>
      <c r="N134" s="57">
        <f t="shared" si="90"/>
        <v>4</v>
      </c>
      <c r="O134" s="59" t="str">
        <f>if ( isblank (E134), E134, E134 + F134*'Control PanelOur Matches'!$K$2 + G134*5 + H134*(1/3) + I134*'Control PanelOur Matches'!$M$2 + J134*50)</f>
        <v/>
      </c>
      <c r="P134" s="59">
        <f t="shared" si="2"/>
        <v>45</v>
      </c>
      <c r="Q134" s="60">
        <f t="shared" si="3"/>
        <v>1868</v>
      </c>
      <c r="R134" s="60" t="str">
        <f t="shared" si="4"/>
        <v>1868-3</v>
      </c>
    </row>
    <row r="135" ht="15.0" customHeight="1">
      <c r="A135" s="65">
        <v>132.0</v>
      </c>
      <c r="B135" s="66">
        <v>22.0</v>
      </c>
      <c r="C135" s="68" t="s">
        <v>44</v>
      </c>
      <c r="D135" s="53">
        <f t="array" ref="D135">index('Match Sched'!$C$3:$H753,match(B135,'Match Sched'!$A$3:$A753,0),if(mod(A135,6)=0,6,mod(A135,6)),0)</f>
        <v>670</v>
      </c>
      <c r="E135" s="54"/>
      <c r="F135" s="55">
        <v>0.0</v>
      </c>
      <c r="G135" s="67">
        <v>1.0</v>
      </c>
      <c r="H135" s="67"/>
      <c r="I135" s="67">
        <v>0.0</v>
      </c>
      <c r="J135" s="67">
        <v>0.0</v>
      </c>
      <c r="K135" s="67"/>
      <c r="L135" s="67"/>
      <c r="M135" s="62">
        <f t="shared" ref="M135:N135" si="91">M133</f>
        <v>0</v>
      </c>
      <c r="N135" s="57">
        <f t="shared" si="91"/>
        <v>4</v>
      </c>
      <c r="O135" s="59" t="str">
        <f>if ( isblank (E135), E135, E135 + F135*'Control PanelOur Matches'!$K$2 + G135*5 + H135*(1/3) + I135*'Control PanelOur Matches'!$M$2 + J135*50)</f>
        <v/>
      </c>
      <c r="P135" s="59">
        <f t="shared" si="2"/>
        <v>5</v>
      </c>
      <c r="Q135" s="60">
        <f t="shared" si="3"/>
        <v>670</v>
      </c>
      <c r="R135" s="60" t="str">
        <f t="shared" si="4"/>
        <v>670-3</v>
      </c>
    </row>
    <row r="136" ht="15.0" customHeight="1">
      <c r="A136" s="49">
        <v>133.0</v>
      </c>
      <c r="B136" s="50">
        <v>23.0</v>
      </c>
      <c r="C136" s="52" t="s">
        <v>39</v>
      </c>
      <c r="D136" s="53">
        <f t="array" ref="D136">index('Match Sched'!$C$3:$H753,match(B136,'Match Sched'!$A$3:$A753,0),if(mod(A136,6)=0,6,mod(A136,6)),0)</f>
        <v>5852</v>
      </c>
      <c r="E136" s="54"/>
      <c r="F136" s="55">
        <v>0.0</v>
      </c>
      <c r="G136" s="54">
        <v>0.0</v>
      </c>
      <c r="H136" s="54"/>
      <c r="I136" s="54">
        <v>1.0</v>
      </c>
      <c r="J136" s="54">
        <v>1.0</v>
      </c>
      <c r="K136" s="54"/>
      <c r="L136" s="54"/>
      <c r="M136" s="57">
        <f>SUM(F136:F138)</f>
        <v>0</v>
      </c>
      <c r="N136" s="57">
        <f>SUM(I136:I138)+1</f>
        <v>3</v>
      </c>
      <c r="O136" s="59" t="str">
        <f>if ( isblank (E136), E136, E136 + F136*'Control PanelOur Matches'!$K$2 + G136*5 + H136*(1/3) + I136*'Control PanelOur Matches'!$M$2 + J136*50)</f>
        <v/>
      </c>
      <c r="P136" s="59">
        <f t="shared" si="2"/>
        <v>76.66666667</v>
      </c>
      <c r="Q136" s="60">
        <f t="shared" si="3"/>
        <v>5852</v>
      </c>
      <c r="R136" s="60" t="str">
        <f t="shared" si="4"/>
        <v>5852-3</v>
      </c>
    </row>
    <row r="137" ht="15.0" customHeight="1">
      <c r="A137" s="49">
        <v>134.0</v>
      </c>
      <c r="B137" s="50">
        <v>23.0</v>
      </c>
      <c r="C137" s="52" t="s">
        <v>40</v>
      </c>
      <c r="D137" s="53">
        <f t="array" ref="D137">index('Match Sched'!$C$3:$H753,match(B137,'Match Sched'!$A$3:$A753,0),if(mod(A137,6)=0,6,mod(A137,6)),0)</f>
        <v>2493</v>
      </c>
      <c r="E137" s="54"/>
      <c r="F137" s="55">
        <v>0.0</v>
      </c>
      <c r="G137" s="54">
        <v>0.0</v>
      </c>
      <c r="H137" s="54"/>
      <c r="I137" s="54">
        <v>1.0</v>
      </c>
      <c r="J137" s="54">
        <v>0.0</v>
      </c>
      <c r="K137" s="54"/>
      <c r="L137" s="54"/>
      <c r="M137" s="61">
        <f t="shared" ref="M137:N137" si="92">M136</f>
        <v>0</v>
      </c>
      <c r="N137" s="57">
        <f t="shared" si="92"/>
        <v>3</v>
      </c>
      <c r="O137" s="59" t="str">
        <f>if ( isblank (E137), E137, E137 + F137*'Control PanelOur Matches'!$K$2 + G137*5 + H137*(1/3) + I137*'Control PanelOur Matches'!$M$2 + J137*50)</f>
        <v/>
      </c>
      <c r="P137" s="59">
        <f t="shared" si="2"/>
        <v>26.66666667</v>
      </c>
      <c r="Q137" s="60">
        <f t="shared" si="3"/>
        <v>2493</v>
      </c>
      <c r="R137" s="60" t="str">
        <f t="shared" si="4"/>
        <v>2493-3</v>
      </c>
    </row>
    <row r="138" ht="15.0" customHeight="1">
      <c r="A138" s="49">
        <v>135.0</v>
      </c>
      <c r="B138" s="50">
        <v>23.0</v>
      </c>
      <c r="C138" s="52" t="s">
        <v>41</v>
      </c>
      <c r="D138" s="53">
        <f t="array" ref="D138">index('Match Sched'!$C$3:$H753,match(B138,'Match Sched'!$A$3:$A753,0),if(mod(A138,6)=0,6,mod(A138,6)),0)</f>
        <v>3303</v>
      </c>
      <c r="E138" s="54"/>
      <c r="F138" s="55">
        <v>0.0</v>
      </c>
      <c r="G138" s="54">
        <v>0.0</v>
      </c>
      <c r="H138" s="54"/>
      <c r="I138" s="54">
        <v>0.0</v>
      </c>
      <c r="J138" s="54">
        <v>1.0</v>
      </c>
      <c r="K138" s="54"/>
      <c r="L138" s="54"/>
      <c r="M138" s="62">
        <f t="shared" ref="M138:N138" si="93">M136</f>
        <v>0</v>
      </c>
      <c r="N138" s="57">
        <f t="shared" si="93"/>
        <v>3</v>
      </c>
      <c r="O138" s="59" t="str">
        <f>if ( isblank (E138), E138, E138 + F138*'Control PanelOur Matches'!$K$2 + G138*5 + H138*(1/3) + I138*'Control PanelOur Matches'!$M$2 + J138*50)</f>
        <v/>
      </c>
      <c r="P138" s="59">
        <f t="shared" si="2"/>
        <v>50</v>
      </c>
      <c r="Q138" s="60">
        <f t="shared" si="3"/>
        <v>3303</v>
      </c>
      <c r="R138" s="60" t="str">
        <f t="shared" si="4"/>
        <v>3303-3</v>
      </c>
    </row>
    <row r="139" ht="15.0" customHeight="1">
      <c r="A139" s="49">
        <v>136.0</v>
      </c>
      <c r="B139" s="50">
        <v>23.0</v>
      </c>
      <c r="C139" s="52" t="s">
        <v>42</v>
      </c>
      <c r="D139" s="53">
        <f t="array" ref="D139">index('Match Sched'!$C$3:$H753,match(B139,'Match Sched'!$A$3:$A753,0),if(mod(A139,6)=0,6,mod(A139,6)),0)</f>
        <v>980</v>
      </c>
      <c r="E139" s="54"/>
      <c r="F139" s="55">
        <v>0.0</v>
      </c>
      <c r="G139" s="54">
        <v>0.0</v>
      </c>
      <c r="H139" s="54"/>
      <c r="I139" s="54">
        <v>1.0</v>
      </c>
      <c r="J139" s="54">
        <v>0.0</v>
      </c>
      <c r="K139" s="54">
        <v>1.0</v>
      </c>
      <c r="L139" s="54"/>
      <c r="M139" s="57">
        <f>SUM(F139:F141)</f>
        <v>0</v>
      </c>
      <c r="N139" s="57">
        <f>SUM(I139:I141)+1</f>
        <v>3</v>
      </c>
      <c r="O139" s="59" t="str">
        <f>if ( isblank (E139), E139, E139 + F139*'Control PanelOur Matches'!$K$2 + G139*5 + H139*(1/3) + I139*'Control PanelOur Matches'!$M$2 + J139*50)</f>
        <v/>
      </c>
      <c r="P139" s="59">
        <f t="shared" si="2"/>
        <v>26.66666667</v>
      </c>
      <c r="Q139" s="60">
        <f t="shared" si="3"/>
        <v>980</v>
      </c>
      <c r="R139" s="60" t="str">
        <f t="shared" si="4"/>
        <v>980-3</v>
      </c>
    </row>
    <row r="140" ht="15.0" customHeight="1">
      <c r="A140" s="49">
        <v>137.0</v>
      </c>
      <c r="B140" s="50">
        <v>23.0</v>
      </c>
      <c r="C140" s="52" t="s">
        <v>43</v>
      </c>
      <c r="D140" s="53">
        <f t="array" ref="D140">index('Match Sched'!$C$3:$H753,match(B140,'Match Sched'!$A$3:$A753,0),if(mod(A140,6)=0,6,mod(A140,6)),0)</f>
        <v>1422</v>
      </c>
      <c r="E140" s="54"/>
      <c r="F140" s="55">
        <v>0.0</v>
      </c>
      <c r="G140" s="54">
        <v>0.0</v>
      </c>
      <c r="H140" s="54"/>
      <c r="I140" s="54">
        <v>1.0</v>
      </c>
      <c r="J140" s="54">
        <v>0.0</v>
      </c>
      <c r="K140" s="54"/>
      <c r="L140" s="54"/>
      <c r="M140" s="61">
        <f t="shared" ref="M140:N140" si="94">M139</f>
        <v>0</v>
      </c>
      <c r="N140" s="57">
        <f t="shared" si="94"/>
        <v>3</v>
      </c>
      <c r="O140" s="59" t="str">
        <f>if ( isblank (E140), E140, E140 + F140*'Control PanelOur Matches'!$K$2 + G140*5 + H140*(1/3) + I140*'Control PanelOur Matches'!$M$2 + J140*50)</f>
        <v/>
      </c>
      <c r="P140" s="59">
        <f t="shared" si="2"/>
        <v>26.66666667</v>
      </c>
      <c r="Q140" s="60">
        <f t="shared" si="3"/>
        <v>1422</v>
      </c>
      <c r="R140" s="60" t="str">
        <f t="shared" si="4"/>
        <v>1422-3</v>
      </c>
    </row>
    <row r="141" ht="15.0" customHeight="1">
      <c r="A141" s="49">
        <v>138.0</v>
      </c>
      <c r="B141" s="50">
        <v>23.0</v>
      </c>
      <c r="C141" s="52" t="s">
        <v>44</v>
      </c>
      <c r="D141" s="53">
        <f t="array" ref="D141">index('Match Sched'!$C$3:$H753,match(B141,'Match Sched'!$A$3:$A753,0),if(mod(A141,6)=0,6,mod(A141,6)),0)</f>
        <v>6305</v>
      </c>
      <c r="E141" s="54"/>
      <c r="F141" s="55">
        <v>0.0</v>
      </c>
      <c r="G141" s="54">
        <v>0.0</v>
      </c>
      <c r="H141" s="54"/>
      <c r="I141" s="54">
        <v>0.0</v>
      </c>
      <c r="J141" s="54">
        <v>0.0</v>
      </c>
      <c r="K141" s="54"/>
      <c r="L141" s="54"/>
      <c r="M141" s="62">
        <f t="shared" ref="M141:N141" si="95">M139</f>
        <v>0</v>
      </c>
      <c r="N141" s="57">
        <f t="shared" si="95"/>
        <v>3</v>
      </c>
      <c r="O141" s="59" t="str">
        <f>if ( isblank (E141), E141, E141 + F141*'Control PanelOur Matches'!$K$2 + G141*5 + H141*(1/3) + I141*'Control PanelOur Matches'!$M$2 + J141*50)</f>
        <v/>
      </c>
      <c r="P141" s="59">
        <f t="shared" si="2"/>
        <v>0</v>
      </c>
      <c r="Q141" s="60">
        <f t="shared" si="3"/>
        <v>6305</v>
      </c>
      <c r="R141" s="60" t="str">
        <f t="shared" si="4"/>
        <v>6305-3</v>
      </c>
    </row>
    <row r="142" ht="15.0" customHeight="1">
      <c r="A142" s="65">
        <v>139.0</v>
      </c>
      <c r="B142" s="66">
        <v>24.0</v>
      </c>
      <c r="C142" s="52" t="s">
        <v>39</v>
      </c>
      <c r="D142" s="53">
        <f t="array" ref="D142">index('Match Sched'!$C$3:$H753,match(B142,'Match Sched'!$A$3:$A753,0),if(mod(A142,6)=0,6,mod(A142,6)),0)</f>
        <v>6650</v>
      </c>
      <c r="E142" s="54"/>
      <c r="F142" s="55">
        <v>0.0</v>
      </c>
      <c r="G142" s="67">
        <v>1.0</v>
      </c>
      <c r="H142" s="67"/>
      <c r="I142" s="67">
        <v>0.0</v>
      </c>
      <c r="J142" s="67">
        <v>0.0</v>
      </c>
      <c r="K142" s="67"/>
      <c r="L142" s="67"/>
      <c r="M142" s="57">
        <f>SUM(F142:F144)</f>
        <v>0</v>
      </c>
      <c r="N142" s="57">
        <f>SUM(I142:I144)+1</f>
        <v>3</v>
      </c>
      <c r="O142" s="59" t="str">
        <f>if ( isblank (E142), E142, E142 + F142*'Control PanelOur Matches'!$K$2 + G142*5 + H142*(1/3) + I142*'Control PanelOur Matches'!$M$2 + J142*50)</f>
        <v/>
      </c>
      <c r="P142" s="59">
        <f t="shared" si="2"/>
        <v>5</v>
      </c>
      <c r="Q142" s="60">
        <f t="shared" si="3"/>
        <v>6650</v>
      </c>
      <c r="R142" s="60" t="str">
        <f t="shared" si="4"/>
        <v>6650-3</v>
      </c>
    </row>
    <row r="143" ht="15.0" customHeight="1">
      <c r="A143" s="65">
        <v>140.0</v>
      </c>
      <c r="B143" s="66">
        <v>24.0</v>
      </c>
      <c r="C143" s="69" t="s">
        <v>40</v>
      </c>
      <c r="D143" s="53">
        <f t="array" ref="D143">index('Match Sched'!$C$3:$H753,match(B143,'Match Sched'!$A$3:$A753,0),if(mod(A143,6)=0,6,mod(A143,6)),0)</f>
        <v>973</v>
      </c>
      <c r="E143" s="54"/>
      <c r="F143" s="55">
        <v>0.0</v>
      </c>
      <c r="G143" s="67">
        <v>1.0</v>
      </c>
      <c r="H143" s="67"/>
      <c r="I143" s="67">
        <v>1.0</v>
      </c>
      <c r="J143" s="67">
        <v>1.0</v>
      </c>
      <c r="K143" s="67"/>
      <c r="L143" s="67"/>
      <c r="M143" s="61">
        <f t="shared" ref="M143:N143" si="96">M142</f>
        <v>0</v>
      </c>
      <c r="N143" s="57">
        <f t="shared" si="96"/>
        <v>3</v>
      </c>
      <c r="O143" s="59" t="str">
        <f>if ( isblank (E143), E143, E143 + F143*'Control PanelOur Matches'!$K$2 + G143*5 + H143*(1/3) + I143*'Control PanelOur Matches'!$M$2 + J143*50)</f>
        <v/>
      </c>
      <c r="P143" s="59">
        <f t="shared" si="2"/>
        <v>81.66666667</v>
      </c>
      <c r="Q143" s="60">
        <f t="shared" si="3"/>
        <v>973</v>
      </c>
      <c r="R143" s="60" t="str">
        <f t="shared" si="4"/>
        <v>973-3</v>
      </c>
    </row>
    <row r="144" ht="15.0" customHeight="1">
      <c r="A144" s="65">
        <v>141.0</v>
      </c>
      <c r="B144" s="66">
        <v>24.0</v>
      </c>
      <c r="C144" s="52" t="s">
        <v>41</v>
      </c>
      <c r="D144" s="53">
        <f t="array" ref="D144">index('Match Sched'!$C$3:$H753,match(B144,'Match Sched'!$A$3:$A753,0),if(mod(A144,6)=0,6,mod(A144,6)),0)</f>
        <v>3970</v>
      </c>
      <c r="E144" s="54"/>
      <c r="F144" s="55">
        <v>0.0</v>
      </c>
      <c r="G144" s="67">
        <v>1.0</v>
      </c>
      <c r="H144" s="67"/>
      <c r="I144" s="67">
        <v>1.0</v>
      </c>
      <c r="J144" s="67">
        <v>0.0</v>
      </c>
      <c r="K144" s="67"/>
      <c r="L144" s="67"/>
      <c r="M144" s="62">
        <f t="shared" ref="M144:N144" si="97">M142</f>
        <v>0</v>
      </c>
      <c r="N144" s="57">
        <f t="shared" si="97"/>
        <v>3</v>
      </c>
      <c r="O144" s="59" t="str">
        <f>if ( isblank (E144), E144, E144 + F144*'Control PanelOur Matches'!$K$2 + G144*5 + H144*(1/3) + I144*'Control PanelOur Matches'!$M$2 + J144*50)</f>
        <v/>
      </c>
      <c r="P144" s="59">
        <f t="shared" si="2"/>
        <v>31.66666667</v>
      </c>
      <c r="Q144" s="60">
        <f t="shared" si="3"/>
        <v>3970</v>
      </c>
      <c r="R144" s="60" t="str">
        <f t="shared" si="4"/>
        <v>3970-4</v>
      </c>
    </row>
    <row r="145" ht="15.0" customHeight="1">
      <c r="A145" s="65">
        <v>142.0</v>
      </c>
      <c r="B145" s="66">
        <v>24.0</v>
      </c>
      <c r="C145" s="52" t="s">
        <v>42</v>
      </c>
      <c r="D145" s="53">
        <f t="array" ref="D145">index('Match Sched'!$C$3:$H753,match(B145,'Match Sched'!$A$3:$A753,0),if(mod(A145,6)=0,6,mod(A145,6)),0)</f>
        <v>4415</v>
      </c>
      <c r="E145" s="54"/>
      <c r="F145" s="55">
        <v>0.0</v>
      </c>
      <c r="G145" s="67">
        <v>1.0</v>
      </c>
      <c r="H145" s="67"/>
      <c r="I145" s="67">
        <v>1.0</v>
      </c>
      <c r="J145" s="67">
        <v>1.0</v>
      </c>
      <c r="K145" s="67"/>
      <c r="L145" s="67"/>
      <c r="M145" s="57">
        <f>SUM(F145:F147)</f>
        <v>0</v>
      </c>
      <c r="N145" s="57">
        <f>SUM(I145:I147)+1</f>
        <v>7</v>
      </c>
      <c r="O145" s="59" t="str">
        <f>if ( isblank (E145), E145, E145 + F145*'Control PanelOur Matches'!$K$2 + G145*5 + H145*(1/3) + I145*'Control PanelOur Matches'!$M$2 + J145*50)</f>
        <v/>
      </c>
      <c r="P145" s="59">
        <f t="shared" si="2"/>
        <v>72.14285714</v>
      </c>
      <c r="Q145" s="60">
        <f t="shared" si="3"/>
        <v>4415</v>
      </c>
      <c r="R145" s="60" t="str">
        <f t="shared" si="4"/>
        <v>4415-3</v>
      </c>
    </row>
    <row r="146" ht="15.0" customHeight="1">
      <c r="A146" s="65">
        <v>143.0</v>
      </c>
      <c r="B146" s="66">
        <v>24.0</v>
      </c>
      <c r="C146" s="52" t="s">
        <v>43</v>
      </c>
      <c r="D146" s="53">
        <f t="array" ref="D146">index('Match Sched'!$C$3:$H753,match(B146,'Match Sched'!$A$3:$A753,0),if(mod(A146,6)=0,6,mod(A146,6)),0)</f>
        <v>751</v>
      </c>
      <c r="E146" s="54"/>
      <c r="F146" s="55">
        <v>0.0</v>
      </c>
      <c r="G146" s="67">
        <v>1.0</v>
      </c>
      <c r="H146" s="67"/>
      <c r="I146" s="67">
        <v>3.0</v>
      </c>
      <c r="J146" s="67">
        <v>0.0</v>
      </c>
      <c r="K146" s="67"/>
      <c r="L146" s="67"/>
      <c r="M146" s="61">
        <f t="shared" ref="M146:N146" si="98">M145</f>
        <v>0</v>
      </c>
      <c r="N146" s="57">
        <f t="shared" si="98"/>
        <v>7</v>
      </c>
      <c r="O146" s="59" t="str">
        <f>if ( isblank (E146), E146, E146 + F146*'Control PanelOur Matches'!$K$2 + G146*5 + H146*(1/3) + I146*'Control PanelOur Matches'!$M$2 + J146*50)</f>
        <v/>
      </c>
      <c r="P146" s="59">
        <f t="shared" si="2"/>
        <v>56.42857143</v>
      </c>
      <c r="Q146" s="60">
        <f t="shared" si="3"/>
        <v>751</v>
      </c>
      <c r="R146" s="60" t="str">
        <f t="shared" si="4"/>
        <v>751-4</v>
      </c>
    </row>
    <row r="147" ht="15.0" customHeight="1">
      <c r="A147" s="65">
        <v>144.0</v>
      </c>
      <c r="B147" s="66">
        <v>24.0</v>
      </c>
      <c r="C147" s="68" t="s">
        <v>44</v>
      </c>
      <c r="D147" s="53">
        <f t="array" ref="D147">index('Match Sched'!$C$3:$H753,match(B147,'Match Sched'!$A$3:$A753,0),if(mod(A147,6)=0,6,mod(A147,6)),0)</f>
        <v>294</v>
      </c>
      <c r="E147" s="54"/>
      <c r="F147" s="55">
        <v>0.0</v>
      </c>
      <c r="G147" s="67">
        <v>1.0</v>
      </c>
      <c r="H147" s="67"/>
      <c r="I147" s="67">
        <v>2.0</v>
      </c>
      <c r="J147" s="67">
        <v>0.0</v>
      </c>
      <c r="K147" s="67"/>
      <c r="L147" s="67"/>
      <c r="M147" s="62">
        <f t="shared" ref="M147:N147" si="99">M145</f>
        <v>0</v>
      </c>
      <c r="N147" s="57">
        <f t="shared" si="99"/>
        <v>7</v>
      </c>
      <c r="O147" s="59" t="str">
        <f>if ( isblank (E147), E147, E147 + F147*'Control PanelOur Matches'!$K$2 + G147*5 + H147*(1/3) + I147*'Control PanelOur Matches'!$M$2 + J147*50)</f>
        <v/>
      </c>
      <c r="P147" s="59">
        <f t="shared" si="2"/>
        <v>39.28571429</v>
      </c>
      <c r="Q147" s="60">
        <f t="shared" si="3"/>
        <v>294</v>
      </c>
      <c r="R147" s="60" t="str">
        <f t="shared" si="4"/>
        <v>294-4</v>
      </c>
    </row>
    <row r="148" ht="15.0" customHeight="1">
      <c r="A148" s="49">
        <v>145.0</v>
      </c>
      <c r="B148" s="50">
        <v>25.0</v>
      </c>
      <c r="C148" s="52" t="s">
        <v>39</v>
      </c>
      <c r="D148" s="53">
        <f t="array" ref="D148">index('Match Sched'!$C$3:$H753,match(B148,'Match Sched'!$A$3:$A753,0),if(mod(A148,6)=0,6,mod(A148,6)),0)</f>
        <v>3501</v>
      </c>
      <c r="E148" s="54"/>
      <c r="F148" s="55">
        <v>0.0</v>
      </c>
      <c r="G148" s="54">
        <v>1.0</v>
      </c>
      <c r="H148" s="54"/>
      <c r="I148" s="54">
        <v>1.0</v>
      </c>
      <c r="J148" s="54">
        <v>0.0</v>
      </c>
      <c r="K148" s="54"/>
      <c r="L148" s="54"/>
      <c r="M148" s="57">
        <f>SUM(F148:F150)</f>
        <v>0</v>
      </c>
      <c r="N148" s="57">
        <f>SUM(I148:I150)+1</f>
        <v>4</v>
      </c>
      <c r="O148" s="59" t="str">
        <f>if ( isblank (E148), E148, E148 + F148*'Control PanelOur Matches'!$K$2 + G148*5 + H148*(1/3) + I148*'Control PanelOur Matches'!$M$2 + J148*50)</f>
        <v/>
      </c>
      <c r="P148" s="59">
        <f t="shared" si="2"/>
        <v>25</v>
      </c>
      <c r="Q148" s="60">
        <f t="shared" si="3"/>
        <v>3501</v>
      </c>
      <c r="R148" s="60" t="str">
        <f t="shared" si="4"/>
        <v>3501-4</v>
      </c>
    </row>
    <row r="149" ht="15.0" customHeight="1">
      <c r="A149" s="49">
        <v>146.0</v>
      </c>
      <c r="B149" s="50">
        <v>25.0</v>
      </c>
      <c r="C149" s="52" t="s">
        <v>40</v>
      </c>
      <c r="D149" s="53">
        <f t="array" ref="D149">index('Match Sched'!$C$3:$H753,match(B149,'Match Sched'!$A$3:$A753,0),if(mod(A149,6)=0,6,mod(A149,6)),0)</f>
        <v>3495</v>
      </c>
      <c r="E149" s="54"/>
      <c r="F149" s="55">
        <v>0.0</v>
      </c>
      <c r="G149" s="54">
        <v>1.0</v>
      </c>
      <c r="H149" s="54"/>
      <c r="I149" s="54">
        <v>1.0</v>
      </c>
      <c r="J149" s="54">
        <v>0.0</v>
      </c>
      <c r="K149" s="54"/>
      <c r="L149" s="54"/>
      <c r="M149" s="61">
        <f t="shared" ref="M149:N149" si="100">M148</f>
        <v>0</v>
      </c>
      <c r="N149" s="57">
        <f t="shared" si="100"/>
        <v>4</v>
      </c>
      <c r="O149" s="59" t="str">
        <f>if ( isblank (E149), E149, E149 + F149*'Control PanelOur Matches'!$K$2 + G149*5 + H149*(1/3) + I149*'Control PanelOur Matches'!$M$2 + J149*50)</f>
        <v/>
      </c>
      <c r="P149" s="59">
        <f t="shared" si="2"/>
        <v>25</v>
      </c>
      <c r="Q149" s="60">
        <f t="shared" si="3"/>
        <v>3495</v>
      </c>
      <c r="R149" s="60" t="str">
        <f t="shared" si="4"/>
        <v>3495-4</v>
      </c>
    </row>
    <row r="150" ht="15.0" customHeight="1">
      <c r="A150" s="49">
        <v>147.0</v>
      </c>
      <c r="B150" s="50">
        <v>25.0</v>
      </c>
      <c r="C150" s="52" t="s">
        <v>41</v>
      </c>
      <c r="D150" s="53">
        <f t="array" ref="D150">index('Match Sched'!$C$3:$H753,match(B150,'Match Sched'!$A$3:$A753,0),if(mod(A150,6)=0,6,mod(A150,6)),0)</f>
        <v>1388</v>
      </c>
      <c r="E150" s="54"/>
      <c r="F150" s="55">
        <v>0.0</v>
      </c>
      <c r="G150" s="54">
        <v>0.0</v>
      </c>
      <c r="H150" s="54"/>
      <c r="I150" s="54">
        <v>1.0</v>
      </c>
      <c r="J150" s="54">
        <v>1.0</v>
      </c>
      <c r="K150" s="54"/>
      <c r="L150" s="54"/>
      <c r="M150" s="62">
        <f t="shared" ref="M150:N150" si="101">M148</f>
        <v>0</v>
      </c>
      <c r="N150" s="57">
        <f t="shared" si="101"/>
        <v>4</v>
      </c>
      <c r="O150" s="59" t="str">
        <f>if ( isblank (E150), E150, E150 + F150*'Control PanelOur Matches'!$K$2 + G150*5 + H150*(1/3) + I150*'Control PanelOur Matches'!$M$2 + J150*50)</f>
        <v/>
      </c>
      <c r="P150" s="59">
        <f t="shared" si="2"/>
        <v>70</v>
      </c>
      <c r="Q150" s="60">
        <f t="shared" si="3"/>
        <v>1388</v>
      </c>
      <c r="R150" s="60" t="str">
        <f t="shared" si="4"/>
        <v>1388-4</v>
      </c>
    </row>
    <row r="151" ht="15.0" customHeight="1">
      <c r="A151" s="49">
        <v>148.0</v>
      </c>
      <c r="B151" s="50">
        <v>25.0</v>
      </c>
      <c r="C151" s="52" t="s">
        <v>42</v>
      </c>
      <c r="D151" s="53">
        <f t="array" ref="D151">index('Match Sched'!$C$3:$H753,match(B151,'Match Sched'!$A$3:$A753,0),if(mod(A151,6)=0,6,mod(A151,6)),0)</f>
        <v>4643</v>
      </c>
      <c r="E151" s="54"/>
      <c r="F151" s="55">
        <v>0.0</v>
      </c>
      <c r="G151" s="54">
        <v>1.0</v>
      </c>
      <c r="H151" s="54"/>
      <c r="I151" s="54">
        <v>0.0</v>
      </c>
      <c r="J151" s="54">
        <v>0.0</v>
      </c>
      <c r="K151" s="54"/>
      <c r="L151" s="54"/>
      <c r="M151" s="57">
        <f>SUM(F151:F153)</f>
        <v>1</v>
      </c>
      <c r="N151" s="57">
        <f>SUM(I151:I153)+1</f>
        <v>3</v>
      </c>
      <c r="O151" s="59" t="str">
        <f>if ( isblank (E151), E151, E151 + F151*'Control PanelOur Matches'!$K$2 + G151*5 + H151*(1/3) + I151*'Control PanelOur Matches'!$M$2 + J151*50)</f>
        <v/>
      </c>
      <c r="P151" s="59">
        <f t="shared" si="2"/>
        <v>5</v>
      </c>
      <c r="Q151" s="60">
        <f t="shared" si="3"/>
        <v>4643</v>
      </c>
      <c r="R151" s="60" t="str">
        <f t="shared" si="4"/>
        <v>4643-4</v>
      </c>
    </row>
    <row r="152" ht="15.0" customHeight="1">
      <c r="A152" s="49">
        <v>149.0</v>
      </c>
      <c r="B152" s="50">
        <v>25.0</v>
      </c>
      <c r="C152" s="52" t="s">
        <v>43</v>
      </c>
      <c r="D152" s="53">
        <f t="array" ref="D152">index('Match Sched'!$C$3:$H753,match(B152,'Match Sched'!$A$3:$A753,0),if(mod(A152,6)=0,6,mod(A152,6)),0)</f>
        <v>2761</v>
      </c>
      <c r="E152" s="54"/>
      <c r="F152" s="55">
        <v>0.0</v>
      </c>
      <c r="G152" s="54">
        <v>1.0</v>
      </c>
      <c r="H152" s="54"/>
      <c r="I152" s="54">
        <v>0.0</v>
      </c>
      <c r="J152" s="54">
        <v>0.0</v>
      </c>
      <c r="K152" s="54"/>
      <c r="L152" s="54"/>
      <c r="M152" s="61">
        <f t="shared" ref="M152:N152" si="102">M151</f>
        <v>1</v>
      </c>
      <c r="N152" s="57">
        <f t="shared" si="102"/>
        <v>3</v>
      </c>
      <c r="O152" s="59" t="str">
        <f>if ( isblank (E152), E152, E152 + F152*'Control PanelOur Matches'!$K$2 + G152*5 + H152*(1/3) + I152*'Control PanelOur Matches'!$M$2 + J152*50)</f>
        <v/>
      </c>
      <c r="P152" s="59">
        <f t="shared" si="2"/>
        <v>5</v>
      </c>
      <c r="Q152" s="60">
        <f t="shared" si="3"/>
        <v>2761</v>
      </c>
      <c r="R152" s="60" t="str">
        <f t="shared" si="4"/>
        <v>2761-4</v>
      </c>
    </row>
    <row r="153" ht="15.0" customHeight="1">
      <c r="A153" s="49">
        <v>150.0</v>
      </c>
      <c r="B153" s="50">
        <v>25.0</v>
      </c>
      <c r="C153" s="52" t="s">
        <v>44</v>
      </c>
      <c r="D153" s="53">
        <f t="array" ref="D153">index('Match Sched'!$C$3:$H753,match(B153,'Match Sched'!$A$3:$A753,0),if(mod(A153,6)=0,6,mod(A153,6)),0)</f>
        <v>3189</v>
      </c>
      <c r="E153" s="54"/>
      <c r="F153" s="55">
        <v>1.0</v>
      </c>
      <c r="G153" s="54">
        <v>1.0</v>
      </c>
      <c r="H153" s="54"/>
      <c r="I153" s="54">
        <v>2.0</v>
      </c>
      <c r="J153" s="54">
        <v>1.0</v>
      </c>
      <c r="K153" s="54"/>
      <c r="L153" s="54"/>
      <c r="M153" s="62">
        <f t="shared" ref="M153:N153" si="103">M151</f>
        <v>1</v>
      </c>
      <c r="N153" s="57">
        <f t="shared" si="103"/>
        <v>3</v>
      </c>
      <c r="O153" s="59" t="str">
        <f>if ( isblank (E153), E153, E153 + F153*'Control PanelOur Matches'!$K$2 + G153*5 + H153*(1/3) + I153*'Control PanelOur Matches'!$M$2 + J153*50)</f>
        <v/>
      </c>
      <c r="P153" s="59">
        <f t="shared" si="2"/>
        <v>141.6666667</v>
      </c>
      <c r="Q153" s="60">
        <f t="shared" si="3"/>
        <v>3189</v>
      </c>
      <c r="R153" s="60" t="str">
        <f t="shared" si="4"/>
        <v>3189-4</v>
      </c>
    </row>
    <row r="154" ht="15.0" customHeight="1">
      <c r="A154" s="65">
        <v>151.0</v>
      </c>
      <c r="B154" s="66">
        <v>26.0</v>
      </c>
      <c r="C154" s="52" t="s">
        <v>39</v>
      </c>
      <c r="D154" s="53">
        <f t="array" ref="D154">index('Match Sched'!$C$3:$H753,match(B154,'Match Sched'!$A$3:$A753,0),if(mod(A154,6)=0,6,mod(A154,6)),0)</f>
        <v>670</v>
      </c>
      <c r="E154" s="54"/>
      <c r="F154" s="55">
        <v>0.0</v>
      </c>
      <c r="G154" s="67">
        <v>0.0</v>
      </c>
      <c r="H154" s="67"/>
      <c r="I154" s="67">
        <v>1.0</v>
      </c>
      <c r="J154" s="67">
        <v>0.0</v>
      </c>
      <c r="K154" s="67"/>
      <c r="L154" s="67"/>
      <c r="M154" s="57">
        <f>SUM(F154:F156)</f>
        <v>0</v>
      </c>
      <c r="N154" s="57">
        <f>SUM(I154:I156)+1</f>
        <v>5</v>
      </c>
      <c r="O154" s="59" t="str">
        <f>if ( isblank (E154), E154, E154 + F154*'Control PanelOur Matches'!$K$2 + G154*5 + H154*(1/3) + I154*'Control PanelOur Matches'!$M$2 + J154*50)</f>
        <v/>
      </c>
      <c r="P154" s="59">
        <f t="shared" si="2"/>
        <v>16</v>
      </c>
      <c r="Q154" s="60">
        <f t="shared" si="3"/>
        <v>670</v>
      </c>
      <c r="R154" s="60" t="str">
        <f t="shared" si="4"/>
        <v>670-4</v>
      </c>
    </row>
    <row r="155" ht="15.0" customHeight="1">
      <c r="A155" s="65">
        <v>152.0</v>
      </c>
      <c r="B155" s="66">
        <v>26.0</v>
      </c>
      <c r="C155" s="52" t="s">
        <v>40</v>
      </c>
      <c r="D155" s="53">
        <f t="array" ref="D155">index('Match Sched'!$C$3:$H753,match(B155,'Match Sched'!$A$3:$A753,0),if(mod(A155,6)=0,6,mod(A155,6)),0)</f>
        <v>4543</v>
      </c>
      <c r="E155" s="54"/>
      <c r="F155" s="55">
        <v>0.0</v>
      </c>
      <c r="G155" s="67">
        <v>0.0</v>
      </c>
      <c r="H155" s="67"/>
      <c r="I155" s="67">
        <v>3.0</v>
      </c>
      <c r="J155" s="67">
        <v>0.0</v>
      </c>
      <c r="K155" s="67"/>
      <c r="L155" s="67"/>
      <c r="M155" s="61">
        <f t="shared" ref="M155:N155" si="104">M154</f>
        <v>0</v>
      </c>
      <c r="N155" s="57">
        <f t="shared" si="104"/>
        <v>5</v>
      </c>
      <c r="O155" s="59" t="str">
        <f>if ( isblank (E155), E155, E155 + F155*'Control PanelOur Matches'!$K$2 + G155*5 + H155*(1/3) + I155*'Control PanelOur Matches'!$M$2 + J155*50)</f>
        <v/>
      </c>
      <c r="P155" s="59">
        <f t="shared" si="2"/>
        <v>48</v>
      </c>
      <c r="Q155" s="60">
        <f t="shared" si="3"/>
        <v>4543</v>
      </c>
      <c r="R155" s="60" t="str">
        <f t="shared" si="4"/>
        <v>4543-4</v>
      </c>
    </row>
    <row r="156" ht="15.0" customHeight="1">
      <c r="A156" s="65">
        <v>153.0</v>
      </c>
      <c r="B156" s="66">
        <v>26.0</v>
      </c>
      <c r="C156" s="52" t="s">
        <v>41</v>
      </c>
      <c r="D156" s="53">
        <f t="array" ref="D156">index('Match Sched'!$C$3:$H753,match(B156,'Match Sched'!$A$3:$A753,0),if(mod(A156,6)=0,6,mod(A156,6)),0)</f>
        <v>2367</v>
      </c>
      <c r="E156" s="54"/>
      <c r="F156" s="55">
        <v>0.0</v>
      </c>
      <c r="G156" s="67">
        <v>0.0</v>
      </c>
      <c r="H156" s="67"/>
      <c r="I156" s="67">
        <v>0.0</v>
      </c>
      <c r="J156" s="67">
        <v>0.0</v>
      </c>
      <c r="K156" s="67"/>
      <c r="L156" s="67"/>
      <c r="M156" s="62">
        <f t="shared" ref="M156:N156" si="105">M154</f>
        <v>0</v>
      </c>
      <c r="N156" s="57">
        <f t="shared" si="105"/>
        <v>5</v>
      </c>
      <c r="O156" s="59" t="str">
        <f>if ( isblank (E156), E156, E156 + F156*'Control PanelOur Matches'!$K$2 + G156*5 + H156*(1/3) + I156*'Control PanelOur Matches'!$M$2 + J156*50)</f>
        <v/>
      </c>
      <c r="P156" s="59">
        <f t="shared" si="2"/>
        <v>0</v>
      </c>
      <c r="Q156" s="60">
        <f t="shared" si="3"/>
        <v>2367</v>
      </c>
      <c r="R156" s="60" t="str">
        <f t="shared" si="4"/>
        <v>2367-4</v>
      </c>
    </row>
    <row r="157" ht="15.0" customHeight="1">
      <c r="A157" s="65">
        <v>154.0</v>
      </c>
      <c r="B157" s="66">
        <v>26.0</v>
      </c>
      <c r="C157" s="52" t="s">
        <v>42</v>
      </c>
      <c r="D157" s="53">
        <f t="array" ref="D157">index('Match Sched'!$C$3:$H753,match(B157,'Match Sched'!$A$3:$A753,0),if(mod(A157,6)=0,6,mod(A157,6)),0)</f>
        <v>2493</v>
      </c>
      <c r="E157" s="54"/>
      <c r="F157" s="55">
        <v>0.0</v>
      </c>
      <c r="G157" s="67">
        <v>1.0</v>
      </c>
      <c r="H157" s="67"/>
      <c r="I157" s="67">
        <v>1.0</v>
      </c>
      <c r="J157" s="67">
        <v>0.0</v>
      </c>
      <c r="K157" s="67"/>
      <c r="L157" s="67"/>
      <c r="M157" s="57">
        <f>SUM(F157:F159)</f>
        <v>1</v>
      </c>
      <c r="N157" s="57">
        <f>SUM(I157:I159)+1</f>
        <v>4</v>
      </c>
      <c r="O157" s="59" t="str">
        <f>if ( isblank (E157), E157, E157 + F157*'Control PanelOur Matches'!$K$2 + G157*5 + H157*(1/3) + I157*'Control PanelOur Matches'!$M$2 + J157*50)</f>
        <v/>
      </c>
      <c r="P157" s="59">
        <f t="shared" si="2"/>
        <v>15</v>
      </c>
      <c r="Q157" s="60">
        <f t="shared" si="3"/>
        <v>2493</v>
      </c>
      <c r="R157" s="60" t="str">
        <f t="shared" si="4"/>
        <v>2493-4</v>
      </c>
    </row>
    <row r="158" ht="15.0" customHeight="1">
      <c r="A158" s="65">
        <v>155.0</v>
      </c>
      <c r="B158" s="66">
        <v>26.0</v>
      </c>
      <c r="C158" s="52" t="s">
        <v>43</v>
      </c>
      <c r="D158" s="53">
        <f t="array" ref="D158">index('Match Sched'!$C$3:$H753,match(B158,'Match Sched'!$A$3:$A753,0),if(mod(A158,6)=0,6,mod(A158,6)),0)</f>
        <v>1671</v>
      </c>
      <c r="E158" s="54"/>
      <c r="F158" s="55">
        <v>0.0</v>
      </c>
      <c r="G158" s="67">
        <v>1.0</v>
      </c>
      <c r="H158" s="67"/>
      <c r="I158" s="67">
        <v>0.0</v>
      </c>
      <c r="J158" s="67">
        <v>1.0</v>
      </c>
      <c r="K158" s="67"/>
      <c r="L158" s="67"/>
      <c r="M158" s="61">
        <f t="shared" ref="M158:N158" si="106">M157</f>
        <v>1</v>
      </c>
      <c r="N158" s="57">
        <f t="shared" si="106"/>
        <v>4</v>
      </c>
      <c r="O158" s="59" t="str">
        <f>if ( isblank (E158), E158, E158 + F158*'Control PanelOur Matches'!$K$2 + G158*5 + H158*(1/3) + I158*'Control PanelOur Matches'!$M$2 + J158*50)</f>
        <v/>
      </c>
      <c r="P158" s="59">
        <f t="shared" si="2"/>
        <v>55</v>
      </c>
      <c r="Q158" s="60">
        <f t="shared" si="3"/>
        <v>1671</v>
      </c>
      <c r="R158" s="60" t="str">
        <f t="shared" si="4"/>
        <v>1671-4</v>
      </c>
    </row>
    <row r="159" ht="15.0" customHeight="1">
      <c r="A159" s="65">
        <v>156.0</v>
      </c>
      <c r="B159" s="66">
        <v>26.0</v>
      </c>
      <c r="C159" s="68" t="s">
        <v>44</v>
      </c>
      <c r="D159" s="53">
        <f t="array" ref="D159">index('Match Sched'!$C$3:$H753,match(B159,'Match Sched'!$A$3:$A753,0),if(mod(A159,6)=0,6,mod(A159,6)),0)</f>
        <v>3256</v>
      </c>
      <c r="E159" s="54"/>
      <c r="F159" s="55">
        <v>1.0</v>
      </c>
      <c r="G159" s="67">
        <v>1.0</v>
      </c>
      <c r="H159" s="67"/>
      <c r="I159" s="67">
        <v>2.0</v>
      </c>
      <c r="J159" s="67">
        <v>1.0</v>
      </c>
      <c r="K159" s="67"/>
      <c r="L159" s="67"/>
      <c r="M159" s="62">
        <f t="shared" ref="M159:N159" si="107">M157</f>
        <v>1</v>
      </c>
      <c r="N159" s="57">
        <f t="shared" si="107"/>
        <v>4</v>
      </c>
      <c r="O159" s="59" t="str">
        <f>if ( isblank (E159), E159, E159 + F159*'Control PanelOur Matches'!$K$2 + G159*5 + H159*(1/3) + I159*'Control PanelOur Matches'!$M$2 + J159*50)</f>
        <v/>
      </c>
      <c r="P159" s="59">
        <f t="shared" si="2"/>
        <v>135</v>
      </c>
      <c r="Q159" s="60">
        <f t="shared" si="3"/>
        <v>3256</v>
      </c>
      <c r="R159" s="60" t="str">
        <f t="shared" si="4"/>
        <v>3256-4</v>
      </c>
    </row>
    <row r="160" ht="15.0" customHeight="1">
      <c r="A160" s="49">
        <v>157.0</v>
      </c>
      <c r="B160" s="50">
        <v>27.0</v>
      </c>
      <c r="C160" s="52" t="s">
        <v>39</v>
      </c>
      <c r="D160" s="53">
        <f t="array" ref="D160">index('Match Sched'!$C$3:$H753,match(B160,'Match Sched'!$A$3:$A753,0),if(mod(A160,6)=0,6,mod(A160,6)),0)</f>
        <v>5677</v>
      </c>
      <c r="E160" s="54"/>
      <c r="F160" s="55">
        <v>0.0</v>
      </c>
      <c r="G160" s="54">
        <v>0.0</v>
      </c>
      <c r="H160" s="54"/>
      <c r="I160" s="54">
        <v>1.0</v>
      </c>
      <c r="J160" s="54">
        <v>1.0</v>
      </c>
      <c r="K160" s="54"/>
      <c r="L160" s="54"/>
      <c r="M160" s="57">
        <f>SUM(F160:F162)</f>
        <v>0</v>
      </c>
      <c r="N160" s="57">
        <f>SUM(I160:I162)+1</f>
        <v>3</v>
      </c>
      <c r="O160" s="59" t="str">
        <f>if ( isblank (E160), E160, E160 + F160*'Control PanelOur Matches'!$K$2 + G160*5 + H160*(1/3) + I160*'Control PanelOur Matches'!$M$2 + J160*50)</f>
        <v/>
      </c>
      <c r="P160" s="59">
        <f t="shared" si="2"/>
        <v>76.66666667</v>
      </c>
      <c r="Q160" s="60">
        <f t="shared" si="3"/>
        <v>5677</v>
      </c>
      <c r="R160" s="60" t="str">
        <f t="shared" si="4"/>
        <v>5677-4</v>
      </c>
    </row>
    <row r="161" ht="15.0" customHeight="1">
      <c r="A161" s="49">
        <v>158.0</v>
      </c>
      <c r="B161" s="50">
        <v>27.0</v>
      </c>
      <c r="C161" s="52" t="s">
        <v>40</v>
      </c>
      <c r="D161" s="53">
        <f t="array" ref="D161">index('Match Sched'!$C$3:$H753,match(B161,'Match Sched'!$A$3:$A753,0),if(mod(A161,6)=0,6,mod(A161,6)),0)</f>
        <v>2085</v>
      </c>
      <c r="E161" s="54"/>
      <c r="F161" s="55">
        <v>0.0</v>
      </c>
      <c r="G161" s="54">
        <v>1.0</v>
      </c>
      <c r="H161" s="54"/>
      <c r="I161" s="54">
        <v>1.0</v>
      </c>
      <c r="J161" s="54">
        <v>1.0</v>
      </c>
      <c r="K161" s="54"/>
      <c r="L161" s="54"/>
      <c r="M161" s="61">
        <f t="shared" ref="M161:N161" si="108">M160</f>
        <v>0</v>
      </c>
      <c r="N161" s="57">
        <f t="shared" si="108"/>
        <v>3</v>
      </c>
      <c r="O161" s="59" t="str">
        <f>if ( isblank (E161), E161, E161 + F161*'Control PanelOur Matches'!$K$2 + G161*5 + H161*(1/3) + I161*'Control PanelOur Matches'!$M$2 + J161*50)</f>
        <v/>
      </c>
      <c r="P161" s="59">
        <f t="shared" si="2"/>
        <v>81.66666667</v>
      </c>
      <c r="Q161" s="60">
        <f t="shared" si="3"/>
        <v>2085</v>
      </c>
      <c r="R161" s="60" t="str">
        <f t="shared" si="4"/>
        <v>2085-4</v>
      </c>
    </row>
    <row r="162" ht="15.0" customHeight="1">
      <c r="A162" s="49">
        <v>159.0</v>
      </c>
      <c r="B162" s="50">
        <v>27.0</v>
      </c>
      <c r="C162" s="52" t="s">
        <v>41</v>
      </c>
      <c r="D162" s="53">
        <f t="array" ref="D162">index('Match Sched'!$C$3:$H753,match(B162,'Match Sched'!$A$3:$A753,0),if(mod(A162,6)=0,6,mod(A162,6)),0)</f>
        <v>6650</v>
      </c>
      <c r="E162" s="54"/>
      <c r="F162" s="55">
        <v>0.0</v>
      </c>
      <c r="G162" s="54">
        <v>1.0</v>
      </c>
      <c r="H162" s="54"/>
      <c r="I162" s="54">
        <v>0.0</v>
      </c>
      <c r="J162" s="54">
        <v>0.0</v>
      </c>
      <c r="K162" s="54"/>
      <c r="L162" s="54"/>
      <c r="M162" s="62">
        <f t="shared" ref="M162:N162" si="109">M160</f>
        <v>0</v>
      </c>
      <c r="N162" s="57">
        <f t="shared" si="109"/>
        <v>3</v>
      </c>
      <c r="O162" s="59" t="str">
        <f>if ( isblank (E162), E162, E162 + F162*'Control PanelOur Matches'!$K$2 + G162*5 + H162*(1/3) + I162*'Control PanelOur Matches'!$M$2 + J162*50)</f>
        <v/>
      </c>
      <c r="P162" s="59">
        <f t="shared" si="2"/>
        <v>5</v>
      </c>
      <c r="Q162" s="60">
        <f t="shared" si="3"/>
        <v>6650</v>
      </c>
      <c r="R162" s="60" t="str">
        <f t="shared" si="4"/>
        <v>6650-4</v>
      </c>
    </row>
    <row r="163" ht="15.0" customHeight="1">
      <c r="A163" s="49">
        <v>160.0</v>
      </c>
      <c r="B163" s="50">
        <v>27.0</v>
      </c>
      <c r="C163" s="52" t="s">
        <v>42</v>
      </c>
      <c r="D163" s="53">
        <f t="array" ref="D163">index('Match Sched'!$C$3:$H753,match(B163,'Match Sched'!$A$3:$A753,0),if(mod(A163,6)=0,6,mod(A163,6)),0)</f>
        <v>972</v>
      </c>
      <c r="E163" s="54"/>
      <c r="F163" s="55">
        <v>0.0</v>
      </c>
      <c r="G163" s="54">
        <v>1.0</v>
      </c>
      <c r="H163" s="54"/>
      <c r="I163" s="54">
        <v>1.0</v>
      </c>
      <c r="J163" s="54">
        <v>0.0</v>
      </c>
      <c r="K163" s="54"/>
      <c r="L163" s="54"/>
      <c r="M163" s="57">
        <f>SUM(F163:F165)</f>
        <v>0</v>
      </c>
      <c r="N163" s="57">
        <f>SUM(I163:I165)+1</f>
        <v>3</v>
      </c>
      <c r="O163" s="59" t="str">
        <f>if ( isblank (E163), E163, E163 + F163*'Control PanelOur Matches'!$K$2 + G163*5 + H163*(1/3) + I163*'Control PanelOur Matches'!$M$2 + J163*50)</f>
        <v/>
      </c>
      <c r="P163" s="59">
        <f t="shared" si="2"/>
        <v>31.66666667</v>
      </c>
      <c r="Q163" s="60">
        <f t="shared" si="3"/>
        <v>972</v>
      </c>
      <c r="R163" s="60" t="str">
        <f t="shared" si="4"/>
        <v>972-4</v>
      </c>
    </row>
    <row r="164" ht="15.0" customHeight="1">
      <c r="A164" s="49">
        <v>161.0</v>
      </c>
      <c r="B164" s="50">
        <v>27.0</v>
      </c>
      <c r="C164" s="52" t="s">
        <v>43</v>
      </c>
      <c r="D164" s="53">
        <f t="array" ref="D164">index('Match Sched'!$C$3:$H753,match(B164,'Match Sched'!$A$3:$A753,0),if(mod(A164,6)=0,6,mod(A164,6)),0)</f>
        <v>687</v>
      </c>
      <c r="E164" s="54"/>
      <c r="F164" s="55">
        <v>0.0</v>
      </c>
      <c r="G164" s="54">
        <v>1.0</v>
      </c>
      <c r="H164" s="54"/>
      <c r="I164" s="54">
        <v>1.0</v>
      </c>
      <c r="J164" s="54">
        <v>0.0</v>
      </c>
      <c r="K164" s="54"/>
      <c r="L164" s="54"/>
      <c r="M164" s="61">
        <f t="shared" ref="M164:N164" si="110">M163</f>
        <v>0</v>
      </c>
      <c r="N164" s="57">
        <f t="shared" si="110"/>
        <v>3</v>
      </c>
      <c r="O164" s="59" t="str">
        <f>if ( isblank (E164), E164, E164 + F164*'Control PanelOur Matches'!$K$2 + G164*5 + H164*(1/3) + I164*'Control PanelOur Matches'!$M$2 + J164*50)</f>
        <v/>
      </c>
      <c r="P164" s="59">
        <f t="shared" si="2"/>
        <v>31.66666667</v>
      </c>
      <c r="Q164" s="60">
        <f t="shared" si="3"/>
        <v>687</v>
      </c>
      <c r="R164" s="60" t="str">
        <f t="shared" si="4"/>
        <v>687-4</v>
      </c>
    </row>
    <row r="165" ht="15.0" customHeight="1">
      <c r="A165" s="49">
        <v>162.0</v>
      </c>
      <c r="B165" s="50">
        <v>27.0</v>
      </c>
      <c r="C165" s="52" t="s">
        <v>44</v>
      </c>
      <c r="D165" s="53">
        <f t="array" ref="D165">index('Match Sched'!$C$3:$H753,match(B165,'Match Sched'!$A$3:$A753,0),if(mod(A165,6)=0,6,mod(A165,6)),0)</f>
        <v>6711</v>
      </c>
      <c r="E165" s="54"/>
      <c r="F165" s="55">
        <v>0.0</v>
      </c>
      <c r="G165" s="54">
        <v>0.0</v>
      </c>
      <c r="H165" s="54"/>
      <c r="I165" s="54">
        <v>0.0</v>
      </c>
      <c r="J165" s="54">
        <v>0.0</v>
      </c>
      <c r="K165" s="54"/>
      <c r="L165" s="54"/>
      <c r="M165" s="62">
        <f t="shared" ref="M165:N165" si="111">M163</f>
        <v>0</v>
      </c>
      <c r="N165" s="57">
        <f t="shared" si="111"/>
        <v>3</v>
      </c>
      <c r="O165" s="59" t="str">
        <f>if ( isblank (E165), E165, E165 + F165*'Control PanelOur Matches'!$K$2 + G165*5 + H165*(1/3) + I165*'Control PanelOur Matches'!$M$2 + J165*50)</f>
        <v/>
      </c>
      <c r="P165" s="59">
        <f t="shared" si="2"/>
        <v>0</v>
      </c>
      <c r="Q165" s="60">
        <f t="shared" si="3"/>
        <v>6711</v>
      </c>
      <c r="R165" s="60" t="str">
        <f t="shared" si="4"/>
        <v>6711-4</v>
      </c>
    </row>
    <row r="166" ht="15.0" customHeight="1">
      <c r="A166" s="65">
        <v>163.0</v>
      </c>
      <c r="B166" s="66">
        <v>28.0</v>
      </c>
      <c r="C166" s="52" t="s">
        <v>39</v>
      </c>
      <c r="D166" s="53">
        <f t="array" ref="D166">index('Match Sched'!$C$3:$H753,match(B166,'Match Sched'!$A$3:$A753,0),if(mod(A166,6)=0,6,mod(A166,6)),0)</f>
        <v>1072</v>
      </c>
      <c r="E166" s="54"/>
      <c r="F166" s="55">
        <v>1.0</v>
      </c>
      <c r="G166" s="67">
        <v>1.0</v>
      </c>
      <c r="H166" s="67"/>
      <c r="I166" s="67">
        <v>3.0</v>
      </c>
      <c r="J166" s="67">
        <v>1.0</v>
      </c>
      <c r="K166" s="67"/>
      <c r="L166" s="67"/>
      <c r="M166" s="57">
        <f>SUM(F166:F168)</f>
        <v>1</v>
      </c>
      <c r="N166" s="57">
        <f>SUM(I166:I168)+1</f>
        <v>5</v>
      </c>
      <c r="O166" s="59" t="str">
        <f>if ( isblank (E166), E166, E166 + F166*'Control PanelOur Matches'!$K$2 + G166*5 + H166*(1/3) + I166*'Control PanelOur Matches'!$M$2 + J166*50)</f>
        <v/>
      </c>
      <c r="P166" s="59">
        <f t="shared" si="2"/>
        <v>139</v>
      </c>
      <c r="Q166" s="60">
        <f t="shared" si="3"/>
        <v>1072</v>
      </c>
      <c r="R166" s="60" t="str">
        <f t="shared" si="4"/>
        <v>1072-4</v>
      </c>
    </row>
    <row r="167" ht="15.0" customHeight="1">
      <c r="A167" s="65">
        <v>164.0</v>
      </c>
      <c r="B167" s="66">
        <v>28.0</v>
      </c>
      <c r="C167" s="69" t="s">
        <v>40</v>
      </c>
      <c r="D167" s="53">
        <f t="array" ref="D167">index('Match Sched'!$C$3:$H753,match(B167,'Match Sched'!$A$3:$A753,0),if(mod(A167,6)=0,6,mod(A167,6)),0)</f>
        <v>4255</v>
      </c>
      <c r="E167" s="54"/>
      <c r="F167" s="55">
        <v>0.0</v>
      </c>
      <c r="G167" s="67">
        <v>1.0</v>
      </c>
      <c r="H167" s="67"/>
      <c r="I167" s="67">
        <v>0.0</v>
      </c>
      <c r="J167" s="67">
        <v>0.0</v>
      </c>
      <c r="K167" s="67"/>
      <c r="L167" s="67"/>
      <c r="M167" s="61">
        <f t="shared" ref="M167:N167" si="112">M166</f>
        <v>1</v>
      </c>
      <c r="N167" s="57">
        <f t="shared" si="112"/>
        <v>5</v>
      </c>
      <c r="O167" s="59" t="str">
        <f>if ( isblank (E167), E167, E167 + F167*'Control PanelOur Matches'!$K$2 + G167*5 + H167*(1/3) + I167*'Control PanelOur Matches'!$M$2 + J167*50)</f>
        <v/>
      </c>
      <c r="P167" s="59">
        <f t="shared" si="2"/>
        <v>5</v>
      </c>
      <c r="Q167" s="60">
        <f t="shared" si="3"/>
        <v>4255</v>
      </c>
      <c r="R167" s="60" t="str">
        <f t="shared" si="4"/>
        <v>4255-4</v>
      </c>
    </row>
    <row r="168" ht="15.0" customHeight="1">
      <c r="A168" s="65">
        <v>165.0</v>
      </c>
      <c r="B168" s="66">
        <v>28.0</v>
      </c>
      <c r="C168" s="52" t="s">
        <v>41</v>
      </c>
      <c r="D168" s="53">
        <f t="array" ref="D168">index('Match Sched'!$C$3:$H753,match(B168,'Match Sched'!$A$3:$A753,0),if(mod(A168,6)=0,6,mod(A168,6)),0)</f>
        <v>2813</v>
      </c>
      <c r="E168" s="54"/>
      <c r="F168" s="55">
        <v>0.0</v>
      </c>
      <c r="G168" s="67">
        <v>0.0</v>
      </c>
      <c r="H168" s="67"/>
      <c r="I168" s="67">
        <v>1.0</v>
      </c>
      <c r="J168" s="67">
        <v>0.0</v>
      </c>
      <c r="K168" s="67"/>
      <c r="L168" s="67"/>
      <c r="M168" s="62">
        <f t="shared" ref="M168:N168" si="113">M166</f>
        <v>1</v>
      </c>
      <c r="N168" s="57">
        <f t="shared" si="113"/>
        <v>5</v>
      </c>
      <c r="O168" s="59" t="str">
        <f>if ( isblank (E168), E168, E168 + F168*'Control PanelOur Matches'!$K$2 + G168*5 + H168*(1/3) + I168*'Control PanelOur Matches'!$M$2 + J168*50)</f>
        <v/>
      </c>
      <c r="P168" s="59">
        <f t="shared" si="2"/>
        <v>8</v>
      </c>
      <c r="Q168" s="60">
        <f t="shared" si="3"/>
        <v>2813</v>
      </c>
      <c r="R168" s="60" t="str">
        <f t="shared" si="4"/>
        <v>2813-4</v>
      </c>
    </row>
    <row r="169" ht="15.0" customHeight="1">
      <c r="A169" s="65">
        <v>166.0</v>
      </c>
      <c r="B169" s="66">
        <v>28.0</v>
      </c>
      <c r="C169" s="52" t="s">
        <v>42</v>
      </c>
      <c r="D169" s="53">
        <f t="array" ref="D169">index('Match Sched'!$C$3:$H753,match(B169,'Match Sched'!$A$3:$A753,0),if(mod(A169,6)=0,6,mod(A169,6)),0)</f>
        <v>973</v>
      </c>
      <c r="E169" s="54"/>
      <c r="F169" s="55">
        <v>0.0</v>
      </c>
      <c r="G169" s="67">
        <v>1.0</v>
      </c>
      <c r="H169" s="67"/>
      <c r="I169" s="67">
        <v>2.0</v>
      </c>
      <c r="J169" s="67">
        <v>1.0</v>
      </c>
      <c r="K169" s="67"/>
      <c r="L169" s="67"/>
      <c r="M169" s="57">
        <f>SUM(F169:F171)</f>
        <v>0</v>
      </c>
      <c r="N169" s="57">
        <f>SUM(I169:I171)+1</f>
        <v>7</v>
      </c>
      <c r="O169" s="59" t="str">
        <f>if ( isblank (E169), E169, E169 + F169*'Control PanelOur Matches'!$K$2 + G169*5 + H169*(1/3) + I169*'Control PanelOur Matches'!$M$2 + J169*50)</f>
        <v/>
      </c>
      <c r="P169" s="59">
        <f t="shared" si="2"/>
        <v>89.28571429</v>
      </c>
      <c r="Q169" s="60">
        <f t="shared" si="3"/>
        <v>973</v>
      </c>
      <c r="R169" s="60" t="str">
        <f t="shared" si="4"/>
        <v>973-4</v>
      </c>
    </row>
    <row r="170" ht="15.0" customHeight="1">
      <c r="A170" s="65">
        <v>167.0</v>
      </c>
      <c r="B170" s="66">
        <v>28.0</v>
      </c>
      <c r="C170" s="52" t="s">
        <v>43</v>
      </c>
      <c r="D170" s="53">
        <f t="array" ref="D170">index('Match Sched'!$C$3:$H753,match(B170,'Match Sched'!$A$3:$A753,0),if(mod(A170,6)=0,6,mod(A170,6)),0)</f>
        <v>6305</v>
      </c>
      <c r="E170" s="54"/>
      <c r="F170" s="55">
        <v>0.0</v>
      </c>
      <c r="G170" s="67">
        <v>0.0</v>
      </c>
      <c r="H170" s="67"/>
      <c r="I170" s="67">
        <v>0.0</v>
      </c>
      <c r="J170" s="67">
        <v>1.0</v>
      </c>
      <c r="K170" s="67"/>
      <c r="L170" s="67"/>
      <c r="M170" s="61">
        <f t="shared" ref="M170:N170" si="114">M169</f>
        <v>0</v>
      </c>
      <c r="N170" s="57">
        <f t="shared" si="114"/>
        <v>7</v>
      </c>
      <c r="O170" s="59" t="str">
        <f>if ( isblank (E170), E170, E170 + F170*'Control PanelOur Matches'!$K$2 + G170*5 + H170*(1/3) + I170*'Control PanelOur Matches'!$M$2 + J170*50)</f>
        <v/>
      </c>
      <c r="P170" s="59">
        <f t="shared" si="2"/>
        <v>50</v>
      </c>
      <c r="Q170" s="60">
        <f t="shared" si="3"/>
        <v>6305</v>
      </c>
      <c r="R170" s="60" t="str">
        <f t="shared" si="4"/>
        <v>6305-4</v>
      </c>
    </row>
    <row r="171" ht="15.0" customHeight="1">
      <c r="A171" s="65">
        <v>168.0</v>
      </c>
      <c r="B171" s="66">
        <v>28.0</v>
      </c>
      <c r="C171" s="68" t="s">
        <v>44</v>
      </c>
      <c r="D171" s="53">
        <f t="array" ref="D171">index('Match Sched'!$C$3:$H753,match(B171,'Match Sched'!$A$3:$A753,0),if(mod(A171,6)=0,6,mod(A171,6)),0)</f>
        <v>1323</v>
      </c>
      <c r="E171" s="54"/>
      <c r="F171" s="55">
        <v>0.0</v>
      </c>
      <c r="G171" s="67">
        <v>1.0</v>
      </c>
      <c r="H171" s="67"/>
      <c r="I171" s="67">
        <v>4.0</v>
      </c>
      <c r="J171" s="67">
        <v>0.0</v>
      </c>
      <c r="K171" s="67"/>
      <c r="L171" s="67"/>
      <c r="M171" s="62">
        <f t="shared" ref="M171:N171" si="115">M169</f>
        <v>0</v>
      </c>
      <c r="N171" s="57">
        <f t="shared" si="115"/>
        <v>7</v>
      </c>
      <c r="O171" s="59" t="str">
        <f>if ( isblank (E171), E171, E171 + F171*'Control PanelOur Matches'!$K$2 + G171*5 + H171*(1/3) + I171*'Control PanelOur Matches'!$M$2 + J171*50)</f>
        <v/>
      </c>
      <c r="P171" s="59">
        <f t="shared" si="2"/>
        <v>73.57142857</v>
      </c>
      <c r="Q171" s="60">
        <f t="shared" si="3"/>
        <v>1323</v>
      </c>
      <c r="R171" s="60" t="str">
        <f t="shared" si="4"/>
        <v>1323-4</v>
      </c>
    </row>
    <row r="172" ht="15.0" customHeight="1">
      <c r="A172" s="49">
        <v>169.0</v>
      </c>
      <c r="B172" s="50">
        <v>29.0</v>
      </c>
      <c r="C172" s="52" t="s">
        <v>39</v>
      </c>
      <c r="D172" s="53">
        <f t="array" ref="D172">index('Match Sched'!$C$3:$H753,match(B172,'Match Sched'!$A$3:$A753,0),if(mod(A172,6)=0,6,mod(A172,6)),0)</f>
        <v>4415</v>
      </c>
      <c r="E172" s="54"/>
      <c r="F172" s="55">
        <v>0.0</v>
      </c>
      <c r="G172" s="54">
        <v>1.0</v>
      </c>
      <c r="H172" s="54"/>
      <c r="I172" s="54">
        <v>3.0</v>
      </c>
      <c r="J172" s="54">
        <v>0.0</v>
      </c>
      <c r="K172" s="54"/>
      <c r="L172" s="54"/>
      <c r="M172" s="57">
        <f>SUM(F172:F174)</f>
        <v>0</v>
      </c>
      <c r="N172" s="57">
        <f>SUM(I172:I174)+1</f>
        <v>5</v>
      </c>
      <c r="O172" s="59" t="str">
        <f>if ( isblank (E172), E172, E172 + F172*'Control PanelOur Matches'!$K$2 + G172*5 + H172*(1/3) + I172*'Control PanelOur Matches'!$M$2 + J172*50)</f>
        <v/>
      </c>
      <c r="P172" s="59">
        <f t="shared" si="2"/>
        <v>53</v>
      </c>
      <c r="Q172" s="60">
        <f t="shared" si="3"/>
        <v>4415</v>
      </c>
      <c r="R172" s="60" t="str">
        <f t="shared" si="4"/>
        <v>4415-4</v>
      </c>
    </row>
    <row r="173" ht="15.0" customHeight="1">
      <c r="A173" s="49">
        <v>170.0</v>
      </c>
      <c r="B173" s="50">
        <v>29.0</v>
      </c>
      <c r="C173" s="52" t="s">
        <v>40</v>
      </c>
      <c r="D173" s="53">
        <f t="array" ref="D173">index('Match Sched'!$C$3:$H753,match(B173,'Match Sched'!$A$3:$A753,0),if(mod(A173,6)=0,6,mod(A173,6)),0)</f>
        <v>5134</v>
      </c>
      <c r="E173" s="54"/>
      <c r="F173" s="55">
        <v>0.0</v>
      </c>
      <c r="G173" s="54">
        <v>1.0</v>
      </c>
      <c r="H173" s="54"/>
      <c r="I173" s="54">
        <v>0.0</v>
      </c>
      <c r="J173" s="54">
        <v>0.0</v>
      </c>
      <c r="K173" s="54"/>
      <c r="L173" s="54"/>
      <c r="M173" s="61">
        <f t="shared" ref="M173:N173" si="116">M172</f>
        <v>0</v>
      </c>
      <c r="N173" s="57">
        <f t="shared" si="116"/>
        <v>5</v>
      </c>
      <c r="O173" s="59" t="str">
        <f>if ( isblank (E173), E173, E173 + F173*'Control PanelOur Matches'!$K$2 + G173*5 + H173*(1/3) + I173*'Control PanelOur Matches'!$M$2 + J173*50)</f>
        <v/>
      </c>
      <c r="P173" s="59">
        <f t="shared" si="2"/>
        <v>5</v>
      </c>
      <c r="Q173" s="60">
        <f t="shared" si="3"/>
        <v>5134</v>
      </c>
      <c r="R173" s="60" t="str">
        <f t="shared" si="4"/>
        <v>5134-4</v>
      </c>
    </row>
    <row r="174" ht="15.0" customHeight="1">
      <c r="A174" s="49">
        <v>171.0</v>
      </c>
      <c r="B174" s="50">
        <v>29.0</v>
      </c>
      <c r="C174" s="52" t="s">
        <v>41</v>
      </c>
      <c r="D174" s="53">
        <f t="array" ref="D174">index('Match Sched'!$C$3:$H753,match(B174,'Match Sched'!$A$3:$A753,0),if(mod(A174,6)=0,6,mod(A174,6)),0)</f>
        <v>6619</v>
      </c>
      <c r="E174" s="54"/>
      <c r="F174" s="55">
        <v>0.0</v>
      </c>
      <c r="G174" s="54">
        <v>1.0</v>
      </c>
      <c r="H174" s="54"/>
      <c r="I174" s="54">
        <v>1.0</v>
      </c>
      <c r="J174" s="54">
        <v>0.0</v>
      </c>
      <c r="K174" s="54"/>
      <c r="L174" s="54"/>
      <c r="M174" s="62">
        <f t="shared" ref="M174:N174" si="117">M172</f>
        <v>0</v>
      </c>
      <c r="N174" s="57">
        <f t="shared" si="117"/>
        <v>5</v>
      </c>
      <c r="O174" s="59" t="str">
        <f>if ( isblank (E174), E174, E174 + F174*'Control PanelOur Matches'!$K$2 + G174*5 + H174*(1/3) + I174*'Control PanelOur Matches'!$M$2 + J174*50)</f>
        <v/>
      </c>
      <c r="P174" s="59">
        <f t="shared" si="2"/>
        <v>21</v>
      </c>
      <c r="Q174" s="60">
        <f t="shared" si="3"/>
        <v>6619</v>
      </c>
      <c r="R174" s="60" t="str">
        <f t="shared" si="4"/>
        <v>6619-4</v>
      </c>
    </row>
    <row r="175" ht="15.0" customHeight="1">
      <c r="A175" s="49">
        <v>172.0</v>
      </c>
      <c r="B175" s="50">
        <v>29.0</v>
      </c>
      <c r="C175" s="52" t="s">
        <v>42</v>
      </c>
      <c r="D175" s="53">
        <f t="array" ref="D175">index('Match Sched'!$C$3:$H753,match(B175,'Match Sched'!$A$3:$A753,0),if(mod(A175,6)=0,6,mod(A175,6)),0)</f>
        <v>2643</v>
      </c>
      <c r="E175" s="54"/>
      <c r="F175" s="55">
        <v>0.0</v>
      </c>
      <c r="G175" s="54">
        <v>1.0</v>
      </c>
      <c r="H175" s="54"/>
      <c r="I175" s="54">
        <v>0.0</v>
      </c>
      <c r="J175" s="54">
        <v>0.0</v>
      </c>
      <c r="K175" s="54"/>
      <c r="L175" s="54"/>
      <c r="M175" s="57">
        <f>SUM(F175:F177)</f>
        <v>0</v>
      </c>
      <c r="N175" s="57">
        <f>SUM(I175:I177)+1</f>
        <v>3</v>
      </c>
      <c r="O175" s="59" t="str">
        <f>if ( isblank (E175), E175, E175 + F175*'Control PanelOur Matches'!$K$2 + G175*5 + H175*(1/3) + I175*'Control PanelOur Matches'!$M$2 + J175*50)</f>
        <v/>
      </c>
      <c r="P175" s="59">
        <f t="shared" si="2"/>
        <v>5</v>
      </c>
      <c r="Q175" s="60">
        <f t="shared" si="3"/>
        <v>2643</v>
      </c>
      <c r="R175" s="60" t="str">
        <f t="shared" si="4"/>
        <v>2643-4</v>
      </c>
    </row>
    <row r="176" ht="15.0" customHeight="1">
      <c r="A176" s="49">
        <v>173.0</v>
      </c>
      <c r="B176" s="50">
        <v>29.0</v>
      </c>
      <c r="C176" s="52" t="s">
        <v>43</v>
      </c>
      <c r="D176" s="53">
        <f t="array" ref="D176">index('Match Sched'!$C$3:$H753,match(B176,'Match Sched'!$A$3:$A753,0),if(mod(A176,6)=0,6,mod(A176,6)),0)</f>
        <v>3303</v>
      </c>
      <c r="E176" s="54"/>
      <c r="F176" s="55">
        <v>0.0</v>
      </c>
      <c r="G176" s="54">
        <v>1.0</v>
      </c>
      <c r="H176" s="54"/>
      <c r="I176" s="54">
        <v>0.0</v>
      </c>
      <c r="J176" s="54">
        <v>0.0</v>
      </c>
      <c r="K176" s="54"/>
      <c r="L176" s="54"/>
      <c r="M176" s="61">
        <f t="shared" ref="M176:N176" si="118">M175</f>
        <v>0</v>
      </c>
      <c r="N176" s="57">
        <f t="shared" si="118"/>
        <v>3</v>
      </c>
      <c r="O176" s="59" t="str">
        <f>if ( isblank (E176), E176, E176 + F176*'Control PanelOur Matches'!$K$2 + G176*5 + H176*(1/3) + I176*'Control PanelOur Matches'!$M$2 + J176*50)</f>
        <v/>
      </c>
      <c r="P176" s="59">
        <f t="shared" si="2"/>
        <v>5</v>
      </c>
      <c r="Q176" s="60">
        <f t="shared" si="3"/>
        <v>3303</v>
      </c>
      <c r="R176" s="60" t="str">
        <f t="shared" si="4"/>
        <v>3303-4</v>
      </c>
    </row>
    <row r="177" ht="15.0" customHeight="1">
      <c r="A177" s="49">
        <v>174.0</v>
      </c>
      <c r="B177" s="50">
        <v>29.0</v>
      </c>
      <c r="C177" s="52" t="s">
        <v>44</v>
      </c>
      <c r="D177" s="53">
        <f t="array" ref="D177">index('Match Sched'!$C$3:$H753,match(B177,'Match Sched'!$A$3:$A753,0),if(mod(A177,6)=0,6,mod(A177,6)),0)</f>
        <v>5104</v>
      </c>
      <c r="E177" s="54"/>
      <c r="F177" s="55">
        <v>0.0</v>
      </c>
      <c r="G177" s="54">
        <v>1.0</v>
      </c>
      <c r="H177" s="54"/>
      <c r="I177" s="54">
        <v>2.0</v>
      </c>
      <c r="J177" s="54">
        <v>1.0</v>
      </c>
      <c r="K177" s="54"/>
      <c r="L177" s="54"/>
      <c r="M177" s="62">
        <f t="shared" ref="M177:N177" si="119">M175</f>
        <v>0</v>
      </c>
      <c r="N177" s="57">
        <f t="shared" si="119"/>
        <v>3</v>
      </c>
      <c r="O177" s="59" t="str">
        <f>if ( isblank (E177), E177, E177 + F177*'Control PanelOur Matches'!$K$2 + G177*5 + H177*(1/3) + I177*'Control PanelOur Matches'!$M$2 + J177*50)</f>
        <v/>
      </c>
      <c r="P177" s="59">
        <f t="shared" si="2"/>
        <v>108.3333333</v>
      </c>
      <c r="Q177" s="60">
        <f t="shared" si="3"/>
        <v>5104</v>
      </c>
      <c r="R177" s="60" t="str">
        <f t="shared" si="4"/>
        <v>5104-4</v>
      </c>
    </row>
    <row r="178" ht="15.0" customHeight="1">
      <c r="A178" s="65">
        <v>175.0</v>
      </c>
      <c r="B178" s="66">
        <v>30.0</v>
      </c>
      <c r="C178" s="52" t="s">
        <v>39</v>
      </c>
      <c r="D178" s="53">
        <f t="array" ref="D178">index('Match Sched'!$C$3:$H753,match(B178,'Match Sched'!$A$3:$A753,0),if(mod(A178,6)=0,6,mod(A178,6)),0)</f>
        <v>6657</v>
      </c>
      <c r="E178" s="54"/>
      <c r="F178" s="55">
        <v>0.0</v>
      </c>
      <c r="G178" s="67">
        <v>0.0</v>
      </c>
      <c r="H178" s="67"/>
      <c r="I178" s="67">
        <v>2.0</v>
      </c>
      <c r="J178" s="67">
        <v>0.0</v>
      </c>
      <c r="K178" s="67"/>
      <c r="L178" s="67"/>
      <c r="M178" s="57">
        <f>SUM(F178:F180)</f>
        <v>0</v>
      </c>
      <c r="N178" s="57">
        <f>SUM(I178:I180)+1</f>
        <v>4</v>
      </c>
      <c r="O178" s="59" t="str">
        <f>if ( isblank (E178), E178, E178 + F178*'Control PanelOur Matches'!$K$2 + G178*5 + H178*(1/3) + I178*'Control PanelOur Matches'!$M$2 + J178*50)</f>
        <v/>
      </c>
      <c r="P178" s="59">
        <f t="shared" si="2"/>
        <v>40</v>
      </c>
      <c r="Q178" s="60">
        <f t="shared" si="3"/>
        <v>6657</v>
      </c>
      <c r="R178" s="60" t="str">
        <f t="shared" si="4"/>
        <v>6657-4</v>
      </c>
    </row>
    <row r="179" ht="15.0" customHeight="1">
      <c r="A179" s="65">
        <v>176.0</v>
      </c>
      <c r="B179" s="66">
        <v>30.0</v>
      </c>
      <c r="C179" s="52" t="s">
        <v>40</v>
      </c>
      <c r="D179" s="53">
        <f t="array" ref="D179">index('Match Sched'!$C$3:$H753,match(B179,'Match Sched'!$A$3:$A753,0),if(mod(A179,6)=0,6,mod(A179,6)),0)</f>
        <v>6059</v>
      </c>
      <c r="E179" s="54"/>
      <c r="F179" s="55">
        <v>0.0</v>
      </c>
      <c r="G179" s="67">
        <v>0.0</v>
      </c>
      <c r="H179" s="67"/>
      <c r="I179" s="67">
        <v>0.0</v>
      </c>
      <c r="J179" s="67">
        <v>0.0</v>
      </c>
      <c r="K179" s="67"/>
      <c r="L179" s="67"/>
      <c r="M179" s="61">
        <f t="shared" ref="M179:N179" si="120">M178</f>
        <v>0</v>
      </c>
      <c r="N179" s="57">
        <f t="shared" si="120"/>
        <v>4</v>
      </c>
      <c r="O179" s="59" t="str">
        <f>if ( isblank (E179), E179, E179 + F179*'Control PanelOur Matches'!$K$2 + G179*5 + H179*(1/3) + I179*'Control PanelOur Matches'!$M$2 + J179*50)</f>
        <v/>
      </c>
      <c r="P179" s="59">
        <f t="shared" si="2"/>
        <v>0</v>
      </c>
      <c r="Q179" s="60">
        <f t="shared" si="3"/>
        <v>6059</v>
      </c>
      <c r="R179" s="60" t="str">
        <f t="shared" si="4"/>
        <v>6059-4</v>
      </c>
    </row>
    <row r="180" ht="15.0" customHeight="1">
      <c r="A180" s="65">
        <v>177.0</v>
      </c>
      <c r="B180" s="66">
        <v>30.0</v>
      </c>
      <c r="C180" s="52" t="s">
        <v>41</v>
      </c>
      <c r="D180" s="53">
        <f t="array" ref="D180">index('Match Sched'!$C$3:$H753,match(B180,'Match Sched'!$A$3:$A753,0),if(mod(A180,6)=0,6,mod(A180,6)),0)</f>
        <v>852</v>
      </c>
      <c r="E180" s="54"/>
      <c r="F180" s="55">
        <v>0.0</v>
      </c>
      <c r="G180" s="67">
        <v>1.0</v>
      </c>
      <c r="H180" s="67"/>
      <c r="I180" s="67">
        <v>1.0</v>
      </c>
      <c r="J180" s="67">
        <v>1.0</v>
      </c>
      <c r="K180" s="67"/>
      <c r="L180" s="67"/>
      <c r="M180" s="62">
        <f t="shared" ref="M180:N180" si="121">M178</f>
        <v>0</v>
      </c>
      <c r="N180" s="57">
        <f t="shared" si="121"/>
        <v>4</v>
      </c>
      <c r="O180" s="59" t="str">
        <f>if ( isblank (E180), E180, E180 + F180*'Control PanelOur Matches'!$K$2 + G180*5 + H180*(1/3) + I180*'Control PanelOur Matches'!$M$2 + J180*50)</f>
        <v/>
      </c>
      <c r="P180" s="59">
        <f t="shared" si="2"/>
        <v>75</v>
      </c>
      <c r="Q180" s="60">
        <f t="shared" si="3"/>
        <v>852</v>
      </c>
      <c r="R180" s="60" t="str">
        <f t="shared" si="4"/>
        <v>852-4</v>
      </c>
    </row>
    <row r="181" ht="15.0" customHeight="1">
      <c r="A181" s="65">
        <v>178.0</v>
      </c>
      <c r="B181" s="66">
        <v>30.0</v>
      </c>
      <c r="C181" s="52" t="s">
        <v>42</v>
      </c>
      <c r="D181" s="53">
        <f t="array" ref="D181">index('Match Sched'!$C$3:$H753,match(B181,'Match Sched'!$A$3:$A753,0),if(mod(A181,6)=0,6,mod(A181,6)),0)</f>
        <v>1422</v>
      </c>
      <c r="E181" s="54"/>
      <c r="F181" s="55">
        <v>0.0</v>
      </c>
      <c r="G181" s="67">
        <v>0.0</v>
      </c>
      <c r="H181" s="67"/>
      <c r="I181" s="67">
        <v>1.0</v>
      </c>
      <c r="J181" s="67">
        <v>0.0</v>
      </c>
      <c r="K181" s="67"/>
      <c r="L181" s="67"/>
      <c r="M181" s="57">
        <f>SUM(F181:F183)</f>
        <v>0</v>
      </c>
      <c r="N181" s="57">
        <f>SUM(I181:I183)+1</f>
        <v>3</v>
      </c>
      <c r="O181" s="59" t="str">
        <f>if ( isblank (E181), E181, E181 + F181*'Control PanelOur Matches'!$K$2 + G181*5 + H181*(1/3) + I181*'Control PanelOur Matches'!$M$2 + J181*50)</f>
        <v/>
      </c>
      <c r="P181" s="59">
        <f t="shared" si="2"/>
        <v>26.66666667</v>
      </c>
      <c r="Q181" s="60">
        <f t="shared" si="3"/>
        <v>1422</v>
      </c>
      <c r="R181" s="60" t="str">
        <f t="shared" si="4"/>
        <v>1422-4</v>
      </c>
    </row>
    <row r="182" ht="15.0" customHeight="1">
      <c r="A182" s="65">
        <v>179.0</v>
      </c>
      <c r="B182" s="66">
        <v>30.0</v>
      </c>
      <c r="C182" s="52" t="s">
        <v>43</v>
      </c>
      <c r="D182" s="53">
        <f t="array" ref="D182">index('Match Sched'!$C$3:$H753,match(B182,'Match Sched'!$A$3:$A753,0),if(mod(A182,6)=0,6,mod(A182,6)),0)</f>
        <v>1662</v>
      </c>
      <c r="E182" s="54"/>
      <c r="F182" s="55">
        <v>0.0</v>
      </c>
      <c r="G182" s="67">
        <v>1.0</v>
      </c>
      <c r="H182" s="67"/>
      <c r="I182" s="67">
        <v>0.0</v>
      </c>
      <c r="J182" s="67">
        <v>0.0</v>
      </c>
      <c r="K182" s="67"/>
      <c r="L182" s="67"/>
      <c r="M182" s="61">
        <f t="shared" ref="M182:N182" si="122">M181</f>
        <v>0</v>
      </c>
      <c r="N182" s="57">
        <f t="shared" si="122"/>
        <v>3</v>
      </c>
      <c r="O182" s="59" t="str">
        <f>if ( isblank (E182), E182, E182 + F182*'Control PanelOur Matches'!$K$2 + G182*5 + H182*(1/3) + I182*'Control PanelOur Matches'!$M$2 + J182*50)</f>
        <v/>
      </c>
      <c r="P182" s="59">
        <f t="shared" si="2"/>
        <v>5</v>
      </c>
      <c r="Q182" s="60">
        <f t="shared" si="3"/>
        <v>1662</v>
      </c>
      <c r="R182" s="60" t="str">
        <f t="shared" si="4"/>
        <v>1662-4</v>
      </c>
    </row>
    <row r="183" ht="15.0" customHeight="1">
      <c r="A183" s="65">
        <v>180.0</v>
      </c>
      <c r="B183" s="66">
        <v>30.0</v>
      </c>
      <c r="C183" s="68" t="s">
        <v>44</v>
      </c>
      <c r="D183" s="53">
        <f t="array" ref="D183">index('Match Sched'!$C$3:$H753,match(B183,'Match Sched'!$A$3:$A753,0),if(mod(A183,6)=0,6,mod(A183,6)),0)</f>
        <v>6699</v>
      </c>
      <c r="E183" s="54"/>
      <c r="F183" s="55">
        <v>0.0</v>
      </c>
      <c r="G183" s="67">
        <v>1.0</v>
      </c>
      <c r="H183" s="67"/>
      <c r="I183" s="67">
        <v>1.0</v>
      </c>
      <c r="J183" s="67">
        <v>1.0</v>
      </c>
      <c r="K183" s="67"/>
      <c r="L183" s="67"/>
      <c r="M183" s="62">
        <f t="shared" ref="M183:N183" si="123">M181</f>
        <v>0</v>
      </c>
      <c r="N183" s="57">
        <f t="shared" si="123"/>
        <v>3</v>
      </c>
      <c r="O183" s="59" t="str">
        <f>if ( isblank (E183), E183, E183 + F183*'Control PanelOur Matches'!$K$2 + G183*5 + H183*(1/3) + I183*'Control PanelOur Matches'!$M$2 + J183*50)</f>
        <v/>
      </c>
      <c r="P183" s="59">
        <f t="shared" si="2"/>
        <v>81.66666667</v>
      </c>
      <c r="Q183" s="60">
        <f t="shared" si="3"/>
        <v>6699</v>
      </c>
      <c r="R183" s="60" t="str">
        <f t="shared" si="4"/>
        <v>6699-4</v>
      </c>
    </row>
    <row r="184" ht="15.0" customHeight="1">
      <c r="A184" s="49">
        <v>181.0</v>
      </c>
      <c r="B184" s="50">
        <v>31.0</v>
      </c>
      <c r="C184" s="52" t="s">
        <v>39</v>
      </c>
      <c r="D184" s="53">
        <f t="array" ref="D184">index('Match Sched'!$C$3:$H753,match(B184,'Match Sched'!$A$3:$A753,0),if(mod(A184,6)=0,6,mod(A184,6)),0)</f>
        <v>4276</v>
      </c>
      <c r="E184" s="54"/>
      <c r="F184" s="55">
        <v>0.0</v>
      </c>
      <c r="G184" s="54">
        <v>1.0</v>
      </c>
      <c r="H184" s="54"/>
      <c r="I184" s="54">
        <v>4.0</v>
      </c>
      <c r="J184" s="54">
        <v>0.0</v>
      </c>
      <c r="K184" s="54"/>
      <c r="L184" s="54"/>
      <c r="M184" s="57">
        <f>SUM(F184:F186)</f>
        <v>0</v>
      </c>
      <c r="N184" s="57">
        <f>SUM(I184:I186)+1</f>
        <v>6</v>
      </c>
      <c r="O184" s="59" t="str">
        <f>if ( isblank (E184), E184, E184 + F184*'Control PanelOur Matches'!$K$2 + G184*5 + H184*(1/3) + I184*'Control PanelOur Matches'!$M$2 + J184*50)</f>
        <v/>
      </c>
      <c r="P184" s="59">
        <f t="shared" si="2"/>
        <v>58.33333333</v>
      </c>
      <c r="Q184" s="60">
        <f t="shared" si="3"/>
        <v>4276</v>
      </c>
      <c r="R184" s="60" t="str">
        <f t="shared" si="4"/>
        <v>4276-4</v>
      </c>
    </row>
    <row r="185" ht="15.0" customHeight="1">
      <c r="A185" s="49">
        <v>182.0</v>
      </c>
      <c r="B185" s="50">
        <v>31.0</v>
      </c>
      <c r="C185" s="52" t="s">
        <v>40</v>
      </c>
      <c r="D185" s="53">
        <f t="array" ref="D185">index('Match Sched'!$C$3:$H753,match(B185,'Match Sched'!$A$3:$A753,0),if(mod(A185,6)=0,6,mod(A185,6)),0)</f>
        <v>5817</v>
      </c>
      <c r="E185" s="54"/>
      <c r="F185" s="55">
        <v>0.0</v>
      </c>
      <c r="G185" s="54">
        <v>0.0</v>
      </c>
      <c r="H185" s="54"/>
      <c r="I185" s="54">
        <v>1.0</v>
      </c>
      <c r="J185" s="54">
        <v>1.0</v>
      </c>
      <c r="K185" s="54"/>
      <c r="L185" s="54"/>
      <c r="M185" s="61">
        <f t="shared" ref="M185:N185" si="124">M184</f>
        <v>0</v>
      </c>
      <c r="N185" s="57">
        <f t="shared" si="124"/>
        <v>6</v>
      </c>
      <c r="O185" s="59" t="str">
        <f>if ( isblank (E185), E185, E185 + F185*'Control PanelOur Matches'!$K$2 + G185*5 + H185*(1/3) + I185*'Control PanelOur Matches'!$M$2 + J185*50)</f>
        <v/>
      </c>
      <c r="P185" s="59">
        <f t="shared" si="2"/>
        <v>63.33333333</v>
      </c>
      <c r="Q185" s="60">
        <f t="shared" si="3"/>
        <v>5817</v>
      </c>
      <c r="R185" s="60" t="str">
        <f t="shared" si="4"/>
        <v>5817-4</v>
      </c>
    </row>
    <row r="186" ht="15.0" customHeight="1">
      <c r="A186" s="49">
        <v>183.0</v>
      </c>
      <c r="B186" s="50">
        <v>31.0</v>
      </c>
      <c r="C186" s="52" t="s">
        <v>41</v>
      </c>
      <c r="D186" s="53">
        <f t="array" ref="D186">index('Match Sched'!$C$3:$H753,match(B186,'Match Sched'!$A$3:$A753,0),if(mod(A186,6)=0,6,mod(A186,6)),0)</f>
        <v>5852</v>
      </c>
      <c r="E186" s="54"/>
      <c r="F186" s="55">
        <v>0.0</v>
      </c>
      <c r="G186" s="54">
        <v>1.0</v>
      </c>
      <c r="H186" s="54"/>
      <c r="I186" s="54">
        <v>0.0</v>
      </c>
      <c r="J186" s="54">
        <v>0.0</v>
      </c>
      <c r="K186" s="54"/>
      <c r="L186" s="54"/>
      <c r="M186" s="62">
        <f t="shared" ref="M186:N186" si="125">M184</f>
        <v>0</v>
      </c>
      <c r="N186" s="57">
        <f t="shared" si="125"/>
        <v>6</v>
      </c>
      <c r="O186" s="59" t="str">
        <f>if ( isblank (E186), E186, E186 + F186*'Control PanelOur Matches'!$K$2 + G186*5 + H186*(1/3) + I186*'Control PanelOur Matches'!$M$2 + J186*50)</f>
        <v/>
      </c>
      <c r="P186" s="59">
        <f t="shared" si="2"/>
        <v>5</v>
      </c>
      <c r="Q186" s="60">
        <f t="shared" si="3"/>
        <v>5852</v>
      </c>
      <c r="R186" s="60" t="str">
        <f t="shared" si="4"/>
        <v>5852-4</v>
      </c>
    </row>
    <row r="187" ht="15.0" customHeight="1">
      <c r="A187" s="49">
        <v>184.0</v>
      </c>
      <c r="B187" s="50">
        <v>31.0</v>
      </c>
      <c r="C187" s="52" t="s">
        <v>42</v>
      </c>
      <c r="D187" s="53">
        <f t="array" ref="D187">index('Match Sched'!$C$3:$H753,match(B187,'Match Sched'!$A$3:$A753,0),if(mod(A187,6)=0,6,mod(A187,6)),0)</f>
        <v>3045</v>
      </c>
      <c r="E187" s="54"/>
      <c r="F187" s="55">
        <v>0.0</v>
      </c>
      <c r="G187" s="54">
        <v>0.0</v>
      </c>
      <c r="H187" s="54"/>
      <c r="I187" s="54">
        <v>0.0</v>
      </c>
      <c r="J187" s="54">
        <v>0.0</v>
      </c>
      <c r="K187" s="54"/>
      <c r="L187" s="54"/>
      <c r="M187" s="57">
        <f>SUM(F187:F189)</f>
        <v>0</v>
      </c>
      <c r="N187" s="57">
        <f>SUM(I187:I189)+1</f>
        <v>5</v>
      </c>
      <c r="O187" s="59" t="str">
        <f>if ( isblank (E187), E187, E187 + F187*'Control PanelOur Matches'!$K$2 + G187*5 + H187*(1/3) + I187*'Control PanelOur Matches'!$M$2 + J187*50)</f>
        <v/>
      </c>
      <c r="P187" s="59">
        <f t="shared" si="2"/>
        <v>0</v>
      </c>
      <c r="Q187" s="60">
        <f t="shared" si="3"/>
        <v>3045</v>
      </c>
      <c r="R187" s="60" t="str">
        <f t="shared" si="4"/>
        <v>3045-4</v>
      </c>
    </row>
    <row r="188" ht="15.0" customHeight="1">
      <c r="A188" s="49">
        <v>185.0</v>
      </c>
      <c r="B188" s="50">
        <v>31.0</v>
      </c>
      <c r="C188" s="52" t="s">
        <v>43</v>
      </c>
      <c r="D188" s="53">
        <f t="array" ref="D188">index('Match Sched'!$C$3:$H753,match(B188,'Match Sched'!$A$3:$A753,0),if(mod(A188,6)=0,6,mod(A188,6)),0)</f>
        <v>1678</v>
      </c>
      <c r="E188" s="54"/>
      <c r="F188" s="55">
        <v>0.0</v>
      </c>
      <c r="G188" s="54">
        <v>1.0</v>
      </c>
      <c r="H188" s="54"/>
      <c r="I188" s="54">
        <v>3.0</v>
      </c>
      <c r="J188" s="54">
        <v>0.0</v>
      </c>
      <c r="K188" s="54"/>
      <c r="L188" s="54"/>
      <c r="M188" s="61">
        <f t="shared" ref="M188:N188" si="126">M187</f>
        <v>0</v>
      </c>
      <c r="N188" s="57">
        <f t="shared" si="126"/>
        <v>5</v>
      </c>
      <c r="O188" s="59" t="str">
        <f>if ( isblank (E188), E188, E188 + F188*'Control PanelOur Matches'!$K$2 + G188*5 + H188*(1/3) + I188*'Control PanelOur Matches'!$M$2 + J188*50)</f>
        <v/>
      </c>
      <c r="P188" s="59">
        <f t="shared" si="2"/>
        <v>53</v>
      </c>
      <c r="Q188" s="60">
        <f t="shared" si="3"/>
        <v>1678</v>
      </c>
      <c r="R188" s="60" t="str">
        <f t="shared" si="4"/>
        <v>1678-4</v>
      </c>
    </row>
    <row r="189" ht="15.0" customHeight="1">
      <c r="A189" s="49">
        <v>186.0</v>
      </c>
      <c r="B189" s="50">
        <v>31.0</v>
      </c>
      <c r="C189" s="52" t="s">
        <v>44</v>
      </c>
      <c r="D189" s="53">
        <f t="array" ref="D189">index('Match Sched'!$C$3:$H753,match(B189,'Match Sched'!$A$3:$A753,0),if(mod(A189,6)=0,6,mod(A189,6)),0)</f>
        <v>1868</v>
      </c>
      <c r="E189" s="54"/>
      <c r="F189" s="55">
        <v>0.0</v>
      </c>
      <c r="G189" s="54">
        <v>1.0</v>
      </c>
      <c r="H189" s="54"/>
      <c r="I189" s="54">
        <v>1.0</v>
      </c>
      <c r="J189" s="54">
        <v>1.0</v>
      </c>
      <c r="K189" s="54"/>
      <c r="L189" s="54"/>
      <c r="M189" s="62">
        <f t="shared" ref="M189:N189" si="127">M187</f>
        <v>0</v>
      </c>
      <c r="N189" s="57">
        <f t="shared" si="127"/>
        <v>5</v>
      </c>
      <c r="O189" s="59" t="str">
        <f>if ( isblank (E189), E189, E189 + F189*'Control PanelOur Matches'!$K$2 + G189*5 + H189*(1/3) + I189*'Control PanelOur Matches'!$M$2 + J189*50)</f>
        <v/>
      </c>
      <c r="P189" s="59">
        <f t="shared" si="2"/>
        <v>71</v>
      </c>
      <c r="Q189" s="60">
        <f t="shared" si="3"/>
        <v>1868</v>
      </c>
      <c r="R189" s="60" t="str">
        <f t="shared" si="4"/>
        <v>1868-4</v>
      </c>
    </row>
    <row r="190" ht="15.0" customHeight="1">
      <c r="A190" s="65">
        <v>187.0</v>
      </c>
      <c r="B190" s="66">
        <v>32.0</v>
      </c>
      <c r="C190" s="52" t="s">
        <v>39</v>
      </c>
      <c r="D190" s="53">
        <f t="array" ref="D190">index('Match Sched'!$C$3:$H753,match(B190,'Match Sched'!$A$3:$A753,0),if(mod(A190,6)=0,6,mod(A190,6)),0)</f>
        <v>4643</v>
      </c>
      <c r="E190" s="54"/>
      <c r="F190" s="55">
        <v>0.0</v>
      </c>
      <c r="G190" s="67">
        <v>1.0</v>
      </c>
      <c r="H190" s="67"/>
      <c r="I190" s="67">
        <v>4.0</v>
      </c>
      <c r="J190" s="67">
        <v>0.0</v>
      </c>
      <c r="K190" s="67"/>
      <c r="L190" s="67"/>
      <c r="M190" s="57">
        <f>SUM(F190:F192)</f>
        <v>0</v>
      </c>
      <c r="N190" s="57">
        <f>SUM(I190:I192)+1</f>
        <v>7</v>
      </c>
      <c r="O190" s="59" t="str">
        <f>if ( isblank (E190), E190, E190 + F190*'Control PanelOur Matches'!$K$2 + G190*5 + H190*(1/3) + I190*'Control PanelOur Matches'!$M$2 + J190*50)</f>
        <v/>
      </c>
      <c r="P190" s="59">
        <f t="shared" si="2"/>
        <v>73.57142857</v>
      </c>
      <c r="Q190" s="60">
        <f t="shared" si="3"/>
        <v>4643</v>
      </c>
      <c r="R190" s="60" t="str">
        <f t="shared" si="4"/>
        <v>4643-5</v>
      </c>
    </row>
    <row r="191" ht="15.0" customHeight="1">
      <c r="A191" s="65">
        <v>188.0</v>
      </c>
      <c r="B191" s="66">
        <v>32.0</v>
      </c>
      <c r="C191" s="69" t="s">
        <v>40</v>
      </c>
      <c r="D191" s="53">
        <f t="array" ref="D191">index('Match Sched'!$C$3:$H753,match(B191,'Match Sched'!$A$3:$A753,0),if(mod(A191,6)=0,6,mod(A191,6)),0)</f>
        <v>980</v>
      </c>
      <c r="E191" s="54"/>
      <c r="F191" s="55">
        <v>0.0</v>
      </c>
      <c r="G191" s="67">
        <v>1.0</v>
      </c>
      <c r="H191" s="67"/>
      <c r="I191" s="67">
        <v>0.0</v>
      </c>
      <c r="J191" s="67">
        <v>0.0</v>
      </c>
      <c r="K191" s="67"/>
      <c r="L191" s="67"/>
      <c r="M191" s="61">
        <f t="shared" ref="M191:N191" si="128">M190</f>
        <v>0</v>
      </c>
      <c r="N191" s="57">
        <f t="shared" si="128"/>
        <v>7</v>
      </c>
      <c r="O191" s="59" t="str">
        <f>if ( isblank (E191), E191, E191 + F191*'Control PanelOur Matches'!$K$2 + G191*5 + H191*(1/3) + I191*'Control PanelOur Matches'!$M$2 + J191*50)</f>
        <v/>
      </c>
      <c r="P191" s="59">
        <f t="shared" si="2"/>
        <v>5</v>
      </c>
      <c r="Q191" s="60">
        <f t="shared" si="3"/>
        <v>980</v>
      </c>
      <c r="R191" s="60" t="str">
        <f t="shared" si="4"/>
        <v>980-4</v>
      </c>
    </row>
    <row r="192" ht="15.0" customHeight="1">
      <c r="A192" s="65">
        <v>189.0</v>
      </c>
      <c r="B192" s="66">
        <v>32.0</v>
      </c>
      <c r="C192" s="52" t="s">
        <v>41</v>
      </c>
      <c r="D192" s="53">
        <f t="array" ref="D192">index('Match Sched'!$C$3:$H753,match(B192,'Match Sched'!$A$3:$A753,0),if(mod(A192,6)=0,6,mod(A192,6)),0)</f>
        <v>1323</v>
      </c>
      <c r="E192" s="54"/>
      <c r="F192" s="55">
        <v>0.0</v>
      </c>
      <c r="G192" s="67">
        <v>1.0</v>
      </c>
      <c r="H192" s="67"/>
      <c r="I192" s="67">
        <v>2.0</v>
      </c>
      <c r="J192" s="67">
        <v>0.0</v>
      </c>
      <c r="K192" s="67"/>
      <c r="L192" s="67"/>
      <c r="M192" s="62">
        <f t="shared" ref="M192:N192" si="129">M190</f>
        <v>0</v>
      </c>
      <c r="N192" s="57">
        <f t="shared" si="129"/>
        <v>7</v>
      </c>
      <c r="O192" s="59" t="str">
        <f>if ( isblank (E192), E192, E192 + F192*'Control PanelOur Matches'!$K$2 + G192*5 + H192*(1/3) + I192*'Control PanelOur Matches'!$M$2 + J192*50)</f>
        <v/>
      </c>
      <c r="P192" s="59">
        <f t="shared" si="2"/>
        <v>39.28571429</v>
      </c>
      <c r="Q192" s="60">
        <f t="shared" si="3"/>
        <v>1323</v>
      </c>
      <c r="R192" s="60" t="str">
        <f t="shared" si="4"/>
        <v>1323-5</v>
      </c>
    </row>
    <row r="193" ht="15.0" customHeight="1">
      <c r="A193" s="65">
        <v>190.0</v>
      </c>
      <c r="B193" s="66">
        <v>32.0</v>
      </c>
      <c r="C193" s="52" t="s">
        <v>42</v>
      </c>
      <c r="D193" s="53">
        <f t="array" ref="D193">index('Match Sched'!$C$3:$H753,match(B193,'Match Sched'!$A$3:$A753,0),if(mod(A193,6)=0,6,mod(A193,6)),0)</f>
        <v>294</v>
      </c>
      <c r="E193" s="54"/>
      <c r="F193" s="55">
        <v>1.0</v>
      </c>
      <c r="G193" s="67">
        <v>1.0</v>
      </c>
      <c r="H193" s="67"/>
      <c r="I193" s="67">
        <v>0.0</v>
      </c>
      <c r="J193" s="67">
        <v>1.0</v>
      </c>
      <c r="K193" s="67"/>
      <c r="L193" s="67"/>
      <c r="M193" s="57">
        <f>SUM(F193:F195)</f>
        <v>1</v>
      </c>
      <c r="N193" s="57">
        <f>SUM(I193:I195)+1</f>
        <v>3</v>
      </c>
      <c r="O193" s="59" t="str">
        <f>if ( isblank (E193), E193, E193 + F193*'Control PanelOur Matches'!$K$2 + G193*5 + H193*(1/3) + I193*'Control PanelOur Matches'!$M$2 + J193*50)</f>
        <v/>
      </c>
      <c r="P193" s="59">
        <f t="shared" si="2"/>
        <v>115</v>
      </c>
      <c r="Q193" s="60">
        <f t="shared" si="3"/>
        <v>294</v>
      </c>
      <c r="R193" s="60" t="str">
        <f t="shared" si="4"/>
        <v>294-5</v>
      </c>
    </row>
    <row r="194" ht="15.0" customHeight="1">
      <c r="A194" s="65">
        <v>191.0</v>
      </c>
      <c r="B194" s="66">
        <v>32.0</v>
      </c>
      <c r="C194" s="52" t="s">
        <v>43</v>
      </c>
      <c r="D194" s="53">
        <f t="array" ref="D194">index('Match Sched'!$C$3:$H753,match(B194,'Match Sched'!$A$3:$A753,0),if(mod(A194,6)=0,6,mod(A194,6)),0)</f>
        <v>2367</v>
      </c>
      <c r="E194" s="54"/>
      <c r="F194" s="55">
        <v>0.0</v>
      </c>
      <c r="G194" s="67">
        <v>0.0</v>
      </c>
      <c r="H194" s="67"/>
      <c r="I194" s="67">
        <v>0.0</v>
      </c>
      <c r="J194" s="67">
        <v>0.0</v>
      </c>
      <c r="K194" s="67"/>
      <c r="L194" s="67"/>
      <c r="M194" s="61">
        <f t="shared" ref="M194:N194" si="130">M193</f>
        <v>1</v>
      </c>
      <c r="N194" s="57">
        <f t="shared" si="130"/>
        <v>3</v>
      </c>
      <c r="O194" s="59" t="str">
        <f>if ( isblank (E194), E194, E194 + F194*'Control PanelOur Matches'!$K$2 + G194*5 + H194*(1/3) + I194*'Control PanelOur Matches'!$M$2 + J194*50)</f>
        <v/>
      </c>
      <c r="P194" s="59">
        <f t="shared" si="2"/>
        <v>0</v>
      </c>
      <c r="Q194" s="60">
        <f t="shared" si="3"/>
        <v>2367</v>
      </c>
      <c r="R194" s="60" t="str">
        <f t="shared" si="4"/>
        <v>2367-5</v>
      </c>
    </row>
    <row r="195" ht="15.0" customHeight="1">
      <c r="A195" s="65">
        <v>192.0</v>
      </c>
      <c r="B195" s="66">
        <v>32.0</v>
      </c>
      <c r="C195" s="68" t="s">
        <v>44</v>
      </c>
      <c r="D195" s="53">
        <f t="array" ref="D195">index('Match Sched'!$C$3:$H753,match(B195,'Match Sched'!$A$3:$A753,0),if(mod(A195,6)=0,6,mod(A195,6)),0)</f>
        <v>2135</v>
      </c>
      <c r="E195" s="54"/>
      <c r="F195" s="55">
        <v>0.0</v>
      </c>
      <c r="G195" s="67">
        <v>0.0</v>
      </c>
      <c r="H195" s="67"/>
      <c r="I195" s="67">
        <v>2.0</v>
      </c>
      <c r="J195" s="67">
        <v>1.0</v>
      </c>
      <c r="K195" s="67"/>
      <c r="L195" s="67"/>
      <c r="M195" s="62">
        <f t="shared" ref="M195:N195" si="131">M193</f>
        <v>1</v>
      </c>
      <c r="N195" s="57">
        <f t="shared" si="131"/>
        <v>3</v>
      </c>
      <c r="O195" s="59" t="str">
        <f>if ( isblank (E195), E195, E195 + F195*'Control PanelOur Matches'!$K$2 + G195*5 + H195*(1/3) + I195*'Control PanelOur Matches'!$M$2 + J195*50)</f>
        <v/>
      </c>
      <c r="P195" s="59">
        <f t="shared" si="2"/>
        <v>76.66666667</v>
      </c>
      <c r="Q195" s="60">
        <f t="shared" si="3"/>
        <v>2135</v>
      </c>
      <c r="R195" s="60" t="str">
        <f t="shared" si="4"/>
        <v>2135-4</v>
      </c>
    </row>
    <row r="196" ht="15.0" customHeight="1">
      <c r="A196" s="49">
        <v>193.0</v>
      </c>
      <c r="B196" s="50">
        <v>33.0</v>
      </c>
      <c r="C196" s="52" t="s">
        <v>39</v>
      </c>
      <c r="D196" s="53">
        <f t="array" ref="D196">index('Match Sched'!$C$3:$H753,match(B196,'Match Sched'!$A$3:$A753,0),if(mod(A196,6)=0,6,mod(A196,6)),0)</f>
        <v>2493</v>
      </c>
      <c r="E196" s="54"/>
      <c r="F196" s="55">
        <v>0.0</v>
      </c>
      <c r="G196" s="54">
        <v>1.0</v>
      </c>
      <c r="H196" s="54"/>
      <c r="I196" s="54">
        <v>1.0</v>
      </c>
      <c r="J196" s="54">
        <v>0.0</v>
      </c>
      <c r="K196" s="54"/>
      <c r="L196" s="54"/>
      <c r="M196" s="57">
        <f>SUM(F196:F198)</f>
        <v>0</v>
      </c>
      <c r="N196" s="57">
        <f>SUM(I196:I198)+1</f>
        <v>5</v>
      </c>
      <c r="O196" s="59" t="str">
        <f>if ( isblank (E196), E196, E196 + F196*'Control PanelOur Matches'!$K$2 + G196*5 + H196*(1/3) + I196*'Control PanelOur Matches'!$M$2 + J196*50)</f>
        <v/>
      </c>
      <c r="P196" s="59">
        <f t="shared" si="2"/>
        <v>21</v>
      </c>
      <c r="Q196" s="60">
        <f t="shared" si="3"/>
        <v>2493</v>
      </c>
      <c r="R196" s="60" t="str">
        <f t="shared" si="4"/>
        <v>2493-5</v>
      </c>
    </row>
    <row r="197" ht="15.0" customHeight="1">
      <c r="A197" s="49">
        <v>194.0</v>
      </c>
      <c r="B197" s="50">
        <v>33.0</v>
      </c>
      <c r="C197" s="52" t="s">
        <v>40</v>
      </c>
      <c r="D197" s="53">
        <f t="array" ref="D197">index('Match Sched'!$C$3:$H753,match(B197,'Match Sched'!$A$3:$A753,0),if(mod(A197,6)=0,6,mod(A197,6)),0)</f>
        <v>670</v>
      </c>
      <c r="E197" s="54"/>
      <c r="F197" s="55">
        <v>0.0</v>
      </c>
      <c r="G197" s="54">
        <v>1.0</v>
      </c>
      <c r="H197" s="54"/>
      <c r="I197" s="54">
        <v>0.0</v>
      </c>
      <c r="J197" s="54">
        <v>0.0</v>
      </c>
      <c r="K197" s="54"/>
      <c r="L197" s="54"/>
      <c r="M197" s="61">
        <f t="shared" ref="M197:N197" si="132">M196</f>
        <v>0</v>
      </c>
      <c r="N197" s="57">
        <f t="shared" si="132"/>
        <v>5</v>
      </c>
      <c r="O197" s="59" t="str">
        <f>if ( isblank (E197), E197, E197 + F197*'Control PanelOur Matches'!$K$2 + G197*5 + H197*(1/3) + I197*'Control PanelOur Matches'!$M$2 + J197*50)</f>
        <v/>
      </c>
      <c r="P197" s="59">
        <f t="shared" si="2"/>
        <v>5</v>
      </c>
      <c r="Q197" s="60">
        <f t="shared" si="3"/>
        <v>670</v>
      </c>
      <c r="R197" s="60" t="str">
        <f t="shared" si="4"/>
        <v>670-5</v>
      </c>
    </row>
    <row r="198" ht="15.0" customHeight="1">
      <c r="A198" s="49">
        <v>195.0</v>
      </c>
      <c r="B198" s="50">
        <v>33.0</v>
      </c>
      <c r="C198" s="52" t="s">
        <v>41</v>
      </c>
      <c r="D198" s="53">
        <f t="array" ref="D198">index('Match Sched'!$C$3:$H753,match(B198,'Match Sched'!$A$3:$A753,0),if(mod(A198,6)=0,6,mod(A198,6)),0)</f>
        <v>6657</v>
      </c>
      <c r="E198" s="54"/>
      <c r="F198" s="55">
        <v>0.0</v>
      </c>
      <c r="G198" s="54">
        <v>0.0</v>
      </c>
      <c r="H198" s="54"/>
      <c r="I198" s="54">
        <v>3.0</v>
      </c>
      <c r="J198" s="54">
        <v>0.0</v>
      </c>
      <c r="K198" s="54"/>
      <c r="L198" s="54"/>
      <c r="M198" s="62">
        <f t="shared" ref="M198:N198" si="133">M196</f>
        <v>0</v>
      </c>
      <c r="N198" s="57">
        <f t="shared" si="133"/>
        <v>5</v>
      </c>
      <c r="O198" s="59" t="str">
        <f>if ( isblank (E198), E198, E198 + F198*'Control PanelOur Matches'!$K$2 + G198*5 + H198*(1/3) + I198*'Control PanelOur Matches'!$M$2 + J198*50)</f>
        <v/>
      </c>
      <c r="P198" s="59">
        <f t="shared" si="2"/>
        <v>48</v>
      </c>
      <c r="Q198" s="60">
        <f t="shared" si="3"/>
        <v>6657</v>
      </c>
      <c r="R198" s="60" t="str">
        <f t="shared" si="4"/>
        <v>6657-5</v>
      </c>
    </row>
    <row r="199" ht="15.0" customHeight="1">
      <c r="A199" s="49">
        <v>196.0</v>
      </c>
      <c r="B199" s="50">
        <v>33.0</v>
      </c>
      <c r="C199" s="52" t="s">
        <v>42</v>
      </c>
      <c r="D199" s="53">
        <f t="array" ref="D199">index('Match Sched'!$C$3:$H753,match(B199,'Match Sched'!$A$3:$A753,0),if(mod(A199,6)=0,6,mod(A199,6)),0)</f>
        <v>751</v>
      </c>
      <c r="E199" s="54"/>
      <c r="F199" s="55">
        <v>0.0</v>
      </c>
      <c r="G199" s="54">
        <v>1.0</v>
      </c>
      <c r="H199" s="54"/>
      <c r="I199" s="54">
        <v>2.0</v>
      </c>
      <c r="J199" s="54">
        <v>1.0</v>
      </c>
      <c r="K199" s="54"/>
      <c r="L199" s="54"/>
      <c r="M199" s="57">
        <f>SUM(F199:F201)</f>
        <v>0</v>
      </c>
      <c r="N199" s="57">
        <f>SUM(I199:I201)+1</f>
        <v>5</v>
      </c>
      <c r="O199" s="59" t="str">
        <f>if ( isblank (E199), E199, E199 + F199*'Control PanelOur Matches'!$K$2 + G199*5 + H199*(1/3) + I199*'Control PanelOur Matches'!$M$2 + J199*50)</f>
        <v/>
      </c>
      <c r="P199" s="59">
        <f t="shared" si="2"/>
        <v>87</v>
      </c>
      <c r="Q199" s="60">
        <f t="shared" si="3"/>
        <v>751</v>
      </c>
      <c r="R199" s="60" t="str">
        <f t="shared" si="4"/>
        <v>751-5</v>
      </c>
    </row>
    <row r="200" ht="15.0" customHeight="1">
      <c r="A200" s="49">
        <v>197.0</v>
      </c>
      <c r="B200" s="50">
        <v>33.0</v>
      </c>
      <c r="C200" s="52" t="s">
        <v>43</v>
      </c>
      <c r="D200" s="53">
        <f t="array" ref="D200">index('Match Sched'!$C$3:$H753,match(B200,'Match Sched'!$A$3:$A753,0),if(mod(A200,6)=0,6,mod(A200,6)),0)</f>
        <v>5677</v>
      </c>
      <c r="E200" s="54"/>
      <c r="F200" s="55">
        <v>0.0</v>
      </c>
      <c r="G200" s="54">
        <v>0.0</v>
      </c>
      <c r="H200" s="54"/>
      <c r="I200" s="54">
        <v>2.0</v>
      </c>
      <c r="J200" s="54">
        <v>0.0</v>
      </c>
      <c r="K200" s="54"/>
      <c r="L200" s="54"/>
      <c r="M200" s="61">
        <f t="shared" ref="M200:N200" si="134">M199</f>
        <v>0</v>
      </c>
      <c r="N200" s="57">
        <f t="shared" si="134"/>
        <v>5</v>
      </c>
      <c r="O200" s="59" t="str">
        <f>if ( isblank (E200), E200, E200 + F200*'Control PanelOur Matches'!$K$2 + G200*5 + H200*(1/3) + I200*'Control PanelOur Matches'!$M$2 + J200*50)</f>
        <v/>
      </c>
      <c r="P200" s="59">
        <f t="shared" si="2"/>
        <v>32</v>
      </c>
      <c r="Q200" s="60">
        <f t="shared" si="3"/>
        <v>5677</v>
      </c>
      <c r="R200" s="60" t="str">
        <f t="shared" si="4"/>
        <v>5677-5</v>
      </c>
    </row>
    <row r="201" ht="15.0" customHeight="1">
      <c r="A201" s="49">
        <v>198.0</v>
      </c>
      <c r="B201" s="50">
        <v>33.0</v>
      </c>
      <c r="C201" s="52" t="s">
        <v>44</v>
      </c>
      <c r="D201" s="53">
        <f t="array" ref="D201">index('Match Sched'!$C$3:$H753,match(B201,'Match Sched'!$A$3:$A753,0),if(mod(A201,6)=0,6,mod(A201,6)),0)</f>
        <v>5134</v>
      </c>
      <c r="E201" s="54"/>
      <c r="F201" s="55">
        <v>0.0</v>
      </c>
      <c r="G201" s="54">
        <v>0.0</v>
      </c>
      <c r="H201" s="54"/>
      <c r="I201" s="54">
        <v>0.0</v>
      </c>
      <c r="J201" s="54">
        <v>0.0</v>
      </c>
      <c r="K201" s="54"/>
      <c r="L201" s="54"/>
      <c r="M201" s="62">
        <f t="shared" ref="M201:N201" si="135">M199</f>
        <v>0</v>
      </c>
      <c r="N201" s="57">
        <f t="shared" si="135"/>
        <v>5</v>
      </c>
      <c r="O201" s="59" t="str">
        <f>if ( isblank (E201), E201, E201 + F201*'Control PanelOur Matches'!$K$2 + G201*5 + H201*(1/3) + I201*'Control PanelOur Matches'!$M$2 + J201*50)</f>
        <v/>
      </c>
      <c r="P201" s="59">
        <f t="shared" si="2"/>
        <v>0</v>
      </c>
      <c r="Q201" s="60">
        <f t="shared" si="3"/>
        <v>5134</v>
      </c>
      <c r="R201" s="60" t="str">
        <f t="shared" si="4"/>
        <v>5134-5</v>
      </c>
    </row>
    <row r="202" ht="15.0" customHeight="1">
      <c r="A202" s="65">
        <v>199.0</v>
      </c>
      <c r="B202" s="66">
        <v>34.0</v>
      </c>
      <c r="C202" s="52" t="s">
        <v>39</v>
      </c>
      <c r="D202" s="53">
        <f t="array" ref="D202">index('Match Sched'!$C$3:$H753,match(B202,'Match Sched'!$A$3:$A753,0),if(mod(A202,6)=0,6,mod(A202,6)),0)</f>
        <v>6059</v>
      </c>
      <c r="E202" s="54"/>
      <c r="F202" s="55">
        <v>0.0</v>
      </c>
      <c r="G202" s="67">
        <v>0.0</v>
      </c>
      <c r="H202" s="67"/>
      <c r="I202" s="67">
        <v>0.0</v>
      </c>
      <c r="J202" s="67">
        <v>0.0</v>
      </c>
      <c r="K202" s="67"/>
      <c r="L202" s="67"/>
      <c r="M202" s="57">
        <f>SUM(F202:F204)</f>
        <v>1</v>
      </c>
      <c r="N202" s="57">
        <f>SUM(I202:I204)+1</f>
        <v>2</v>
      </c>
      <c r="O202" s="59" t="str">
        <f>if ( isblank (E202), E202, E202 + F202*'Control PanelOur Matches'!$K$2 + G202*5 + H202*(1/3) + I202*'Control PanelOur Matches'!$M$2 + J202*50)</f>
        <v/>
      </c>
      <c r="P202" s="59">
        <f t="shared" si="2"/>
        <v>0</v>
      </c>
      <c r="Q202" s="60">
        <f t="shared" si="3"/>
        <v>6059</v>
      </c>
      <c r="R202" s="60" t="str">
        <f t="shared" si="4"/>
        <v>6059-5</v>
      </c>
    </row>
    <row r="203" ht="15.0" customHeight="1">
      <c r="A203" s="65">
        <v>200.0</v>
      </c>
      <c r="B203" s="66">
        <v>34.0</v>
      </c>
      <c r="C203" s="52" t="s">
        <v>40</v>
      </c>
      <c r="D203" s="53">
        <f t="array" ref="D203">index('Match Sched'!$C$3:$H753,match(B203,'Match Sched'!$A$3:$A753,0),if(mod(A203,6)=0,6,mod(A203,6)),0)</f>
        <v>6699</v>
      </c>
      <c r="E203" s="54"/>
      <c r="F203" s="55">
        <v>0.0</v>
      </c>
      <c r="G203" s="67">
        <v>1.0</v>
      </c>
      <c r="H203" s="67"/>
      <c r="I203" s="67">
        <v>1.0</v>
      </c>
      <c r="J203" s="67">
        <v>0.0</v>
      </c>
      <c r="K203" s="67"/>
      <c r="L203" s="67"/>
      <c r="M203" s="61">
        <f t="shared" ref="M203:N203" si="136">M202</f>
        <v>1</v>
      </c>
      <c r="N203" s="57">
        <f t="shared" si="136"/>
        <v>2</v>
      </c>
      <c r="O203" s="59" t="str">
        <f>if ( isblank (E203), E203, E203 + F203*'Control PanelOur Matches'!$K$2 + G203*5 + H203*(1/3) + I203*'Control PanelOur Matches'!$M$2 + J203*50)</f>
        <v/>
      </c>
      <c r="P203" s="59">
        <f t="shared" si="2"/>
        <v>25</v>
      </c>
      <c r="Q203" s="60">
        <f t="shared" si="3"/>
        <v>6699</v>
      </c>
      <c r="R203" s="60" t="str">
        <f t="shared" si="4"/>
        <v>6699-5</v>
      </c>
    </row>
    <row r="204" ht="15.0" customHeight="1">
      <c r="A204" s="65">
        <v>201.0</v>
      </c>
      <c r="B204" s="66">
        <v>34.0</v>
      </c>
      <c r="C204" s="52" t="s">
        <v>41</v>
      </c>
      <c r="D204" s="53">
        <f t="array" ref="D204">index('Match Sched'!$C$3:$H753,match(B204,'Match Sched'!$A$3:$A753,0),if(mod(A204,6)=0,6,mod(A204,6)),0)</f>
        <v>3189</v>
      </c>
      <c r="E204" s="54"/>
      <c r="F204" s="55">
        <v>1.0</v>
      </c>
      <c r="G204" s="67">
        <v>1.0</v>
      </c>
      <c r="H204" s="67"/>
      <c r="I204" s="67">
        <v>0.0</v>
      </c>
      <c r="J204" s="67">
        <v>1.0</v>
      </c>
      <c r="K204" s="67"/>
      <c r="L204" s="67"/>
      <c r="M204" s="62">
        <f t="shared" ref="M204:N204" si="137">M202</f>
        <v>1</v>
      </c>
      <c r="N204" s="57">
        <f t="shared" si="137"/>
        <v>2</v>
      </c>
      <c r="O204" s="59" t="str">
        <f>if ( isblank (E204), E204, E204 + F204*'Control PanelOur Matches'!$K$2 + G204*5 + H204*(1/3) + I204*'Control PanelOur Matches'!$M$2 + J204*50)</f>
        <v/>
      </c>
      <c r="P204" s="59">
        <f t="shared" si="2"/>
        <v>115</v>
      </c>
      <c r="Q204" s="60">
        <f t="shared" si="3"/>
        <v>3189</v>
      </c>
      <c r="R204" s="60" t="str">
        <f t="shared" si="4"/>
        <v>3189-5</v>
      </c>
    </row>
    <row r="205" ht="15.0" customHeight="1">
      <c r="A205" s="65">
        <v>202.0</v>
      </c>
      <c r="B205" s="66">
        <v>34.0</v>
      </c>
      <c r="C205" s="52" t="s">
        <v>42</v>
      </c>
      <c r="D205" s="53">
        <f t="array" ref="D205">index('Match Sched'!$C$3:$H753,match(B205,'Match Sched'!$A$3:$A753,0),if(mod(A205,6)=0,6,mod(A205,6)),0)</f>
        <v>6305</v>
      </c>
      <c r="E205" s="54"/>
      <c r="F205" s="55">
        <v>0.0</v>
      </c>
      <c r="G205" s="67">
        <v>0.0</v>
      </c>
      <c r="H205" s="67"/>
      <c r="I205" s="67">
        <v>1.0</v>
      </c>
      <c r="J205" s="67">
        <v>1.0</v>
      </c>
      <c r="K205" s="67"/>
      <c r="L205" s="67"/>
      <c r="M205" s="57">
        <f>SUM(F205:F207)</f>
        <v>1</v>
      </c>
      <c r="N205" s="57">
        <f>SUM(I205:I207)+1</f>
        <v>6</v>
      </c>
      <c r="O205" s="59" t="str">
        <f>if ( isblank (E205), E205, E205 + F205*'Control PanelOur Matches'!$K$2 + G205*5 + H205*(1/3) + I205*'Control PanelOur Matches'!$M$2 + J205*50)</f>
        <v/>
      </c>
      <c r="P205" s="59">
        <f t="shared" si="2"/>
        <v>63.33333333</v>
      </c>
      <c r="Q205" s="60">
        <f t="shared" si="3"/>
        <v>6305</v>
      </c>
      <c r="R205" s="60" t="str">
        <f t="shared" si="4"/>
        <v>6305-5</v>
      </c>
    </row>
    <row r="206" ht="15.0" customHeight="1">
      <c r="A206" s="65">
        <v>203.0</v>
      </c>
      <c r="B206" s="66">
        <v>34.0</v>
      </c>
      <c r="C206" s="52" t="s">
        <v>43</v>
      </c>
      <c r="D206" s="53">
        <f t="array" ref="D206">index('Match Sched'!$C$3:$H753,match(B206,'Match Sched'!$A$3:$A753,0),if(mod(A206,6)=0,6,mod(A206,6)),0)</f>
        <v>3256</v>
      </c>
      <c r="E206" s="54"/>
      <c r="F206" s="55">
        <v>1.0</v>
      </c>
      <c r="G206" s="67">
        <v>1.0</v>
      </c>
      <c r="H206" s="67"/>
      <c r="I206" s="67">
        <v>2.0</v>
      </c>
      <c r="J206" s="67">
        <v>1.0</v>
      </c>
      <c r="K206" s="67"/>
      <c r="L206" s="67"/>
      <c r="M206" s="61">
        <f t="shared" ref="M206:N206" si="138">M205</f>
        <v>1</v>
      </c>
      <c r="N206" s="57">
        <f t="shared" si="138"/>
        <v>6</v>
      </c>
      <c r="O206" s="59" t="str">
        <f>if ( isblank (E206), E206, E206 + F206*'Control PanelOur Matches'!$K$2 + G206*5 + H206*(1/3) + I206*'Control PanelOur Matches'!$M$2 + J206*50)</f>
        <v/>
      </c>
      <c r="P206" s="59">
        <f t="shared" si="2"/>
        <v>141.6666667</v>
      </c>
      <c r="Q206" s="60">
        <f t="shared" si="3"/>
        <v>3256</v>
      </c>
      <c r="R206" s="60" t="str">
        <f t="shared" si="4"/>
        <v>3256-5</v>
      </c>
    </row>
    <row r="207" ht="15.0" customHeight="1">
      <c r="A207" s="65">
        <v>204.0</v>
      </c>
      <c r="B207" s="66">
        <v>34.0</v>
      </c>
      <c r="C207" s="68" t="s">
        <v>44</v>
      </c>
      <c r="D207" s="53">
        <f t="array" ref="D207">index('Match Sched'!$C$3:$H753,match(B207,'Match Sched'!$A$3:$A753,0),if(mod(A207,6)=0,6,mod(A207,6)),0)</f>
        <v>5104</v>
      </c>
      <c r="E207" s="54"/>
      <c r="F207" s="55">
        <v>0.0</v>
      </c>
      <c r="G207" s="67">
        <v>1.0</v>
      </c>
      <c r="H207" s="67"/>
      <c r="I207" s="67">
        <v>2.0</v>
      </c>
      <c r="J207" s="67">
        <v>0.0</v>
      </c>
      <c r="K207" s="67"/>
      <c r="L207" s="67"/>
      <c r="M207" s="62">
        <f t="shared" ref="M207:N207" si="139">M205</f>
        <v>1</v>
      </c>
      <c r="N207" s="57">
        <f t="shared" si="139"/>
        <v>6</v>
      </c>
      <c r="O207" s="59" t="str">
        <f>if ( isblank (E207), E207, E207 + F207*'Control PanelOur Matches'!$K$2 + G207*5 + H207*(1/3) + I207*'Control PanelOur Matches'!$M$2 + J207*50)</f>
        <v/>
      </c>
      <c r="P207" s="59">
        <f t="shared" si="2"/>
        <v>31.66666667</v>
      </c>
      <c r="Q207" s="60">
        <f t="shared" si="3"/>
        <v>5104</v>
      </c>
      <c r="R207" s="60" t="str">
        <f t="shared" si="4"/>
        <v>5104-5</v>
      </c>
    </row>
    <row r="208" ht="15.0" customHeight="1">
      <c r="A208" s="49">
        <v>205.0</v>
      </c>
      <c r="B208" s="50">
        <v>35.0</v>
      </c>
      <c r="C208" s="52" t="s">
        <v>39</v>
      </c>
      <c r="D208" s="53">
        <f t="array" ref="D208">index('Match Sched'!$C$3:$H753,match(B208,'Match Sched'!$A$3:$A753,0),if(mod(A208,6)=0,6,mod(A208,6)),0)</f>
        <v>2813</v>
      </c>
      <c r="E208" s="54"/>
      <c r="F208" s="55">
        <v>0.0</v>
      </c>
      <c r="G208" s="54">
        <v>0.0</v>
      </c>
      <c r="H208" s="54"/>
      <c r="I208" s="54">
        <v>0.0</v>
      </c>
      <c r="J208" s="54">
        <v>0.0</v>
      </c>
      <c r="K208" s="54"/>
      <c r="L208" s="54"/>
      <c r="M208" s="57">
        <f>SUM(F208:F210)</f>
        <v>1</v>
      </c>
      <c r="N208" s="57">
        <f>SUM(I208:I210)+1</f>
        <v>3</v>
      </c>
      <c r="O208" s="59" t="str">
        <f>if ( isblank (E208), E208, E208 + F208*'Control PanelOur Matches'!$K$2 + G208*5 + H208*(1/3) + I208*'Control PanelOur Matches'!$M$2 + J208*50)</f>
        <v/>
      </c>
      <c r="P208" s="59">
        <f t="shared" si="2"/>
        <v>0</v>
      </c>
      <c r="Q208" s="60">
        <f t="shared" si="3"/>
        <v>2813</v>
      </c>
      <c r="R208" s="60" t="str">
        <f t="shared" si="4"/>
        <v>2813-5</v>
      </c>
    </row>
    <row r="209" ht="15.0" customHeight="1">
      <c r="A209" s="49">
        <v>206.0</v>
      </c>
      <c r="B209" s="50">
        <v>35.0</v>
      </c>
      <c r="C209" s="52" t="s">
        <v>40</v>
      </c>
      <c r="D209" s="53">
        <f t="array" ref="D209">index('Match Sched'!$C$3:$H753,match(B209,'Match Sched'!$A$3:$A753,0),if(mod(A209,6)=0,6,mod(A209,6)),0)</f>
        <v>3495</v>
      </c>
      <c r="E209" s="54"/>
      <c r="F209" s="55">
        <v>0.0</v>
      </c>
      <c r="G209" s="54">
        <v>1.0</v>
      </c>
      <c r="H209" s="54"/>
      <c r="I209" s="54">
        <v>0.0</v>
      </c>
      <c r="J209" s="54">
        <v>0.0</v>
      </c>
      <c r="K209" s="54"/>
      <c r="L209" s="54"/>
      <c r="M209" s="61">
        <f t="shared" ref="M209:N209" si="140">M208</f>
        <v>1</v>
      </c>
      <c r="N209" s="57">
        <f t="shared" si="140"/>
        <v>3</v>
      </c>
      <c r="O209" s="59" t="str">
        <f>if ( isblank (E209), E209, E209 + F209*'Control PanelOur Matches'!$K$2 + G209*5 + H209*(1/3) + I209*'Control PanelOur Matches'!$M$2 + J209*50)</f>
        <v/>
      </c>
      <c r="P209" s="59">
        <f t="shared" si="2"/>
        <v>5</v>
      </c>
      <c r="Q209" s="60">
        <f t="shared" si="3"/>
        <v>3495</v>
      </c>
      <c r="R209" s="60" t="str">
        <f t="shared" si="4"/>
        <v>3495-5</v>
      </c>
    </row>
    <row r="210" ht="15.0" customHeight="1">
      <c r="A210" s="49">
        <v>207.0</v>
      </c>
      <c r="B210" s="50">
        <v>35.0</v>
      </c>
      <c r="C210" s="52" t="s">
        <v>41</v>
      </c>
      <c r="D210" s="53">
        <f t="array" ref="D210">index('Match Sched'!$C$3:$H753,match(B210,'Match Sched'!$A$3:$A753,0),if(mod(A210,6)=0,6,mod(A210,6)),0)</f>
        <v>4415</v>
      </c>
      <c r="E210" s="54"/>
      <c r="F210" s="55">
        <v>1.0</v>
      </c>
      <c r="G210" s="54">
        <v>1.0</v>
      </c>
      <c r="H210" s="54"/>
      <c r="I210" s="54">
        <v>2.0</v>
      </c>
      <c r="J210" s="54">
        <v>0.0</v>
      </c>
      <c r="K210" s="54"/>
      <c r="L210" s="54"/>
      <c r="M210" s="62">
        <f t="shared" ref="M210:N210" si="141">M208</f>
        <v>1</v>
      </c>
      <c r="N210" s="57">
        <f t="shared" si="141"/>
        <v>3</v>
      </c>
      <c r="O210" s="59" t="str">
        <f>if ( isblank (E210), E210, E210 + F210*'Control PanelOur Matches'!$K$2 + G210*5 + H210*(1/3) + I210*'Control PanelOur Matches'!$M$2 + J210*50)</f>
        <v/>
      </c>
      <c r="P210" s="59">
        <f t="shared" si="2"/>
        <v>91.66666667</v>
      </c>
      <c r="Q210" s="60">
        <f t="shared" si="3"/>
        <v>4415</v>
      </c>
      <c r="R210" s="60" t="str">
        <f t="shared" si="4"/>
        <v>4415-5</v>
      </c>
    </row>
    <row r="211" ht="15.0" customHeight="1">
      <c r="A211" s="49">
        <v>208.0</v>
      </c>
      <c r="B211" s="50">
        <v>35.0</v>
      </c>
      <c r="C211" s="52" t="s">
        <v>42</v>
      </c>
      <c r="D211" s="53">
        <f t="array" ref="D211">index('Match Sched'!$C$3:$H753,match(B211,'Match Sched'!$A$3:$A753,0),if(mod(A211,6)=0,6,mod(A211,6)),0)</f>
        <v>2135</v>
      </c>
      <c r="E211" s="54"/>
      <c r="F211" s="55">
        <v>0.0</v>
      </c>
      <c r="G211" s="54">
        <v>0.0</v>
      </c>
      <c r="H211" s="54"/>
      <c r="I211" s="54">
        <v>2.0</v>
      </c>
      <c r="J211" s="54">
        <v>1.0</v>
      </c>
      <c r="K211" s="54"/>
      <c r="L211" s="54"/>
      <c r="M211" s="57">
        <f>SUM(F211:F213)</f>
        <v>0</v>
      </c>
      <c r="N211" s="57">
        <f>SUM(I211:I213)+1</f>
        <v>5</v>
      </c>
      <c r="O211" s="59" t="str">
        <f>if ( isblank (E211), E211, E211 + F211*'Control PanelOur Matches'!$K$2 + G211*5 + H211*(1/3) + I211*'Control PanelOur Matches'!$M$2 + J211*50)</f>
        <v/>
      </c>
      <c r="P211" s="59">
        <f t="shared" si="2"/>
        <v>82</v>
      </c>
      <c r="Q211" s="60">
        <f t="shared" si="3"/>
        <v>2135</v>
      </c>
      <c r="R211" s="60" t="str">
        <f t="shared" si="4"/>
        <v>2135-5</v>
      </c>
    </row>
    <row r="212" ht="15.0" customHeight="1">
      <c r="A212" s="49">
        <v>209.0</v>
      </c>
      <c r="B212" s="50">
        <v>35.0</v>
      </c>
      <c r="C212" s="52" t="s">
        <v>43</v>
      </c>
      <c r="D212" s="53">
        <f t="array" ref="D212">index('Match Sched'!$C$3:$H753,match(B212,'Match Sched'!$A$3:$A753,0),if(mod(A212,6)=0,6,mod(A212,6)),0)</f>
        <v>1671</v>
      </c>
      <c r="E212" s="54"/>
      <c r="F212" s="55">
        <v>0.0</v>
      </c>
      <c r="G212" s="54">
        <v>1.0</v>
      </c>
      <c r="H212" s="54"/>
      <c r="I212" s="54">
        <v>1.0</v>
      </c>
      <c r="J212" s="54">
        <v>1.0</v>
      </c>
      <c r="K212" s="54"/>
      <c r="L212" s="54"/>
      <c r="M212" s="61">
        <f t="shared" ref="M212:N212" si="142">M211</f>
        <v>0</v>
      </c>
      <c r="N212" s="57">
        <f t="shared" si="142"/>
        <v>5</v>
      </c>
      <c r="O212" s="59" t="str">
        <f>if ( isblank (E212), E212, E212 + F212*'Control PanelOur Matches'!$K$2 + G212*5 + H212*(1/3) + I212*'Control PanelOur Matches'!$M$2 + J212*50)</f>
        <v/>
      </c>
      <c r="P212" s="59">
        <f t="shared" si="2"/>
        <v>71</v>
      </c>
      <c r="Q212" s="60">
        <f t="shared" si="3"/>
        <v>1671</v>
      </c>
      <c r="R212" s="60" t="str">
        <f t="shared" si="4"/>
        <v>1671-5</v>
      </c>
    </row>
    <row r="213" ht="15.0" customHeight="1">
      <c r="A213" s="49">
        <v>210.0</v>
      </c>
      <c r="B213" s="50">
        <v>35.0</v>
      </c>
      <c r="C213" s="52" t="s">
        <v>44</v>
      </c>
      <c r="D213" s="53">
        <f t="array" ref="D213">index('Match Sched'!$C$3:$H753,match(B213,'Match Sched'!$A$3:$A753,0),if(mod(A213,6)=0,6,mod(A213,6)),0)</f>
        <v>1422</v>
      </c>
      <c r="E213" s="54"/>
      <c r="F213" s="55">
        <v>0.0</v>
      </c>
      <c r="G213" s="54">
        <v>0.0</v>
      </c>
      <c r="H213" s="54"/>
      <c r="I213" s="54">
        <v>1.0</v>
      </c>
      <c r="J213" s="54">
        <v>0.0</v>
      </c>
      <c r="K213" s="54"/>
      <c r="L213" s="54"/>
      <c r="M213" s="62">
        <f t="shared" ref="M213:N213" si="143">M211</f>
        <v>0</v>
      </c>
      <c r="N213" s="57">
        <f t="shared" si="143"/>
        <v>5</v>
      </c>
      <c r="O213" s="59" t="str">
        <f>if ( isblank (E213), E213, E213 + F213*'Control PanelOur Matches'!$K$2 + G213*5 + H213*(1/3) + I213*'Control PanelOur Matches'!$M$2 + J213*50)</f>
        <v/>
      </c>
      <c r="P213" s="59">
        <f t="shared" si="2"/>
        <v>16</v>
      </c>
      <c r="Q213" s="60">
        <f t="shared" si="3"/>
        <v>1422</v>
      </c>
      <c r="R213" s="60" t="str">
        <f t="shared" si="4"/>
        <v>1422-5</v>
      </c>
    </row>
    <row r="214" ht="15.0" customHeight="1">
      <c r="A214" s="65">
        <v>211.0</v>
      </c>
      <c r="B214" s="66">
        <v>36.0</v>
      </c>
      <c r="C214" s="52" t="s">
        <v>39</v>
      </c>
      <c r="D214" s="53">
        <f t="array" ref="D214">index('Match Sched'!$C$3:$H753,match(B214,'Match Sched'!$A$3:$A753,0),if(mod(A214,6)=0,6,mod(A214,6)),0)</f>
        <v>687</v>
      </c>
      <c r="E214" s="54"/>
      <c r="F214" s="55">
        <v>0.0</v>
      </c>
      <c r="G214" s="67">
        <v>0.0</v>
      </c>
      <c r="H214" s="67"/>
      <c r="I214" s="67">
        <v>1.0</v>
      </c>
      <c r="J214" s="67">
        <v>0.0</v>
      </c>
      <c r="K214" s="67"/>
      <c r="L214" s="67"/>
      <c r="M214" s="57">
        <f>SUM(F214:F216)</f>
        <v>2</v>
      </c>
      <c r="N214" s="57">
        <f>SUM(I214:I216)+1</f>
        <v>4</v>
      </c>
      <c r="O214" s="59" t="str">
        <f>if ( isblank (E214), E214, E214 + F214*'Control PanelOur Matches'!$K$2 + G214*5 + H214*(1/3) + I214*'Control PanelOur Matches'!$M$2 + J214*50)</f>
        <v/>
      </c>
      <c r="P214" s="59">
        <f t="shared" si="2"/>
        <v>10</v>
      </c>
      <c r="Q214" s="60">
        <f t="shared" si="3"/>
        <v>687</v>
      </c>
      <c r="R214" s="60" t="str">
        <f t="shared" si="4"/>
        <v>687-5</v>
      </c>
    </row>
    <row r="215" ht="15.0" customHeight="1">
      <c r="A215" s="65">
        <v>212.0</v>
      </c>
      <c r="B215" s="66">
        <v>36.0</v>
      </c>
      <c r="C215" s="69" t="s">
        <v>40</v>
      </c>
      <c r="D215" s="53">
        <f t="array" ref="D215">index('Match Sched'!$C$3:$H753,match(B215,'Match Sched'!$A$3:$A753,0),if(mod(A215,6)=0,6,mod(A215,6)),0)</f>
        <v>4276</v>
      </c>
      <c r="E215" s="54"/>
      <c r="F215" s="55">
        <v>1.0</v>
      </c>
      <c r="G215" s="67">
        <v>1.0</v>
      </c>
      <c r="H215" s="67"/>
      <c r="I215" s="67">
        <v>1.0</v>
      </c>
      <c r="J215" s="67">
        <v>1.0</v>
      </c>
      <c r="K215" s="67"/>
      <c r="L215" s="67"/>
      <c r="M215" s="61">
        <f t="shared" ref="M215:N215" si="144">M214</f>
        <v>2</v>
      </c>
      <c r="N215" s="57">
        <f t="shared" si="144"/>
        <v>4</v>
      </c>
      <c r="O215" s="59" t="str">
        <f>if ( isblank (E215), E215, E215 + F215*'Control PanelOur Matches'!$K$2 + G215*5 + H215*(1/3) + I215*'Control PanelOur Matches'!$M$2 + J215*50)</f>
        <v/>
      </c>
      <c r="P215" s="59">
        <f t="shared" si="2"/>
        <v>95</v>
      </c>
      <c r="Q215" s="60">
        <f t="shared" si="3"/>
        <v>4276</v>
      </c>
      <c r="R215" s="60" t="str">
        <f t="shared" si="4"/>
        <v>4276-5</v>
      </c>
    </row>
    <row r="216" ht="15.0" customHeight="1">
      <c r="A216" s="65">
        <v>213.0</v>
      </c>
      <c r="B216" s="66">
        <v>36.0</v>
      </c>
      <c r="C216" s="52" t="s">
        <v>41</v>
      </c>
      <c r="D216" s="53">
        <f t="array" ref="D216">index('Match Sched'!$C$3:$H753,match(B216,'Match Sched'!$A$3:$A753,0),if(mod(A216,6)=0,6,mod(A216,6)),0)</f>
        <v>1868</v>
      </c>
      <c r="E216" s="54"/>
      <c r="F216" s="55">
        <v>1.0</v>
      </c>
      <c r="G216" s="67">
        <v>1.0</v>
      </c>
      <c r="H216" s="67"/>
      <c r="I216" s="67">
        <v>1.0</v>
      </c>
      <c r="J216" s="67">
        <v>1.0</v>
      </c>
      <c r="K216" s="67"/>
      <c r="L216" s="67"/>
      <c r="M216" s="62">
        <f t="shared" ref="M216:N216" si="145">M214</f>
        <v>2</v>
      </c>
      <c r="N216" s="57">
        <f t="shared" si="145"/>
        <v>4</v>
      </c>
      <c r="O216" s="59" t="str">
        <f>if ( isblank (E216), E216, E216 + F216*'Control PanelOur Matches'!$K$2 + G216*5 + H216*(1/3) + I216*'Control PanelOur Matches'!$M$2 + J216*50)</f>
        <v/>
      </c>
      <c r="P216" s="59">
        <f t="shared" si="2"/>
        <v>95</v>
      </c>
      <c r="Q216" s="60">
        <f t="shared" si="3"/>
        <v>1868</v>
      </c>
      <c r="R216" s="60" t="str">
        <f t="shared" si="4"/>
        <v>1868-5</v>
      </c>
    </row>
    <row r="217" ht="15.0" customHeight="1">
      <c r="A217" s="65">
        <v>214.0</v>
      </c>
      <c r="B217" s="66">
        <v>36.0</v>
      </c>
      <c r="C217" s="52" t="s">
        <v>42</v>
      </c>
      <c r="D217" s="53">
        <f t="array" ref="D217">index('Match Sched'!$C$3:$H753,match(B217,'Match Sched'!$A$3:$A753,0),if(mod(A217,6)=0,6,mod(A217,6)),0)</f>
        <v>3501</v>
      </c>
      <c r="E217" s="54"/>
      <c r="F217" s="55">
        <v>0.0</v>
      </c>
      <c r="G217" s="67">
        <v>0.0</v>
      </c>
      <c r="H217" s="67"/>
      <c r="I217" s="67">
        <v>1.0</v>
      </c>
      <c r="J217" s="67">
        <v>0.0</v>
      </c>
      <c r="K217" s="67"/>
      <c r="L217" s="67"/>
      <c r="M217" s="57">
        <f>SUM(F217:F219)</f>
        <v>0</v>
      </c>
      <c r="N217" s="57">
        <f>SUM(I217:I219)+1</f>
        <v>7</v>
      </c>
      <c r="O217" s="59" t="str">
        <f>if ( isblank (E217), E217, E217 + F217*'Control PanelOur Matches'!$K$2 + G217*5 + H217*(1/3) + I217*'Control PanelOur Matches'!$M$2 + J217*50)</f>
        <v/>
      </c>
      <c r="P217" s="59">
        <f t="shared" si="2"/>
        <v>17.14285714</v>
      </c>
      <c r="Q217" s="60">
        <f t="shared" si="3"/>
        <v>3501</v>
      </c>
      <c r="R217" s="60" t="str">
        <f t="shared" si="4"/>
        <v>3501-5</v>
      </c>
    </row>
    <row r="218" ht="15.0" customHeight="1">
      <c r="A218" s="65">
        <v>215.0</v>
      </c>
      <c r="B218" s="66">
        <v>36.0</v>
      </c>
      <c r="C218" s="52" t="s">
        <v>43</v>
      </c>
      <c r="D218" s="53">
        <f t="array" ref="D218">index('Match Sched'!$C$3:$H753,match(B218,'Match Sched'!$A$3:$A753,0),if(mod(A218,6)=0,6,mod(A218,6)),0)</f>
        <v>3970</v>
      </c>
      <c r="E218" s="54"/>
      <c r="F218" s="55">
        <v>0.0</v>
      </c>
      <c r="G218" s="67">
        <v>1.0</v>
      </c>
      <c r="H218" s="67"/>
      <c r="I218" s="67">
        <v>1.0</v>
      </c>
      <c r="J218" s="67">
        <v>0.0</v>
      </c>
      <c r="K218" s="67"/>
      <c r="L218" s="67"/>
      <c r="M218" s="61">
        <f t="shared" ref="M218:N218" si="146">M217</f>
        <v>0</v>
      </c>
      <c r="N218" s="57">
        <f t="shared" si="146"/>
        <v>7</v>
      </c>
      <c r="O218" s="59" t="str">
        <f>if ( isblank (E218), E218, E218 + F218*'Control PanelOur Matches'!$K$2 + G218*5 + H218*(1/3) + I218*'Control PanelOur Matches'!$M$2 + J218*50)</f>
        <v/>
      </c>
      <c r="P218" s="59">
        <f t="shared" si="2"/>
        <v>22.14285714</v>
      </c>
      <c r="Q218" s="60">
        <f t="shared" si="3"/>
        <v>3970</v>
      </c>
      <c r="R218" s="60" t="str">
        <f t="shared" si="4"/>
        <v>3970-5</v>
      </c>
    </row>
    <row r="219" ht="15.0" customHeight="1">
      <c r="A219" s="65">
        <v>216.0</v>
      </c>
      <c r="B219" s="66">
        <v>36.0</v>
      </c>
      <c r="C219" s="68" t="s">
        <v>44</v>
      </c>
      <c r="D219" s="53">
        <f t="array" ref="D219">index('Match Sched'!$C$3:$H753,match(B219,'Match Sched'!$A$3:$A753,0),if(mod(A219,6)=0,6,mod(A219,6)),0)</f>
        <v>4543</v>
      </c>
      <c r="E219" s="54"/>
      <c r="F219" s="55">
        <v>0.0</v>
      </c>
      <c r="G219" s="67">
        <v>1.0</v>
      </c>
      <c r="H219" s="67"/>
      <c r="I219" s="67">
        <v>4.0</v>
      </c>
      <c r="J219" s="67">
        <v>1.0</v>
      </c>
      <c r="K219" s="67"/>
      <c r="L219" s="67"/>
      <c r="M219" s="62">
        <f t="shared" ref="M219:N219" si="147">M217</f>
        <v>0</v>
      </c>
      <c r="N219" s="57">
        <f t="shared" si="147"/>
        <v>7</v>
      </c>
      <c r="O219" s="59" t="str">
        <f>if ( isblank (E219), E219, E219 + F219*'Control PanelOur Matches'!$K$2 + G219*5 + H219*(1/3) + I219*'Control PanelOur Matches'!$M$2 + J219*50)</f>
        <v/>
      </c>
      <c r="P219" s="59">
        <f t="shared" si="2"/>
        <v>123.5714286</v>
      </c>
      <c r="Q219" s="60">
        <f t="shared" si="3"/>
        <v>4543</v>
      </c>
      <c r="R219" s="60" t="str">
        <f t="shared" si="4"/>
        <v>4543-5</v>
      </c>
    </row>
    <row r="220" ht="15.0" customHeight="1">
      <c r="A220" s="49">
        <v>217.0</v>
      </c>
      <c r="B220" s="50">
        <v>37.0</v>
      </c>
      <c r="C220" s="52" t="s">
        <v>39</v>
      </c>
      <c r="D220" s="53">
        <f t="array" ref="D220">index('Match Sched'!$C$3:$H753,match(B220,'Match Sched'!$A$3:$A753,0),if(mod(A220,6)=0,6,mod(A220,6)),0)</f>
        <v>5817</v>
      </c>
      <c r="E220" s="54"/>
      <c r="F220" s="55">
        <v>0.0</v>
      </c>
      <c r="G220" s="54">
        <v>1.0</v>
      </c>
      <c r="H220" s="54"/>
      <c r="I220" s="54">
        <v>3.0</v>
      </c>
      <c r="J220" s="54">
        <v>1.0</v>
      </c>
      <c r="K220" s="54"/>
      <c r="L220" s="54"/>
      <c r="M220" s="57">
        <f>SUM(F220:F222)</f>
        <v>0</v>
      </c>
      <c r="N220" s="57">
        <f>SUM(I220:I222)+1</f>
        <v>5</v>
      </c>
      <c r="O220" s="59" t="str">
        <f>if ( isblank (E220), E220, E220 + F220*'Control PanelOur Matches'!$K$2 + G220*5 + H220*(1/3) + I220*'Control PanelOur Matches'!$M$2 + J220*50)</f>
        <v/>
      </c>
      <c r="P220" s="59">
        <f t="shared" si="2"/>
        <v>103</v>
      </c>
      <c r="Q220" s="60">
        <f t="shared" si="3"/>
        <v>5817</v>
      </c>
      <c r="R220" s="60" t="str">
        <f t="shared" si="4"/>
        <v>5817-5</v>
      </c>
    </row>
    <row r="221" ht="15.0" customHeight="1">
      <c r="A221" s="49">
        <v>218.0</v>
      </c>
      <c r="B221" s="50">
        <v>37.0</v>
      </c>
      <c r="C221" s="52" t="s">
        <v>40</v>
      </c>
      <c r="D221" s="53">
        <f t="array" ref="D221">index('Match Sched'!$C$3:$H753,match(B221,'Match Sched'!$A$3:$A753,0),if(mod(A221,6)=0,6,mod(A221,6)),0)</f>
        <v>6711</v>
      </c>
      <c r="E221" s="54"/>
      <c r="F221" s="55">
        <v>0.0</v>
      </c>
      <c r="G221" s="54">
        <v>1.0</v>
      </c>
      <c r="H221" s="54"/>
      <c r="I221" s="54">
        <v>0.0</v>
      </c>
      <c r="J221" s="54">
        <v>0.0</v>
      </c>
      <c r="K221" s="54"/>
      <c r="L221" s="54"/>
      <c r="M221" s="61">
        <f t="shared" ref="M221:N221" si="148">M220</f>
        <v>0</v>
      </c>
      <c r="N221" s="57">
        <f t="shared" si="148"/>
        <v>5</v>
      </c>
      <c r="O221" s="59" t="str">
        <f>if ( isblank (E221), E221, E221 + F221*'Control PanelOur Matches'!$K$2 + G221*5 + H221*(1/3) + I221*'Control PanelOur Matches'!$M$2 + J221*50)</f>
        <v/>
      </c>
      <c r="P221" s="59">
        <f t="shared" si="2"/>
        <v>5</v>
      </c>
      <c r="Q221" s="60">
        <f t="shared" si="3"/>
        <v>6711</v>
      </c>
      <c r="R221" s="60" t="str">
        <f t="shared" si="4"/>
        <v>6711-5</v>
      </c>
    </row>
    <row r="222" ht="15.0" customHeight="1">
      <c r="A222" s="49">
        <v>219.0</v>
      </c>
      <c r="B222" s="50">
        <v>37.0</v>
      </c>
      <c r="C222" s="52" t="s">
        <v>41</v>
      </c>
      <c r="D222" s="53">
        <f t="array" ref="D222">index('Match Sched'!$C$3:$H753,match(B222,'Match Sched'!$A$3:$A753,0),if(mod(A222,6)=0,6,mod(A222,6)),0)</f>
        <v>6619</v>
      </c>
      <c r="E222" s="54"/>
      <c r="F222" s="55">
        <v>0.0</v>
      </c>
      <c r="G222" s="54">
        <v>1.0</v>
      </c>
      <c r="H222" s="54"/>
      <c r="I222" s="54">
        <v>1.0</v>
      </c>
      <c r="J222" s="54">
        <v>0.0</v>
      </c>
      <c r="K222" s="54"/>
      <c r="L222" s="54"/>
      <c r="M222" s="62">
        <f t="shared" ref="M222:N222" si="149">M220</f>
        <v>0</v>
      </c>
      <c r="N222" s="57">
        <f t="shared" si="149"/>
        <v>5</v>
      </c>
      <c r="O222" s="59" t="str">
        <f>if ( isblank (E222), E222, E222 + F222*'Control PanelOur Matches'!$K$2 + G222*5 + H222*(1/3) + I222*'Control PanelOur Matches'!$M$2 + J222*50)</f>
        <v/>
      </c>
      <c r="P222" s="59">
        <f t="shared" si="2"/>
        <v>21</v>
      </c>
      <c r="Q222" s="60">
        <f t="shared" si="3"/>
        <v>6619</v>
      </c>
      <c r="R222" s="60" t="str">
        <f t="shared" si="4"/>
        <v>6619-5</v>
      </c>
    </row>
    <row r="223" ht="15.0" customHeight="1">
      <c r="A223" s="49">
        <v>220.0</v>
      </c>
      <c r="B223" s="50">
        <v>37.0</v>
      </c>
      <c r="C223" s="52" t="s">
        <v>42</v>
      </c>
      <c r="D223" s="53">
        <f t="array" ref="D223">index('Match Sched'!$C$3:$H753,match(B223,'Match Sched'!$A$3:$A753,0),if(mod(A223,6)=0,6,mod(A223,6)),0)</f>
        <v>852</v>
      </c>
      <c r="E223" s="54"/>
      <c r="F223" s="55">
        <v>0.0</v>
      </c>
      <c r="G223" s="54">
        <v>1.0</v>
      </c>
      <c r="H223" s="54"/>
      <c r="I223" s="54">
        <v>3.0</v>
      </c>
      <c r="J223" s="54">
        <v>0.0</v>
      </c>
      <c r="K223" s="54"/>
      <c r="L223" s="54"/>
      <c r="M223" s="57">
        <f>SUM(F223:F225)</f>
        <v>0</v>
      </c>
      <c r="N223" s="57">
        <f>SUM(I223:I225)+1</f>
        <v>8</v>
      </c>
      <c r="O223" s="59" t="str">
        <f>if ( isblank (E223), E223, E223 + F223*'Control PanelOur Matches'!$K$2 + G223*5 + H223*(1/3) + I223*'Control PanelOur Matches'!$M$2 + J223*50)</f>
        <v/>
      </c>
      <c r="P223" s="59">
        <f t="shared" si="2"/>
        <v>50</v>
      </c>
      <c r="Q223" s="60">
        <f t="shared" si="3"/>
        <v>852</v>
      </c>
      <c r="R223" s="60" t="str">
        <f t="shared" si="4"/>
        <v>852-5</v>
      </c>
    </row>
    <row r="224" ht="15.0" customHeight="1">
      <c r="A224" s="49">
        <v>221.0</v>
      </c>
      <c r="B224" s="50">
        <v>37.0</v>
      </c>
      <c r="C224" s="52" t="s">
        <v>43</v>
      </c>
      <c r="D224" s="53">
        <f t="array" ref="D224">index('Match Sched'!$C$3:$H753,match(B224,'Match Sched'!$A$3:$A753,0),if(mod(A224,6)=0,6,mod(A224,6)),0)</f>
        <v>2761</v>
      </c>
      <c r="E224" s="54"/>
      <c r="F224" s="55">
        <v>0.0</v>
      </c>
      <c r="G224" s="54">
        <v>0.0</v>
      </c>
      <c r="H224" s="54"/>
      <c r="I224" s="54">
        <v>2.0</v>
      </c>
      <c r="J224" s="54">
        <v>1.0</v>
      </c>
      <c r="K224" s="54"/>
      <c r="L224" s="54"/>
      <c r="M224" s="61">
        <f t="shared" ref="M224:N224" si="150">M223</f>
        <v>0</v>
      </c>
      <c r="N224" s="57">
        <f t="shared" si="150"/>
        <v>8</v>
      </c>
      <c r="O224" s="59" t="str">
        <f>if ( isblank (E224), E224, E224 + F224*'Control PanelOur Matches'!$K$2 + G224*5 + H224*(1/3) + I224*'Control PanelOur Matches'!$M$2 + J224*50)</f>
        <v/>
      </c>
      <c r="P224" s="59">
        <f t="shared" si="2"/>
        <v>80</v>
      </c>
      <c r="Q224" s="60">
        <f t="shared" si="3"/>
        <v>2761</v>
      </c>
      <c r="R224" s="60" t="str">
        <f t="shared" si="4"/>
        <v>2761-5</v>
      </c>
    </row>
    <row r="225" ht="15.0" customHeight="1">
      <c r="A225" s="49">
        <v>222.0</v>
      </c>
      <c r="B225" s="50">
        <v>37.0</v>
      </c>
      <c r="C225" s="52" t="s">
        <v>44</v>
      </c>
      <c r="D225" s="53">
        <f t="array" ref="D225">index('Match Sched'!$C$3:$H753,match(B225,'Match Sched'!$A$3:$A753,0),if(mod(A225,6)=0,6,mod(A225,6)),0)</f>
        <v>980</v>
      </c>
      <c r="E225" s="54"/>
      <c r="F225" s="55">
        <v>0.0</v>
      </c>
      <c r="G225" s="54">
        <v>1.0</v>
      </c>
      <c r="H225" s="54"/>
      <c r="I225" s="54">
        <v>2.0</v>
      </c>
      <c r="J225" s="54">
        <v>0.0</v>
      </c>
      <c r="K225" s="54"/>
      <c r="L225" s="54"/>
      <c r="M225" s="62">
        <f t="shared" ref="M225:N225" si="151">M223</f>
        <v>0</v>
      </c>
      <c r="N225" s="57">
        <f t="shared" si="151"/>
        <v>8</v>
      </c>
      <c r="O225" s="59" t="str">
        <f>if ( isblank (E225), E225, E225 + F225*'Control PanelOur Matches'!$K$2 + G225*5 + H225*(1/3) + I225*'Control PanelOur Matches'!$M$2 + J225*50)</f>
        <v/>
      </c>
      <c r="P225" s="59">
        <f t="shared" si="2"/>
        <v>35</v>
      </c>
      <c r="Q225" s="60">
        <f t="shared" si="3"/>
        <v>980</v>
      </c>
      <c r="R225" s="60" t="str">
        <f t="shared" si="4"/>
        <v>980-5</v>
      </c>
    </row>
    <row r="226" ht="15.0" customHeight="1">
      <c r="A226" s="65">
        <v>223.0</v>
      </c>
      <c r="B226" s="66">
        <v>38.0</v>
      </c>
      <c r="C226" s="52" t="s">
        <v>39</v>
      </c>
      <c r="D226" s="53">
        <f t="array" ref="D226">index('Match Sched'!$C$3:$H753,match(B226,'Match Sched'!$A$3:$A753,0),if(mod(A226,6)=0,6,mod(A226,6)),0)</f>
        <v>1662</v>
      </c>
      <c r="E226" s="54"/>
      <c r="F226" s="55">
        <v>0.0</v>
      </c>
      <c r="G226" s="67">
        <v>1.0</v>
      </c>
      <c r="H226" s="67"/>
      <c r="I226" s="67">
        <v>1.0</v>
      </c>
      <c r="J226" s="67">
        <v>0.0</v>
      </c>
      <c r="K226" s="67"/>
      <c r="L226" s="67"/>
      <c r="M226" s="57">
        <f>SUM(F226:F228)</f>
        <v>0</v>
      </c>
      <c r="N226" s="57">
        <f>SUM(I226:I228)+1</f>
        <v>4</v>
      </c>
      <c r="O226" s="59" t="str">
        <f>if ( isblank (E226), E226, E226 + F226*'Control PanelOur Matches'!$K$2 + G226*5 + H226*(1/3) + I226*'Control PanelOur Matches'!$M$2 + J226*50)</f>
        <v/>
      </c>
      <c r="P226" s="59">
        <f t="shared" si="2"/>
        <v>25</v>
      </c>
      <c r="Q226" s="60">
        <f t="shared" si="3"/>
        <v>1662</v>
      </c>
      <c r="R226" s="60" t="str">
        <f t="shared" si="4"/>
        <v>1662-5</v>
      </c>
    </row>
    <row r="227" ht="15.0" customHeight="1">
      <c r="A227" s="65">
        <v>224.0</v>
      </c>
      <c r="B227" s="66">
        <v>38.0</v>
      </c>
      <c r="C227" s="52" t="s">
        <v>40</v>
      </c>
      <c r="D227" s="53">
        <f t="array" ref="D227">index('Match Sched'!$C$3:$H753,match(B227,'Match Sched'!$A$3:$A753,0),if(mod(A227,6)=0,6,mod(A227,6)),0)</f>
        <v>1388</v>
      </c>
      <c r="E227" s="54"/>
      <c r="F227" s="55">
        <v>0.0</v>
      </c>
      <c r="G227" s="67">
        <v>1.0</v>
      </c>
      <c r="H227" s="67"/>
      <c r="I227" s="67">
        <v>0.0</v>
      </c>
      <c r="J227" s="67">
        <v>1.0</v>
      </c>
      <c r="K227" s="67"/>
      <c r="L227" s="67"/>
      <c r="M227" s="61">
        <f t="shared" ref="M227:N227" si="152">M226</f>
        <v>0</v>
      </c>
      <c r="N227" s="57">
        <f t="shared" si="152"/>
        <v>4</v>
      </c>
      <c r="O227" s="59" t="str">
        <f>if ( isblank (E227), E227, E227 + F227*'Control PanelOur Matches'!$K$2 + G227*5 + H227*(1/3) + I227*'Control PanelOur Matches'!$M$2 + J227*50)</f>
        <v/>
      </c>
      <c r="P227" s="59">
        <f t="shared" si="2"/>
        <v>55</v>
      </c>
      <c r="Q227" s="60">
        <f t="shared" si="3"/>
        <v>1388</v>
      </c>
      <c r="R227" s="60" t="str">
        <f t="shared" si="4"/>
        <v>1388-5</v>
      </c>
    </row>
    <row r="228" ht="15.0" customHeight="1">
      <c r="A228" s="65">
        <v>225.0</v>
      </c>
      <c r="B228" s="66">
        <v>38.0</v>
      </c>
      <c r="C228" s="52" t="s">
        <v>41</v>
      </c>
      <c r="D228" s="53">
        <f t="array" ref="D228">index('Match Sched'!$C$3:$H753,match(B228,'Match Sched'!$A$3:$A753,0),if(mod(A228,6)=0,6,mod(A228,6)),0)</f>
        <v>972</v>
      </c>
      <c r="E228" s="54"/>
      <c r="F228" s="55">
        <v>0.0</v>
      </c>
      <c r="G228" s="67">
        <v>1.0</v>
      </c>
      <c r="H228" s="67"/>
      <c r="I228" s="67">
        <v>2.0</v>
      </c>
      <c r="J228" s="67">
        <v>0.0</v>
      </c>
      <c r="K228" s="67"/>
      <c r="L228" s="67"/>
      <c r="M228" s="62">
        <f t="shared" ref="M228:N228" si="153">M226</f>
        <v>0</v>
      </c>
      <c r="N228" s="57">
        <f t="shared" si="153"/>
        <v>4</v>
      </c>
      <c r="O228" s="59" t="str">
        <f>if ( isblank (E228), E228, E228 + F228*'Control PanelOur Matches'!$K$2 + G228*5 + H228*(1/3) + I228*'Control PanelOur Matches'!$M$2 + J228*50)</f>
        <v/>
      </c>
      <c r="P228" s="59">
        <f t="shared" si="2"/>
        <v>45</v>
      </c>
      <c r="Q228" s="60">
        <f t="shared" si="3"/>
        <v>972</v>
      </c>
      <c r="R228" s="60" t="str">
        <f t="shared" si="4"/>
        <v>972-5</v>
      </c>
    </row>
    <row r="229" ht="15.0" customHeight="1">
      <c r="A229" s="65">
        <v>226.0</v>
      </c>
      <c r="B229" s="66">
        <v>38.0</v>
      </c>
      <c r="C229" s="52" t="s">
        <v>42</v>
      </c>
      <c r="D229" s="53">
        <f t="array" ref="D229">index('Match Sched'!$C$3:$H753,match(B229,'Match Sched'!$A$3:$A753,0),if(mod(A229,6)=0,6,mod(A229,6)),0)</f>
        <v>3303</v>
      </c>
      <c r="E229" s="54"/>
      <c r="F229" s="55">
        <v>0.0</v>
      </c>
      <c r="G229" s="67">
        <v>1.0</v>
      </c>
      <c r="H229" s="67"/>
      <c r="I229" s="67">
        <v>0.0</v>
      </c>
      <c r="J229" s="67">
        <v>1.0</v>
      </c>
      <c r="K229" s="67"/>
      <c r="L229" s="67"/>
      <c r="M229" s="57">
        <f>SUM(F229:F231)</f>
        <v>0</v>
      </c>
      <c r="N229" s="57">
        <f>SUM(I229:I231)+1</f>
        <v>5</v>
      </c>
      <c r="O229" s="59" t="str">
        <f>if ( isblank (E229), E229, E229 + F229*'Control PanelOur Matches'!$K$2 + G229*5 + H229*(1/3) + I229*'Control PanelOur Matches'!$M$2 + J229*50)</f>
        <v/>
      </c>
      <c r="P229" s="59">
        <f t="shared" si="2"/>
        <v>55</v>
      </c>
      <c r="Q229" s="60">
        <f t="shared" si="3"/>
        <v>3303</v>
      </c>
      <c r="R229" s="60" t="str">
        <f t="shared" si="4"/>
        <v>3303-5</v>
      </c>
    </row>
    <row r="230" ht="15.0" customHeight="1">
      <c r="A230" s="65">
        <v>227.0</v>
      </c>
      <c r="B230" s="66">
        <v>38.0</v>
      </c>
      <c r="C230" s="52" t="s">
        <v>43</v>
      </c>
      <c r="D230" s="53">
        <f t="array" ref="D230">index('Match Sched'!$C$3:$H753,match(B230,'Match Sched'!$A$3:$A753,0),if(mod(A230,6)=0,6,mod(A230,6)),0)</f>
        <v>3045</v>
      </c>
      <c r="E230" s="54"/>
      <c r="F230" s="55">
        <v>0.0</v>
      </c>
      <c r="G230" s="67">
        <v>0.0</v>
      </c>
      <c r="H230" s="67"/>
      <c r="I230" s="67">
        <v>0.0</v>
      </c>
      <c r="J230" s="67">
        <v>0.0</v>
      </c>
      <c r="K230" s="67"/>
      <c r="L230" s="67"/>
      <c r="M230" s="61">
        <f t="shared" ref="M230:N230" si="154">M229</f>
        <v>0</v>
      </c>
      <c r="N230" s="57">
        <f t="shared" si="154"/>
        <v>5</v>
      </c>
      <c r="O230" s="59" t="str">
        <f>if ( isblank (E230), E230, E230 + F230*'Control PanelOur Matches'!$K$2 + G230*5 + H230*(1/3) + I230*'Control PanelOur Matches'!$M$2 + J230*50)</f>
        <v/>
      </c>
      <c r="P230" s="59">
        <f t="shared" si="2"/>
        <v>0</v>
      </c>
      <c r="Q230" s="60">
        <f t="shared" si="3"/>
        <v>3045</v>
      </c>
      <c r="R230" s="60" t="str">
        <f t="shared" si="4"/>
        <v>3045-5</v>
      </c>
    </row>
    <row r="231" ht="15.0" customHeight="1">
      <c r="A231" s="65">
        <v>228.0</v>
      </c>
      <c r="B231" s="66">
        <v>38.0</v>
      </c>
      <c r="C231" s="68" t="s">
        <v>44</v>
      </c>
      <c r="D231" s="53">
        <f t="array" ref="D231">index('Match Sched'!$C$3:$H753,match(B231,'Match Sched'!$A$3:$A753,0),if(mod(A231,6)=0,6,mod(A231,6)),0)</f>
        <v>973</v>
      </c>
      <c r="E231" s="54"/>
      <c r="F231" s="55">
        <v>0.0</v>
      </c>
      <c r="G231" s="67">
        <v>1.0</v>
      </c>
      <c r="H231" s="67"/>
      <c r="I231" s="67">
        <v>4.0</v>
      </c>
      <c r="J231" s="67">
        <v>1.0</v>
      </c>
      <c r="K231" s="67"/>
      <c r="L231" s="67"/>
      <c r="M231" s="62">
        <f t="shared" ref="M231:N231" si="155">M229</f>
        <v>0</v>
      </c>
      <c r="N231" s="57">
        <f t="shared" si="155"/>
        <v>5</v>
      </c>
      <c r="O231" s="59" t="str">
        <f>if ( isblank (E231), E231, E231 + F231*'Control PanelOur Matches'!$K$2 + G231*5 + H231*(1/3) + I231*'Control PanelOur Matches'!$M$2 + J231*50)</f>
        <v/>
      </c>
      <c r="P231" s="59">
        <f t="shared" si="2"/>
        <v>119</v>
      </c>
      <c r="Q231" s="60">
        <f t="shared" si="3"/>
        <v>973</v>
      </c>
      <c r="R231" s="60" t="str">
        <f t="shared" si="4"/>
        <v>973-5</v>
      </c>
    </row>
    <row r="232" ht="15.0" customHeight="1">
      <c r="A232" s="49">
        <v>229.0</v>
      </c>
      <c r="B232" s="50">
        <v>39.0</v>
      </c>
      <c r="C232" s="52" t="s">
        <v>39</v>
      </c>
      <c r="D232" s="53">
        <f t="array" ref="D232">index('Match Sched'!$C$3:$H753,match(B232,'Match Sched'!$A$3:$A753,0),if(mod(A232,6)=0,6,mod(A232,6)),0)</f>
        <v>4255</v>
      </c>
      <c r="E232" s="54"/>
      <c r="F232" s="55">
        <v>0.0</v>
      </c>
      <c r="G232" s="54">
        <v>0.0</v>
      </c>
      <c r="H232" s="54"/>
      <c r="I232" s="54">
        <v>1.0</v>
      </c>
      <c r="J232" s="54">
        <v>1.0</v>
      </c>
      <c r="K232" s="54"/>
      <c r="L232" s="54"/>
      <c r="M232" s="57">
        <f>SUM(F232:F234)</f>
        <v>0</v>
      </c>
      <c r="N232" s="57">
        <f>SUM(I232:I234)+1</f>
        <v>2</v>
      </c>
      <c r="O232" s="59" t="str">
        <f>if ( isblank (E232), E232, E232 + F232*'Control PanelOur Matches'!$K$2 + G232*5 + H232*(1/3) + I232*'Control PanelOur Matches'!$M$2 + J232*50)</f>
        <v/>
      </c>
      <c r="P232" s="59">
        <f t="shared" si="2"/>
        <v>70</v>
      </c>
      <c r="Q232" s="60">
        <f t="shared" si="3"/>
        <v>4255</v>
      </c>
      <c r="R232" s="60" t="str">
        <f t="shared" si="4"/>
        <v>4255-5</v>
      </c>
    </row>
    <row r="233" ht="15.0" customHeight="1">
      <c r="A233" s="49">
        <v>230.0</v>
      </c>
      <c r="B233" s="50">
        <v>39.0</v>
      </c>
      <c r="C233" s="52" t="s">
        <v>40</v>
      </c>
      <c r="D233" s="53">
        <f t="array" ref="D233">index('Match Sched'!$C$3:$H753,match(B233,'Match Sched'!$A$3:$A753,0),if(mod(A233,6)=0,6,mod(A233,6)),0)</f>
        <v>2643</v>
      </c>
      <c r="E233" s="54"/>
      <c r="F233" s="55">
        <v>0.0</v>
      </c>
      <c r="G233" s="54">
        <v>1.0</v>
      </c>
      <c r="H233" s="54"/>
      <c r="I233" s="54">
        <v>0.0</v>
      </c>
      <c r="J233" s="54">
        <v>0.0</v>
      </c>
      <c r="K233" s="54"/>
      <c r="L233" s="54"/>
      <c r="M233" s="61">
        <f t="shared" ref="M233:N233" si="156">M232</f>
        <v>0</v>
      </c>
      <c r="N233" s="57">
        <f t="shared" si="156"/>
        <v>2</v>
      </c>
      <c r="O233" s="59" t="str">
        <f>if ( isblank (E233), E233, E233 + F233*'Control PanelOur Matches'!$K$2 + G233*5 + H233*(1/3) + I233*'Control PanelOur Matches'!$M$2 + J233*50)</f>
        <v/>
      </c>
      <c r="P233" s="59">
        <f t="shared" si="2"/>
        <v>5</v>
      </c>
      <c r="Q233" s="60">
        <f t="shared" si="3"/>
        <v>2643</v>
      </c>
      <c r="R233" s="60" t="str">
        <f t="shared" si="4"/>
        <v>2643-5</v>
      </c>
    </row>
    <row r="234" ht="15.0" customHeight="1">
      <c r="A234" s="49">
        <v>231.0</v>
      </c>
      <c r="B234" s="50">
        <v>39.0</v>
      </c>
      <c r="C234" s="52" t="s">
        <v>41</v>
      </c>
      <c r="D234" s="53">
        <f t="array" ref="D234">index('Match Sched'!$C$3:$H753,match(B234,'Match Sched'!$A$3:$A753,0),if(mod(A234,6)=0,6,mod(A234,6)),0)</f>
        <v>6650</v>
      </c>
      <c r="E234" s="54"/>
      <c r="F234" s="55">
        <v>0.0</v>
      </c>
      <c r="G234" s="54">
        <v>1.0</v>
      </c>
      <c r="H234" s="54"/>
      <c r="I234" s="54">
        <v>0.0</v>
      </c>
      <c r="J234" s="54">
        <v>0.0</v>
      </c>
      <c r="K234" s="54"/>
      <c r="L234" s="54"/>
      <c r="M234" s="62">
        <f t="shared" ref="M234:N234" si="157">M232</f>
        <v>0</v>
      </c>
      <c r="N234" s="57">
        <f t="shared" si="157"/>
        <v>2</v>
      </c>
      <c r="O234" s="59" t="str">
        <f>if ( isblank (E234), E234, E234 + F234*'Control PanelOur Matches'!$K$2 + G234*5 + H234*(1/3) + I234*'Control PanelOur Matches'!$M$2 + J234*50)</f>
        <v/>
      </c>
      <c r="P234" s="59">
        <f t="shared" si="2"/>
        <v>5</v>
      </c>
      <c r="Q234" s="60">
        <f t="shared" si="3"/>
        <v>6650</v>
      </c>
      <c r="R234" s="60" t="str">
        <f t="shared" si="4"/>
        <v>6650-5</v>
      </c>
    </row>
    <row r="235" ht="15.0" customHeight="1">
      <c r="A235" s="49">
        <v>232.0</v>
      </c>
      <c r="B235" s="50">
        <v>39.0</v>
      </c>
      <c r="C235" s="52" t="s">
        <v>42</v>
      </c>
      <c r="D235" s="53">
        <f t="array" ref="D235">index('Match Sched'!$C$3:$H753,match(B235,'Match Sched'!$A$3:$A753,0),if(mod(A235,6)=0,6,mod(A235,6)),0)</f>
        <v>1678</v>
      </c>
      <c r="E235" s="54"/>
      <c r="F235" s="55">
        <v>0.0</v>
      </c>
      <c r="G235" s="54">
        <v>1.0</v>
      </c>
      <c r="H235" s="54"/>
      <c r="I235" s="54">
        <v>0.0</v>
      </c>
      <c r="J235" s="54">
        <v>1.0</v>
      </c>
      <c r="K235" s="54"/>
      <c r="L235" s="54"/>
      <c r="M235" s="57">
        <f>SUM(F235:F237)</f>
        <v>0</v>
      </c>
      <c r="N235" s="57">
        <f>SUM(I235:I237)+1</f>
        <v>5</v>
      </c>
      <c r="O235" s="59" t="str">
        <f>if ( isblank (E235), E235, E235 + F235*'Control PanelOur Matches'!$K$2 + G235*5 + H235*(1/3) + I235*'Control PanelOur Matches'!$M$2 + J235*50)</f>
        <v/>
      </c>
      <c r="P235" s="59">
        <f t="shared" si="2"/>
        <v>55</v>
      </c>
      <c r="Q235" s="60">
        <f t="shared" si="3"/>
        <v>1678</v>
      </c>
      <c r="R235" s="60" t="str">
        <f t="shared" si="4"/>
        <v>1678-5</v>
      </c>
    </row>
    <row r="236" ht="15.0" customHeight="1">
      <c r="A236" s="49">
        <v>233.0</v>
      </c>
      <c r="B236" s="50">
        <v>39.0</v>
      </c>
      <c r="C236" s="52" t="s">
        <v>43</v>
      </c>
      <c r="D236" s="53">
        <f t="array" ref="D236">index('Match Sched'!$C$3:$H753,match(B236,'Match Sched'!$A$3:$A753,0),if(mod(A236,6)=0,6,mod(A236,6)),0)</f>
        <v>5852</v>
      </c>
      <c r="E236" s="54"/>
      <c r="F236" s="55">
        <v>0.0</v>
      </c>
      <c r="G236" s="54">
        <v>1.0</v>
      </c>
      <c r="H236" s="54"/>
      <c r="I236" s="54">
        <v>2.0</v>
      </c>
      <c r="J236" s="54">
        <v>1.0</v>
      </c>
      <c r="K236" s="54"/>
      <c r="L236" s="54"/>
      <c r="M236" s="61">
        <f t="shared" ref="M236:N236" si="158">M235</f>
        <v>0</v>
      </c>
      <c r="N236" s="57">
        <f t="shared" si="158"/>
        <v>5</v>
      </c>
      <c r="O236" s="59" t="str">
        <f>if ( isblank (E236), E236, E236 + F236*'Control PanelOur Matches'!$K$2 + G236*5 + H236*(1/3) + I236*'Control PanelOur Matches'!$M$2 + J236*50)</f>
        <v/>
      </c>
      <c r="P236" s="59">
        <f t="shared" si="2"/>
        <v>87</v>
      </c>
      <c r="Q236" s="60">
        <f t="shared" si="3"/>
        <v>5852</v>
      </c>
      <c r="R236" s="60" t="str">
        <f t="shared" si="4"/>
        <v>5852-5</v>
      </c>
    </row>
    <row r="237" ht="15.0" customHeight="1">
      <c r="A237" s="49">
        <v>234.0</v>
      </c>
      <c r="B237" s="50">
        <v>39.0</v>
      </c>
      <c r="C237" s="52" t="s">
        <v>44</v>
      </c>
      <c r="D237" s="53">
        <f t="array" ref="D237">index('Match Sched'!$C$3:$H753,match(B237,'Match Sched'!$A$3:$A753,0),if(mod(A237,6)=0,6,mod(A237,6)),0)</f>
        <v>1072</v>
      </c>
      <c r="E237" s="54"/>
      <c r="F237" s="55">
        <v>0.0</v>
      </c>
      <c r="G237" s="54">
        <v>1.0</v>
      </c>
      <c r="H237" s="54"/>
      <c r="I237" s="54">
        <v>2.0</v>
      </c>
      <c r="J237" s="54">
        <v>1.0</v>
      </c>
      <c r="K237" s="54"/>
      <c r="L237" s="54"/>
      <c r="M237" s="62">
        <f t="shared" ref="M237:N237" si="159">M235</f>
        <v>0</v>
      </c>
      <c r="N237" s="57">
        <f t="shared" si="159"/>
        <v>5</v>
      </c>
      <c r="O237" s="59" t="str">
        <f>if ( isblank (E237), E237, E237 + F237*'Control PanelOur Matches'!$K$2 + G237*5 + H237*(1/3) + I237*'Control PanelOur Matches'!$M$2 + J237*50)</f>
        <v/>
      </c>
      <c r="P237" s="59">
        <f t="shared" si="2"/>
        <v>87</v>
      </c>
      <c r="Q237" s="60">
        <f t="shared" si="3"/>
        <v>1072</v>
      </c>
      <c r="R237" s="60" t="str">
        <f t="shared" si="4"/>
        <v>1072-5</v>
      </c>
    </row>
    <row r="238" ht="15.0" customHeight="1">
      <c r="A238" s="65">
        <v>235.0</v>
      </c>
      <c r="B238" s="66">
        <v>40.0</v>
      </c>
      <c r="C238" s="52" t="s">
        <v>39</v>
      </c>
      <c r="D238" s="53">
        <f t="array" ref="D238">index('Match Sched'!$C$3:$H753,match(B238,'Match Sched'!$A$3:$A753,0),if(mod(A238,6)=0,6,mod(A238,6)),0)</f>
        <v>2085</v>
      </c>
      <c r="E238" s="54"/>
      <c r="F238" s="55">
        <v>0.0</v>
      </c>
      <c r="G238" s="67">
        <v>1.0</v>
      </c>
      <c r="H238" s="67"/>
      <c r="I238" s="67">
        <v>1.0</v>
      </c>
      <c r="J238" s="67">
        <v>0.0</v>
      </c>
      <c r="K238" s="67"/>
      <c r="L238" s="67"/>
      <c r="M238" s="57">
        <f>SUM(F238:F240)</f>
        <v>0</v>
      </c>
      <c r="N238" s="57">
        <f>SUM(I238:I240)+1</f>
        <v>5</v>
      </c>
      <c r="O238" s="59" t="str">
        <f>if ( isblank (E238), E238, E238 + F238*'Control PanelOur Matches'!$K$2 + G238*5 + H238*(1/3) + I238*'Control PanelOur Matches'!$M$2 + J238*50)</f>
        <v/>
      </c>
      <c r="P238" s="59">
        <f t="shared" si="2"/>
        <v>21</v>
      </c>
      <c r="Q238" s="60">
        <f t="shared" si="3"/>
        <v>2085</v>
      </c>
      <c r="R238" s="60" t="str">
        <f t="shared" si="4"/>
        <v>2085-5</v>
      </c>
    </row>
    <row r="239" ht="15.0" customHeight="1">
      <c r="A239" s="65">
        <v>236.0</v>
      </c>
      <c r="B239" s="66">
        <v>40.0</v>
      </c>
      <c r="C239" s="69" t="s">
        <v>40</v>
      </c>
      <c r="D239" s="53">
        <f t="array" ref="D239">index('Match Sched'!$C$3:$H753,match(B239,'Match Sched'!$A$3:$A753,0),if(mod(A239,6)=0,6,mod(A239,6)),0)</f>
        <v>4643</v>
      </c>
      <c r="E239" s="54"/>
      <c r="F239" s="55">
        <v>0.0</v>
      </c>
      <c r="G239" s="67">
        <v>1.0</v>
      </c>
      <c r="H239" s="67"/>
      <c r="I239" s="67">
        <v>3.0</v>
      </c>
      <c r="J239" s="67">
        <v>0.0</v>
      </c>
      <c r="K239" s="67"/>
      <c r="L239" s="67"/>
      <c r="M239" s="61">
        <f t="shared" ref="M239:N239" si="160">M238</f>
        <v>0</v>
      </c>
      <c r="N239" s="57">
        <f t="shared" si="160"/>
        <v>5</v>
      </c>
      <c r="O239" s="59" t="str">
        <f>if ( isblank (E239), E239, E239 + F239*'Control PanelOur Matches'!$K$2 + G239*5 + H239*(1/3) + I239*'Control PanelOur Matches'!$M$2 + J239*50)</f>
        <v/>
      </c>
      <c r="P239" s="59">
        <f t="shared" si="2"/>
        <v>53</v>
      </c>
      <c r="Q239" s="60">
        <f t="shared" si="3"/>
        <v>4643</v>
      </c>
      <c r="R239" s="60" t="str">
        <f t="shared" si="4"/>
        <v>4643-6</v>
      </c>
    </row>
    <row r="240" ht="15.0" customHeight="1">
      <c r="A240" s="65">
        <v>237.0</v>
      </c>
      <c r="B240" s="66">
        <v>40.0</v>
      </c>
      <c r="C240" s="52" t="s">
        <v>41</v>
      </c>
      <c r="D240" s="53">
        <f t="array" ref="D240">index('Match Sched'!$C$3:$H753,match(B240,'Match Sched'!$A$3:$A753,0),if(mod(A240,6)=0,6,mod(A240,6)),0)</f>
        <v>2367</v>
      </c>
      <c r="E240" s="54"/>
      <c r="F240" s="55">
        <v>0.0</v>
      </c>
      <c r="G240" s="67">
        <v>0.0</v>
      </c>
      <c r="H240" s="67"/>
      <c r="I240" s="67">
        <v>0.0</v>
      </c>
      <c r="J240" s="67">
        <v>0.0</v>
      </c>
      <c r="K240" s="67">
        <v>1.0</v>
      </c>
      <c r="L240" s="67"/>
      <c r="M240" s="62">
        <f t="shared" ref="M240:N240" si="161">M238</f>
        <v>0</v>
      </c>
      <c r="N240" s="57">
        <f t="shared" si="161"/>
        <v>5</v>
      </c>
      <c r="O240" s="59" t="str">
        <f>if ( isblank (E240), E240, E240 + F240*'Control PanelOur Matches'!$K$2 + G240*5 + H240*(1/3) + I240*'Control PanelOur Matches'!$M$2 + J240*50)</f>
        <v/>
      </c>
      <c r="P240" s="59">
        <f t="shared" si="2"/>
        <v>0</v>
      </c>
      <c r="Q240" s="60">
        <f t="shared" si="3"/>
        <v>2367</v>
      </c>
      <c r="R240" s="60" t="str">
        <f t="shared" si="4"/>
        <v>2367-6</v>
      </c>
    </row>
    <row r="241" ht="15.0" customHeight="1">
      <c r="A241" s="65">
        <v>238.0</v>
      </c>
      <c r="B241" s="66">
        <v>40.0</v>
      </c>
      <c r="C241" s="52" t="s">
        <v>42</v>
      </c>
      <c r="D241" s="53">
        <f t="array" ref="D241">index('Match Sched'!$C$3:$H753,match(B241,'Match Sched'!$A$3:$A753,0),if(mod(A241,6)=0,6,mod(A241,6)),0)</f>
        <v>6305</v>
      </c>
      <c r="E241" s="54"/>
      <c r="F241" s="55">
        <v>0.0</v>
      </c>
      <c r="G241" s="67">
        <v>1.0</v>
      </c>
      <c r="H241" s="67"/>
      <c r="I241" s="67">
        <v>0.0</v>
      </c>
      <c r="J241" s="67">
        <v>0.0</v>
      </c>
      <c r="K241" s="67"/>
      <c r="L241" s="67"/>
      <c r="M241" s="57">
        <f>SUM(F241:F243)</f>
        <v>0</v>
      </c>
      <c r="N241" s="57">
        <f>SUM(I241:I243)+1</f>
        <v>4</v>
      </c>
      <c r="O241" s="59" t="str">
        <f>if ( isblank (E241), E241, E241 + F241*'Control PanelOur Matches'!$K$2 + G241*5 + H241*(1/3) + I241*'Control PanelOur Matches'!$M$2 + J241*50)</f>
        <v/>
      </c>
      <c r="P241" s="59">
        <f t="shared" si="2"/>
        <v>5</v>
      </c>
      <c r="Q241" s="60">
        <f t="shared" si="3"/>
        <v>6305</v>
      </c>
      <c r="R241" s="60" t="str">
        <f t="shared" si="4"/>
        <v>6305-6</v>
      </c>
    </row>
    <row r="242" ht="15.0" customHeight="1">
      <c r="A242" s="65">
        <v>239.0</v>
      </c>
      <c r="B242" s="66">
        <v>40.0</v>
      </c>
      <c r="C242" s="52" t="s">
        <v>43</v>
      </c>
      <c r="D242" s="53">
        <f t="array" ref="D242">index('Match Sched'!$C$3:$H753,match(B242,'Match Sched'!$A$3:$A753,0),if(mod(A242,6)=0,6,mod(A242,6)),0)</f>
        <v>5817</v>
      </c>
      <c r="E242" s="54"/>
      <c r="F242" s="55">
        <v>0.0</v>
      </c>
      <c r="G242" s="67">
        <v>0.0</v>
      </c>
      <c r="H242" s="67"/>
      <c r="I242" s="67">
        <v>3.0</v>
      </c>
      <c r="J242" s="67">
        <v>1.0</v>
      </c>
      <c r="K242" s="67"/>
      <c r="L242" s="67"/>
      <c r="M242" s="61">
        <f t="shared" ref="M242:N242" si="162">M241</f>
        <v>0</v>
      </c>
      <c r="N242" s="57">
        <f t="shared" si="162"/>
        <v>4</v>
      </c>
      <c r="O242" s="59" t="str">
        <f>if ( isblank (E242), E242, E242 + F242*'Control PanelOur Matches'!$K$2 + G242*5 + H242*(1/3) + I242*'Control PanelOur Matches'!$M$2 + J242*50)</f>
        <v/>
      </c>
      <c r="P242" s="59">
        <f t="shared" si="2"/>
        <v>110</v>
      </c>
      <c r="Q242" s="60">
        <f t="shared" si="3"/>
        <v>5817</v>
      </c>
      <c r="R242" s="60" t="str">
        <f t="shared" si="4"/>
        <v>5817-6</v>
      </c>
    </row>
    <row r="243" ht="15.0" customHeight="1">
      <c r="A243" s="65">
        <v>240.0</v>
      </c>
      <c r="B243" s="66">
        <v>40.0</v>
      </c>
      <c r="C243" s="68" t="s">
        <v>44</v>
      </c>
      <c r="D243" s="53">
        <f t="array" ref="D243">index('Match Sched'!$C$3:$H753,match(B243,'Match Sched'!$A$3:$A753,0),if(mod(A243,6)=0,6,mod(A243,6)),0)</f>
        <v>5134</v>
      </c>
      <c r="E243" s="54"/>
      <c r="F243" s="55">
        <v>0.0</v>
      </c>
      <c r="G243" s="67">
        <v>1.0</v>
      </c>
      <c r="H243" s="67"/>
      <c r="I243" s="67">
        <v>0.0</v>
      </c>
      <c r="J243" s="67">
        <v>1.0</v>
      </c>
      <c r="K243" s="67"/>
      <c r="L243" s="67"/>
      <c r="M243" s="62">
        <f t="shared" ref="M243:N243" si="163">M241</f>
        <v>0</v>
      </c>
      <c r="N243" s="57">
        <f t="shared" si="163"/>
        <v>4</v>
      </c>
      <c r="O243" s="59" t="str">
        <f>if ( isblank (E243), E243, E243 + F243*'Control PanelOur Matches'!$K$2 + G243*5 + H243*(1/3) + I243*'Control PanelOur Matches'!$M$2 + J243*50)</f>
        <v/>
      </c>
      <c r="P243" s="59">
        <f t="shared" si="2"/>
        <v>55</v>
      </c>
      <c r="Q243" s="60">
        <f t="shared" si="3"/>
        <v>5134</v>
      </c>
      <c r="R243" s="60" t="str">
        <f t="shared" si="4"/>
        <v>5134-6</v>
      </c>
    </row>
    <row r="244" ht="15.0" customHeight="1">
      <c r="A244" s="49">
        <v>241.0</v>
      </c>
      <c r="B244" s="50">
        <v>41.0</v>
      </c>
      <c r="C244" s="52" t="s">
        <v>39</v>
      </c>
      <c r="D244" s="53">
        <f t="array" ref="D244">index('Match Sched'!$C$3:$H753,match(B244,'Match Sched'!$A$3:$A753,0),if(mod(A244,6)=0,6,mod(A244,6)),0)</f>
        <v>1388</v>
      </c>
      <c r="E244" s="54"/>
      <c r="F244" s="55">
        <v>0.0</v>
      </c>
      <c r="G244" s="54">
        <v>0.0</v>
      </c>
      <c r="H244" s="54"/>
      <c r="I244" s="54">
        <v>1.0</v>
      </c>
      <c r="J244" s="54">
        <v>0.0</v>
      </c>
      <c r="K244" s="54"/>
      <c r="L244" s="54"/>
      <c r="M244" s="57">
        <f>SUM(F244:F246)</f>
        <v>0</v>
      </c>
      <c r="N244" s="57">
        <f>SUM(I244:I246)+1</f>
        <v>5</v>
      </c>
      <c r="O244" s="59" t="str">
        <f>if ( isblank (E244), E244, E244 + F244*'Control PanelOur Matches'!$K$2 + G244*5 + H244*(1/3) + I244*'Control PanelOur Matches'!$M$2 + J244*50)</f>
        <v/>
      </c>
      <c r="P244" s="59">
        <f t="shared" si="2"/>
        <v>16</v>
      </c>
      <c r="Q244" s="60">
        <f t="shared" si="3"/>
        <v>1388</v>
      </c>
      <c r="R244" s="60" t="str">
        <f t="shared" si="4"/>
        <v>1388-6</v>
      </c>
    </row>
    <row r="245" ht="15.0" customHeight="1">
      <c r="A245" s="49">
        <v>242.0</v>
      </c>
      <c r="B245" s="50">
        <v>41.0</v>
      </c>
      <c r="C245" s="52" t="s">
        <v>40</v>
      </c>
      <c r="D245" s="53">
        <f t="array" ref="D245">index('Match Sched'!$C$3:$H753,match(B245,'Match Sched'!$A$3:$A753,0),if(mod(A245,6)=0,6,mod(A245,6)),0)</f>
        <v>5104</v>
      </c>
      <c r="E245" s="54"/>
      <c r="F245" s="55">
        <v>0.0</v>
      </c>
      <c r="G245" s="54">
        <v>1.0</v>
      </c>
      <c r="H245" s="54"/>
      <c r="I245" s="54">
        <v>2.0</v>
      </c>
      <c r="J245" s="54">
        <v>1.0</v>
      </c>
      <c r="K245" s="54"/>
      <c r="L245" s="54"/>
      <c r="M245" s="61">
        <f t="shared" ref="M245:N245" si="164">M244</f>
        <v>0</v>
      </c>
      <c r="N245" s="57">
        <f t="shared" si="164"/>
        <v>5</v>
      </c>
      <c r="O245" s="59" t="str">
        <f>if ( isblank (E245), E245, E245 + F245*'Control PanelOur Matches'!$K$2 + G245*5 + H245*(1/3) + I245*'Control PanelOur Matches'!$M$2 + J245*50)</f>
        <v/>
      </c>
      <c r="P245" s="59">
        <f t="shared" si="2"/>
        <v>87</v>
      </c>
      <c r="Q245" s="60">
        <f t="shared" si="3"/>
        <v>5104</v>
      </c>
      <c r="R245" s="60" t="str">
        <f t="shared" si="4"/>
        <v>5104-6</v>
      </c>
    </row>
    <row r="246" ht="15.0" customHeight="1">
      <c r="A246" s="49">
        <v>243.0</v>
      </c>
      <c r="B246" s="50">
        <v>41.0</v>
      </c>
      <c r="C246" s="52" t="s">
        <v>41</v>
      </c>
      <c r="D246" s="53">
        <f t="array" ref="D246">index('Match Sched'!$C$3:$H753,match(B246,'Match Sched'!$A$3:$A753,0),if(mod(A246,6)=0,6,mod(A246,6)),0)</f>
        <v>852</v>
      </c>
      <c r="E246" s="54"/>
      <c r="F246" s="55">
        <v>0.0</v>
      </c>
      <c r="G246" s="54">
        <v>1.0</v>
      </c>
      <c r="H246" s="54"/>
      <c r="I246" s="54">
        <v>1.0</v>
      </c>
      <c r="J246" s="54">
        <v>0.0</v>
      </c>
      <c r="K246" s="54"/>
      <c r="L246" s="54"/>
      <c r="M246" s="62">
        <f t="shared" ref="M246:N246" si="165">M244</f>
        <v>0</v>
      </c>
      <c r="N246" s="57">
        <f t="shared" si="165"/>
        <v>5</v>
      </c>
      <c r="O246" s="59" t="str">
        <f>if ( isblank (E246), E246, E246 + F246*'Control PanelOur Matches'!$K$2 + G246*5 + H246*(1/3) + I246*'Control PanelOur Matches'!$M$2 + J246*50)</f>
        <v/>
      </c>
      <c r="P246" s="59">
        <f t="shared" si="2"/>
        <v>21</v>
      </c>
      <c r="Q246" s="60">
        <f t="shared" si="3"/>
        <v>852</v>
      </c>
      <c r="R246" s="60" t="str">
        <f t="shared" si="4"/>
        <v>852-6</v>
      </c>
    </row>
    <row r="247" ht="15.0" customHeight="1">
      <c r="A247" s="49">
        <v>244.0</v>
      </c>
      <c r="B247" s="50">
        <v>41.0</v>
      </c>
      <c r="C247" s="52" t="s">
        <v>42</v>
      </c>
      <c r="D247" s="53">
        <f t="array" ref="D247">index('Match Sched'!$C$3:$H753,match(B247,'Match Sched'!$A$3:$A753,0),if(mod(A247,6)=0,6,mod(A247,6)),0)</f>
        <v>3501</v>
      </c>
      <c r="E247" s="54"/>
      <c r="F247" s="55">
        <v>0.0</v>
      </c>
      <c r="G247" s="54">
        <v>0.0</v>
      </c>
      <c r="H247" s="54"/>
      <c r="I247" s="54">
        <v>2.0</v>
      </c>
      <c r="J247" s="54">
        <v>0.0</v>
      </c>
      <c r="K247" s="54"/>
      <c r="L247" s="54"/>
      <c r="M247" s="57">
        <f>SUM(F247:F249)</f>
        <v>1</v>
      </c>
      <c r="N247" s="57">
        <f>SUM(I247:I249)+1</f>
        <v>6</v>
      </c>
      <c r="O247" s="59" t="str">
        <f>if ( isblank (E247), E247, E247 + F247*'Control PanelOur Matches'!$K$2 + G247*5 + H247*(1/3) + I247*'Control PanelOur Matches'!$M$2 + J247*50)</f>
        <v/>
      </c>
      <c r="P247" s="59">
        <f t="shared" si="2"/>
        <v>26.66666667</v>
      </c>
      <c r="Q247" s="60">
        <f t="shared" si="3"/>
        <v>3501</v>
      </c>
      <c r="R247" s="60" t="str">
        <f t="shared" si="4"/>
        <v>3501-6</v>
      </c>
    </row>
    <row r="248" ht="15.0" customHeight="1">
      <c r="A248" s="49">
        <v>245.0</v>
      </c>
      <c r="B248" s="50">
        <v>41.0</v>
      </c>
      <c r="C248" s="52" t="s">
        <v>43</v>
      </c>
      <c r="D248" s="53">
        <f t="array" ref="D248">index('Match Sched'!$C$3:$H753,match(B248,'Match Sched'!$A$3:$A753,0),if(mod(A248,6)=0,6,mod(A248,6)),0)</f>
        <v>294</v>
      </c>
      <c r="E248" s="54"/>
      <c r="F248" s="55">
        <v>1.0</v>
      </c>
      <c r="G248" s="54">
        <v>1.0</v>
      </c>
      <c r="H248" s="54"/>
      <c r="I248" s="54">
        <v>2.0</v>
      </c>
      <c r="J248" s="54">
        <v>0.0</v>
      </c>
      <c r="K248" s="54">
        <v>1.0</v>
      </c>
      <c r="L248" s="54"/>
      <c r="M248" s="61">
        <f t="shared" ref="M248:N248" si="166">M247</f>
        <v>1</v>
      </c>
      <c r="N248" s="57">
        <f t="shared" si="166"/>
        <v>6</v>
      </c>
      <c r="O248" s="59" t="str">
        <f>if ( isblank (E248), E248, E248 + F248*'Control PanelOur Matches'!$K$2 + G248*5 + H248*(1/3) + I248*'Control PanelOur Matches'!$M$2 + J248*50)</f>
        <v/>
      </c>
      <c r="P248" s="59">
        <f t="shared" si="2"/>
        <v>91.66666667</v>
      </c>
      <c r="Q248" s="60">
        <f t="shared" si="3"/>
        <v>294</v>
      </c>
      <c r="R248" s="60" t="str">
        <f t="shared" si="4"/>
        <v>294-6</v>
      </c>
    </row>
    <row r="249" ht="15.0" customHeight="1">
      <c r="A249" s="49">
        <v>246.0</v>
      </c>
      <c r="B249" s="50">
        <v>41.0</v>
      </c>
      <c r="C249" s="52" t="s">
        <v>44</v>
      </c>
      <c r="D249" s="53">
        <f t="array" ref="D249">index('Match Sched'!$C$3:$H753,match(B249,'Match Sched'!$A$3:$A753,0),if(mod(A249,6)=0,6,mod(A249,6)),0)</f>
        <v>2493</v>
      </c>
      <c r="E249" s="54"/>
      <c r="F249" s="55">
        <v>0.0</v>
      </c>
      <c r="G249" s="54">
        <v>1.0</v>
      </c>
      <c r="H249" s="54"/>
      <c r="I249" s="54">
        <v>1.0</v>
      </c>
      <c r="J249" s="54">
        <v>1.0</v>
      </c>
      <c r="K249" s="54"/>
      <c r="L249" s="54"/>
      <c r="M249" s="62">
        <f t="shared" ref="M249:N249" si="167">M247</f>
        <v>1</v>
      </c>
      <c r="N249" s="57">
        <f t="shared" si="167"/>
        <v>6</v>
      </c>
      <c r="O249" s="59" t="str">
        <f>if ( isblank (E249), E249, E249 + F249*'Control PanelOur Matches'!$K$2 + G249*5 + H249*(1/3) + I249*'Control PanelOur Matches'!$M$2 + J249*50)</f>
        <v/>
      </c>
      <c r="P249" s="59">
        <f t="shared" si="2"/>
        <v>68.33333333</v>
      </c>
      <c r="Q249" s="60">
        <f t="shared" si="3"/>
        <v>2493</v>
      </c>
      <c r="R249" s="60" t="str">
        <f t="shared" si="4"/>
        <v>2493-6</v>
      </c>
    </row>
    <row r="250" ht="15.0" customHeight="1">
      <c r="A250" s="65">
        <v>247.0</v>
      </c>
      <c r="B250" s="66">
        <v>42.0</v>
      </c>
      <c r="C250" s="52" t="s">
        <v>39</v>
      </c>
      <c r="D250" s="53">
        <f t="array" ref="D250">index('Match Sched'!$C$3:$H753,match(B250,'Match Sched'!$A$3:$A753,0),if(mod(A250,6)=0,6,mod(A250,6)),0)</f>
        <v>3303</v>
      </c>
      <c r="E250" s="54"/>
      <c r="F250" s="55">
        <v>0.0</v>
      </c>
      <c r="G250" s="67">
        <v>1.0</v>
      </c>
      <c r="H250" s="67"/>
      <c r="I250" s="67">
        <v>0.0</v>
      </c>
      <c r="J250" s="67">
        <v>1.0</v>
      </c>
      <c r="K250" s="67"/>
      <c r="L250" s="67"/>
      <c r="M250" s="57">
        <f>SUM(F250:F252)</f>
        <v>0</v>
      </c>
      <c r="N250" s="57">
        <f>SUM(I250:I252)+1</f>
        <v>2</v>
      </c>
      <c r="O250" s="59" t="str">
        <f>if ( isblank (E250), E250, E250 + F250*'Control PanelOur Matches'!$K$2 + G250*5 + H250*(1/3) + I250*'Control PanelOur Matches'!$M$2 + J250*50)</f>
        <v/>
      </c>
      <c r="P250" s="59">
        <f t="shared" si="2"/>
        <v>55</v>
      </c>
      <c r="Q250" s="60">
        <f t="shared" si="3"/>
        <v>3303</v>
      </c>
      <c r="R250" s="60" t="str">
        <f t="shared" si="4"/>
        <v>3303-6</v>
      </c>
    </row>
    <row r="251" ht="15.0" customHeight="1">
      <c r="A251" s="65">
        <v>248.0</v>
      </c>
      <c r="B251" s="66">
        <v>42.0</v>
      </c>
      <c r="C251" s="52" t="s">
        <v>40</v>
      </c>
      <c r="D251" s="53">
        <f t="array" ref="D251">index('Match Sched'!$C$3:$H753,match(B251,'Match Sched'!$A$3:$A753,0),if(mod(A251,6)=0,6,mod(A251,6)),0)</f>
        <v>6650</v>
      </c>
      <c r="E251" s="54"/>
      <c r="F251" s="55">
        <v>0.0</v>
      </c>
      <c r="G251" s="67">
        <v>1.0</v>
      </c>
      <c r="H251" s="67"/>
      <c r="I251" s="67">
        <v>0.0</v>
      </c>
      <c r="J251" s="67">
        <v>0.0</v>
      </c>
      <c r="K251" s="67"/>
      <c r="L251" s="67"/>
      <c r="M251" s="61">
        <f t="shared" ref="M251:N251" si="168">M250</f>
        <v>0</v>
      </c>
      <c r="N251" s="57">
        <f t="shared" si="168"/>
        <v>2</v>
      </c>
      <c r="O251" s="59" t="str">
        <f>if ( isblank (E251), E251, E251 + F251*'Control PanelOur Matches'!$K$2 + G251*5 + H251*(1/3) + I251*'Control PanelOur Matches'!$M$2 + J251*50)</f>
        <v/>
      </c>
      <c r="P251" s="59">
        <f t="shared" si="2"/>
        <v>5</v>
      </c>
      <c r="Q251" s="60">
        <f t="shared" si="3"/>
        <v>6650</v>
      </c>
      <c r="R251" s="60" t="str">
        <f t="shared" si="4"/>
        <v>6650-6</v>
      </c>
    </row>
    <row r="252" ht="15.0" customHeight="1">
      <c r="A252" s="65">
        <v>249.0</v>
      </c>
      <c r="B252" s="66">
        <v>42.0</v>
      </c>
      <c r="C252" s="52" t="s">
        <v>41</v>
      </c>
      <c r="D252" s="53">
        <f t="array" ref="D252">index('Match Sched'!$C$3:$H753,match(B252,'Match Sched'!$A$3:$A753,0),if(mod(A252,6)=0,6,mod(A252,6)),0)</f>
        <v>687</v>
      </c>
      <c r="E252" s="54"/>
      <c r="F252" s="55">
        <v>0.0</v>
      </c>
      <c r="G252" s="67">
        <v>1.0</v>
      </c>
      <c r="H252" s="67"/>
      <c r="I252" s="67">
        <v>1.0</v>
      </c>
      <c r="J252" s="67">
        <v>1.0</v>
      </c>
      <c r="K252" s="67"/>
      <c r="L252" s="67"/>
      <c r="M252" s="62">
        <f t="shared" ref="M252:N252" si="169">M250</f>
        <v>0</v>
      </c>
      <c r="N252" s="57">
        <f t="shared" si="169"/>
        <v>2</v>
      </c>
      <c r="O252" s="59" t="str">
        <f>if ( isblank (E252), E252, E252 + F252*'Control PanelOur Matches'!$K$2 + G252*5 + H252*(1/3) + I252*'Control PanelOur Matches'!$M$2 + J252*50)</f>
        <v/>
      </c>
      <c r="P252" s="59">
        <f t="shared" si="2"/>
        <v>75</v>
      </c>
      <c r="Q252" s="60">
        <f t="shared" si="3"/>
        <v>687</v>
      </c>
      <c r="R252" s="60" t="str">
        <f t="shared" si="4"/>
        <v>687-6</v>
      </c>
    </row>
    <row r="253" ht="15.0" customHeight="1">
      <c r="A253" s="65">
        <v>250.0</v>
      </c>
      <c r="B253" s="66">
        <v>42.0</v>
      </c>
      <c r="C253" s="52" t="s">
        <v>42</v>
      </c>
      <c r="D253" s="53">
        <f t="array" ref="D253">index('Match Sched'!$C$3:$H753,match(B253,'Match Sched'!$A$3:$A753,0),if(mod(A253,6)=0,6,mod(A253,6)),0)</f>
        <v>3189</v>
      </c>
      <c r="E253" s="54"/>
      <c r="F253" s="55">
        <v>0.0</v>
      </c>
      <c r="G253" s="67">
        <v>1.0</v>
      </c>
      <c r="H253" s="67"/>
      <c r="I253" s="67">
        <v>0.0</v>
      </c>
      <c r="J253" s="67">
        <v>0.0</v>
      </c>
      <c r="K253" s="67"/>
      <c r="L253" s="67"/>
      <c r="M253" s="57">
        <f>SUM(F253:F255)</f>
        <v>0</v>
      </c>
      <c r="N253" s="57">
        <f>SUM(I253:I255)+1</f>
        <v>3</v>
      </c>
      <c r="O253" s="59" t="str">
        <f>if ( isblank (E253), E253, E253 + F253*'Control PanelOur Matches'!$K$2 + G253*5 + H253*(1/3) + I253*'Control PanelOur Matches'!$M$2 + J253*50)</f>
        <v/>
      </c>
      <c r="P253" s="59">
        <f t="shared" si="2"/>
        <v>5</v>
      </c>
      <c r="Q253" s="60">
        <f t="shared" si="3"/>
        <v>3189</v>
      </c>
      <c r="R253" s="60" t="str">
        <f t="shared" si="4"/>
        <v>3189-6</v>
      </c>
    </row>
    <row r="254" ht="15.0" customHeight="1">
      <c r="A254" s="65">
        <v>251.0</v>
      </c>
      <c r="B254" s="66">
        <v>42.0</v>
      </c>
      <c r="C254" s="52" t="s">
        <v>43</v>
      </c>
      <c r="D254" s="53">
        <f t="array" ref="D254">index('Match Sched'!$C$3:$H753,match(B254,'Match Sched'!$A$3:$A753,0),if(mod(A254,6)=0,6,mod(A254,6)),0)</f>
        <v>2135</v>
      </c>
      <c r="E254" s="54"/>
      <c r="F254" s="55">
        <v>0.0</v>
      </c>
      <c r="G254" s="67">
        <v>1.0</v>
      </c>
      <c r="H254" s="67"/>
      <c r="I254" s="67">
        <v>1.0</v>
      </c>
      <c r="J254" s="67">
        <v>1.0</v>
      </c>
      <c r="K254" s="67"/>
      <c r="L254" s="67"/>
      <c r="M254" s="61">
        <f t="shared" ref="M254:N254" si="170">M253</f>
        <v>0</v>
      </c>
      <c r="N254" s="57">
        <f t="shared" si="170"/>
        <v>3</v>
      </c>
      <c r="O254" s="59" t="str">
        <f>if ( isblank (E254), E254, E254 + F254*'Control PanelOur Matches'!$K$2 + G254*5 + H254*(1/3) + I254*'Control PanelOur Matches'!$M$2 + J254*50)</f>
        <v/>
      </c>
      <c r="P254" s="59">
        <f t="shared" si="2"/>
        <v>81.66666667</v>
      </c>
      <c r="Q254" s="60">
        <f t="shared" si="3"/>
        <v>2135</v>
      </c>
      <c r="R254" s="60" t="str">
        <f t="shared" si="4"/>
        <v>2135-6</v>
      </c>
    </row>
    <row r="255" ht="15.0" customHeight="1">
      <c r="A255" s="65">
        <v>252.0</v>
      </c>
      <c r="B255" s="66">
        <v>42.0</v>
      </c>
      <c r="C255" s="68" t="s">
        <v>44</v>
      </c>
      <c r="D255" s="53">
        <f t="array" ref="D255">index('Match Sched'!$C$3:$H753,match(B255,'Match Sched'!$A$3:$A753,0),if(mod(A255,6)=0,6,mod(A255,6)),0)</f>
        <v>6657</v>
      </c>
      <c r="E255" s="54"/>
      <c r="F255" s="55">
        <v>0.0</v>
      </c>
      <c r="G255" s="67">
        <v>1.0</v>
      </c>
      <c r="H255" s="67"/>
      <c r="I255" s="67">
        <v>1.0</v>
      </c>
      <c r="J255" s="67">
        <v>0.0</v>
      </c>
      <c r="K255" s="67"/>
      <c r="L255" s="67"/>
      <c r="M255" s="62">
        <f t="shared" ref="M255:N255" si="171">M253</f>
        <v>0</v>
      </c>
      <c r="N255" s="57">
        <f t="shared" si="171"/>
        <v>3</v>
      </c>
      <c r="O255" s="59" t="str">
        <f>if ( isblank (E255), E255, E255 + F255*'Control PanelOur Matches'!$K$2 + G255*5 + H255*(1/3) + I255*'Control PanelOur Matches'!$M$2 + J255*50)</f>
        <v/>
      </c>
      <c r="P255" s="59">
        <f t="shared" si="2"/>
        <v>31.66666667</v>
      </c>
      <c r="Q255" s="60">
        <f t="shared" si="3"/>
        <v>6657</v>
      </c>
      <c r="R255" s="60" t="str">
        <f t="shared" si="4"/>
        <v>6657-6</v>
      </c>
    </row>
    <row r="256" ht="15.0" customHeight="1">
      <c r="A256" s="49">
        <v>253.0</v>
      </c>
      <c r="B256" s="50">
        <v>43.0</v>
      </c>
      <c r="C256" s="52" t="s">
        <v>39</v>
      </c>
      <c r="D256" s="53">
        <f t="array" ref="D256">index('Match Sched'!$C$3:$H753,match(B256,'Match Sched'!$A$3:$A753,0),if(mod(A256,6)=0,6,mod(A256,6)),0)</f>
        <v>5852</v>
      </c>
      <c r="E256" s="54"/>
      <c r="F256" s="55">
        <v>0.0</v>
      </c>
      <c r="G256" s="54">
        <v>1.0</v>
      </c>
      <c r="H256" s="54"/>
      <c r="I256" s="54">
        <v>2.0</v>
      </c>
      <c r="J256" s="54">
        <v>1.0</v>
      </c>
      <c r="K256" s="54"/>
      <c r="L256" s="54"/>
      <c r="M256" s="57">
        <f>SUM(F256:F258)</f>
        <v>0</v>
      </c>
      <c r="N256" s="57">
        <f>SUM(I256:I258)+1</f>
        <v>3</v>
      </c>
      <c r="O256" s="59" t="str">
        <f>if ( isblank (E256), E256, E256 + F256*'Control PanelOur Matches'!$K$2 + G256*5 + H256*(1/3) + I256*'Control PanelOur Matches'!$M$2 + J256*50)</f>
        <v/>
      </c>
      <c r="P256" s="59">
        <f t="shared" si="2"/>
        <v>108.3333333</v>
      </c>
      <c r="Q256" s="60">
        <f t="shared" si="3"/>
        <v>5852</v>
      </c>
      <c r="R256" s="60" t="str">
        <f t="shared" si="4"/>
        <v>5852-6</v>
      </c>
    </row>
    <row r="257" ht="15.0" customHeight="1">
      <c r="A257" s="49">
        <v>254.0</v>
      </c>
      <c r="B257" s="50">
        <v>43.0</v>
      </c>
      <c r="C257" s="52" t="s">
        <v>40</v>
      </c>
      <c r="D257" s="53">
        <f t="array" ref="D257">index('Match Sched'!$C$3:$H753,match(B257,'Match Sched'!$A$3:$A753,0),if(mod(A257,6)=0,6,mod(A257,6)),0)</f>
        <v>2085</v>
      </c>
      <c r="E257" s="54"/>
      <c r="F257" s="55">
        <v>0.0</v>
      </c>
      <c r="G257" s="54">
        <v>1.0</v>
      </c>
      <c r="H257" s="54"/>
      <c r="I257" s="54">
        <v>0.0</v>
      </c>
      <c r="J257" s="54">
        <v>1.0</v>
      </c>
      <c r="K257" s="54"/>
      <c r="L257" s="54"/>
      <c r="M257" s="61">
        <f t="shared" ref="M257:N257" si="172">M256</f>
        <v>0</v>
      </c>
      <c r="N257" s="57">
        <f t="shared" si="172"/>
        <v>3</v>
      </c>
      <c r="O257" s="59" t="str">
        <f>if ( isblank (E257), E257, E257 + F257*'Control PanelOur Matches'!$K$2 + G257*5 + H257*(1/3) + I257*'Control PanelOur Matches'!$M$2 + J257*50)</f>
        <v/>
      </c>
      <c r="P257" s="59">
        <f t="shared" si="2"/>
        <v>55</v>
      </c>
      <c r="Q257" s="60">
        <f t="shared" si="3"/>
        <v>2085</v>
      </c>
      <c r="R257" s="60" t="str">
        <f t="shared" si="4"/>
        <v>2085-6</v>
      </c>
    </row>
    <row r="258" ht="15.0" customHeight="1">
      <c r="A258" s="49">
        <v>255.0</v>
      </c>
      <c r="B258" s="50">
        <v>43.0</v>
      </c>
      <c r="C258" s="52" t="s">
        <v>41</v>
      </c>
      <c r="D258" s="53">
        <f t="array" ref="D258">index('Match Sched'!$C$3:$H753,match(B258,'Match Sched'!$A$3:$A753,0),if(mod(A258,6)=0,6,mod(A258,6)),0)</f>
        <v>6711</v>
      </c>
      <c r="E258" s="54"/>
      <c r="F258" s="55">
        <v>0.0</v>
      </c>
      <c r="G258" s="54">
        <v>0.0</v>
      </c>
      <c r="H258" s="54"/>
      <c r="I258" s="54">
        <v>0.0</v>
      </c>
      <c r="J258" s="54">
        <v>0.0</v>
      </c>
      <c r="K258" s="54"/>
      <c r="L258" s="54"/>
      <c r="M258" s="62">
        <f t="shared" ref="M258:N258" si="173">M256</f>
        <v>0</v>
      </c>
      <c r="N258" s="57">
        <f t="shared" si="173"/>
        <v>3</v>
      </c>
      <c r="O258" s="59" t="str">
        <f>if ( isblank (E258), E258, E258 + F258*'Control PanelOur Matches'!$K$2 + G258*5 + H258*(1/3) + I258*'Control PanelOur Matches'!$M$2 + J258*50)</f>
        <v/>
      </c>
      <c r="P258" s="59">
        <f t="shared" si="2"/>
        <v>0</v>
      </c>
      <c r="Q258" s="60">
        <f t="shared" si="3"/>
        <v>6711</v>
      </c>
      <c r="R258" s="60" t="str">
        <f t="shared" si="4"/>
        <v>6711-6</v>
      </c>
    </row>
    <row r="259" ht="15.0" customHeight="1">
      <c r="A259" s="49">
        <v>256.0</v>
      </c>
      <c r="B259" s="50">
        <v>43.0</v>
      </c>
      <c r="C259" s="52" t="s">
        <v>42</v>
      </c>
      <c r="D259" s="53">
        <f t="array" ref="D259">index('Match Sched'!$C$3:$H753,match(B259,'Match Sched'!$A$3:$A753,0),if(mod(A259,6)=0,6,mod(A259,6)),0)</f>
        <v>4543</v>
      </c>
      <c r="E259" s="54"/>
      <c r="F259" s="55">
        <v>0.0</v>
      </c>
      <c r="G259" s="54">
        <v>1.0</v>
      </c>
      <c r="H259" s="54"/>
      <c r="I259" s="54">
        <v>1.0</v>
      </c>
      <c r="J259" s="54">
        <v>1.0</v>
      </c>
      <c r="K259" s="54"/>
      <c r="L259" s="54"/>
      <c r="M259" s="57">
        <f>SUM(F259:F261)</f>
        <v>1</v>
      </c>
      <c r="N259" s="57">
        <f>SUM(I259:I261)+1</f>
        <v>7</v>
      </c>
      <c r="O259" s="59" t="str">
        <f>if ( isblank (E259), E259, E259 + F259*'Control PanelOur Matches'!$K$2 + G259*5 + H259*(1/3) + I259*'Control PanelOur Matches'!$M$2 + J259*50)</f>
        <v/>
      </c>
      <c r="P259" s="59">
        <f t="shared" si="2"/>
        <v>66.42857143</v>
      </c>
      <c r="Q259" s="60">
        <f t="shared" si="3"/>
        <v>4543</v>
      </c>
      <c r="R259" s="60" t="str">
        <f t="shared" si="4"/>
        <v>4543-6</v>
      </c>
    </row>
    <row r="260" ht="15.0" customHeight="1">
      <c r="A260" s="49">
        <v>257.0</v>
      </c>
      <c r="B260" s="50">
        <v>43.0</v>
      </c>
      <c r="C260" s="52" t="s">
        <v>43</v>
      </c>
      <c r="D260" s="53">
        <f t="array" ref="D260">index('Match Sched'!$C$3:$H753,match(B260,'Match Sched'!$A$3:$A753,0),if(mod(A260,6)=0,6,mod(A260,6)),0)</f>
        <v>6699</v>
      </c>
      <c r="E260" s="54"/>
      <c r="F260" s="55">
        <v>0.0</v>
      </c>
      <c r="G260" s="54">
        <v>1.0</v>
      </c>
      <c r="H260" s="54"/>
      <c r="I260" s="54">
        <v>2.0</v>
      </c>
      <c r="J260" s="54">
        <v>1.0</v>
      </c>
      <c r="K260" s="54"/>
      <c r="L260" s="54"/>
      <c r="M260" s="61">
        <f t="shared" ref="M260:N260" si="174">M259</f>
        <v>1</v>
      </c>
      <c r="N260" s="57">
        <f t="shared" si="174"/>
        <v>7</v>
      </c>
      <c r="O260" s="59" t="str">
        <f>if ( isblank (E260), E260, E260 + F260*'Control PanelOur Matches'!$K$2 + G260*5 + H260*(1/3) + I260*'Control PanelOur Matches'!$M$2 + J260*50)</f>
        <v/>
      </c>
      <c r="P260" s="59">
        <f t="shared" si="2"/>
        <v>77.85714286</v>
      </c>
      <c r="Q260" s="60">
        <f t="shared" si="3"/>
        <v>6699</v>
      </c>
      <c r="R260" s="60" t="str">
        <f t="shared" si="4"/>
        <v>6699-6</v>
      </c>
    </row>
    <row r="261" ht="15.0" customHeight="1">
      <c r="A261" s="49">
        <v>258.0</v>
      </c>
      <c r="B261" s="50">
        <v>43.0</v>
      </c>
      <c r="C261" s="52" t="s">
        <v>44</v>
      </c>
      <c r="D261" s="53">
        <f t="array" ref="D261">index('Match Sched'!$C$3:$H753,match(B261,'Match Sched'!$A$3:$A753,0),if(mod(A261,6)=0,6,mod(A261,6)),0)</f>
        <v>4415</v>
      </c>
      <c r="E261" s="54"/>
      <c r="F261" s="55">
        <v>1.0</v>
      </c>
      <c r="G261" s="54">
        <v>1.0</v>
      </c>
      <c r="H261" s="54"/>
      <c r="I261" s="54">
        <v>3.0</v>
      </c>
      <c r="J261" s="54">
        <v>1.0</v>
      </c>
      <c r="K261" s="54"/>
      <c r="L261" s="54"/>
      <c r="M261" s="62">
        <f t="shared" ref="M261:N261" si="175">M259</f>
        <v>1</v>
      </c>
      <c r="N261" s="57">
        <f t="shared" si="175"/>
        <v>7</v>
      </c>
      <c r="O261" s="59" t="str">
        <f>if ( isblank (E261), E261, E261 + F261*'Control PanelOur Matches'!$K$2 + G261*5 + H261*(1/3) + I261*'Control PanelOur Matches'!$M$2 + J261*50)</f>
        <v/>
      </c>
      <c r="P261" s="59">
        <f t="shared" si="2"/>
        <v>149.2857143</v>
      </c>
      <c r="Q261" s="60">
        <f t="shared" si="3"/>
        <v>4415</v>
      </c>
      <c r="R261" s="60" t="str">
        <f t="shared" si="4"/>
        <v>4415-6</v>
      </c>
    </row>
    <row r="262" ht="15.0" customHeight="1">
      <c r="A262" s="65">
        <v>259.0</v>
      </c>
      <c r="B262" s="66">
        <v>44.0</v>
      </c>
      <c r="C262" s="52" t="s">
        <v>39</v>
      </c>
      <c r="D262" s="53">
        <f t="array" ref="D262">index('Match Sched'!$C$3:$H753,match(B262,'Match Sched'!$A$3:$A753,0),if(mod(A262,6)=0,6,mod(A262,6)),0)</f>
        <v>670</v>
      </c>
      <c r="E262" s="54"/>
      <c r="F262" s="55">
        <v>0.0</v>
      </c>
      <c r="G262" s="67">
        <v>0.0</v>
      </c>
      <c r="H262" s="67"/>
      <c r="I262" s="67">
        <v>0.0</v>
      </c>
      <c r="J262" s="67">
        <v>1.0</v>
      </c>
      <c r="K262" s="67"/>
      <c r="L262" s="67"/>
      <c r="M262" s="57">
        <f>SUM(F262:F264)</f>
        <v>0</v>
      </c>
      <c r="N262" s="57">
        <f>SUM(I262:I264)+1</f>
        <v>6</v>
      </c>
      <c r="O262" s="59" t="str">
        <f>if ( isblank (E262), E262, E262 + F262*'Control PanelOur Matches'!$K$2 + G262*5 + H262*(1/3) + I262*'Control PanelOur Matches'!$M$2 + J262*50)</f>
        <v/>
      </c>
      <c r="P262" s="59">
        <f t="shared" si="2"/>
        <v>50</v>
      </c>
      <c r="Q262" s="60">
        <f t="shared" si="3"/>
        <v>670</v>
      </c>
      <c r="R262" s="60" t="str">
        <f t="shared" si="4"/>
        <v>670-6</v>
      </c>
    </row>
    <row r="263" ht="15.0" customHeight="1">
      <c r="A263" s="65">
        <v>260.0</v>
      </c>
      <c r="B263" s="66">
        <v>44.0</v>
      </c>
      <c r="C263" s="69" t="s">
        <v>40</v>
      </c>
      <c r="D263" s="53">
        <f t="array" ref="D263">index('Match Sched'!$C$3:$H753,match(B263,'Match Sched'!$A$3:$A753,0),if(mod(A263,6)=0,6,mod(A263,6)),0)</f>
        <v>973</v>
      </c>
      <c r="E263" s="54"/>
      <c r="F263" s="55">
        <v>0.0</v>
      </c>
      <c r="G263" s="67">
        <v>0.0</v>
      </c>
      <c r="H263" s="67"/>
      <c r="I263" s="67">
        <v>4.0</v>
      </c>
      <c r="J263" s="67">
        <v>1.0</v>
      </c>
      <c r="K263" s="67"/>
      <c r="L263" s="67"/>
      <c r="M263" s="61">
        <f t="shared" ref="M263:N263" si="176">M262</f>
        <v>0</v>
      </c>
      <c r="N263" s="57">
        <f t="shared" si="176"/>
        <v>6</v>
      </c>
      <c r="O263" s="59" t="str">
        <f>if ( isblank (E263), E263, E263 + F263*'Control PanelOur Matches'!$K$2 + G263*5 + H263*(1/3) + I263*'Control PanelOur Matches'!$M$2 + J263*50)</f>
        <v/>
      </c>
      <c r="P263" s="59">
        <f t="shared" si="2"/>
        <v>103.3333333</v>
      </c>
      <c r="Q263" s="60">
        <f t="shared" si="3"/>
        <v>973</v>
      </c>
      <c r="R263" s="60" t="str">
        <f t="shared" si="4"/>
        <v>973-6</v>
      </c>
    </row>
    <row r="264" ht="15.0" customHeight="1">
      <c r="A264" s="65">
        <v>261.0</v>
      </c>
      <c r="B264" s="66">
        <v>44.0</v>
      </c>
      <c r="C264" s="52" t="s">
        <v>41</v>
      </c>
      <c r="D264" s="53">
        <f t="array" ref="D264">index('Match Sched'!$C$3:$H753,match(B264,'Match Sched'!$A$3:$A753,0),if(mod(A264,6)=0,6,mod(A264,6)),0)</f>
        <v>3256</v>
      </c>
      <c r="E264" s="54"/>
      <c r="F264" s="55">
        <v>0.0</v>
      </c>
      <c r="G264" s="67">
        <v>1.0</v>
      </c>
      <c r="H264" s="67"/>
      <c r="I264" s="67">
        <v>1.0</v>
      </c>
      <c r="J264" s="67">
        <v>1.0</v>
      </c>
      <c r="K264" s="67"/>
      <c r="L264" s="67"/>
      <c r="M264" s="62">
        <f t="shared" ref="M264:N264" si="177">M262</f>
        <v>0</v>
      </c>
      <c r="N264" s="57">
        <f t="shared" si="177"/>
        <v>6</v>
      </c>
      <c r="O264" s="59" t="str">
        <f>if ( isblank (E264), E264, E264 + F264*'Control PanelOur Matches'!$K$2 + G264*5 + H264*(1/3) + I264*'Control PanelOur Matches'!$M$2 + J264*50)</f>
        <v/>
      </c>
      <c r="P264" s="59">
        <f t="shared" si="2"/>
        <v>68.33333333</v>
      </c>
      <c r="Q264" s="60">
        <f t="shared" si="3"/>
        <v>3256</v>
      </c>
      <c r="R264" s="60" t="str">
        <f t="shared" si="4"/>
        <v>3256-6</v>
      </c>
    </row>
    <row r="265" ht="15.0" customHeight="1">
      <c r="A265" s="65">
        <v>262.0</v>
      </c>
      <c r="B265" s="66">
        <v>44.0</v>
      </c>
      <c r="C265" s="52" t="s">
        <v>42</v>
      </c>
      <c r="D265" s="53">
        <f t="array" ref="D265">index('Match Sched'!$C$3:$H753,match(B265,'Match Sched'!$A$3:$A753,0),if(mod(A265,6)=0,6,mod(A265,6)),0)</f>
        <v>2643</v>
      </c>
      <c r="E265" s="54"/>
      <c r="F265" s="55">
        <v>0.0</v>
      </c>
      <c r="G265" s="67">
        <v>1.0</v>
      </c>
      <c r="H265" s="67"/>
      <c r="I265" s="67">
        <v>0.0</v>
      </c>
      <c r="J265" s="67">
        <v>0.0</v>
      </c>
      <c r="K265" s="67"/>
      <c r="L265" s="67"/>
      <c r="M265" s="57">
        <f>SUM(F265:F267)</f>
        <v>0</v>
      </c>
      <c r="N265" s="57">
        <f>SUM(I265:I267)+1</f>
        <v>5</v>
      </c>
      <c r="O265" s="59" t="str">
        <f>if ( isblank (E265), E265, E265 + F265*'Control PanelOur Matches'!$K$2 + G265*5 + H265*(1/3) + I265*'Control PanelOur Matches'!$M$2 + J265*50)</f>
        <v/>
      </c>
      <c r="P265" s="59">
        <f t="shared" si="2"/>
        <v>5</v>
      </c>
      <c r="Q265" s="60">
        <f t="shared" si="3"/>
        <v>2643</v>
      </c>
      <c r="R265" s="60" t="str">
        <f t="shared" si="4"/>
        <v>2643-6</v>
      </c>
    </row>
    <row r="266" ht="15.0" customHeight="1">
      <c r="A266" s="65">
        <v>263.0</v>
      </c>
      <c r="B266" s="66">
        <v>44.0</v>
      </c>
      <c r="C266" s="52" t="s">
        <v>43</v>
      </c>
      <c r="D266" s="53">
        <f t="array" ref="D266">index('Match Sched'!$C$3:$H753,match(B266,'Match Sched'!$A$3:$A753,0),if(mod(A266,6)=0,6,mod(A266,6)),0)</f>
        <v>1323</v>
      </c>
      <c r="E266" s="54"/>
      <c r="F266" s="55">
        <v>0.0</v>
      </c>
      <c r="G266" s="67">
        <v>1.0</v>
      </c>
      <c r="H266" s="67"/>
      <c r="I266" s="67">
        <v>2.0</v>
      </c>
      <c r="J266" s="67">
        <v>0.0</v>
      </c>
      <c r="K266" s="67"/>
      <c r="L266" s="67"/>
      <c r="M266" s="61">
        <f t="shared" ref="M266:N266" si="178">M265</f>
        <v>0</v>
      </c>
      <c r="N266" s="57">
        <f t="shared" si="178"/>
        <v>5</v>
      </c>
      <c r="O266" s="59" t="str">
        <f>if ( isblank (E266), E266, E266 + F266*'Control PanelOur Matches'!$K$2 + G266*5 + H266*(1/3) + I266*'Control PanelOur Matches'!$M$2 + J266*50)</f>
        <v/>
      </c>
      <c r="P266" s="59">
        <f t="shared" si="2"/>
        <v>37</v>
      </c>
      <c r="Q266" s="60">
        <f t="shared" si="3"/>
        <v>1323</v>
      </c>
      <c r="R266" s="60" t="str">
        <f t="shared" si="4"/>
        <v>1323-6</v>
      </c>
    </row>
    <row r="267" ht="15.0" customHeight="1">
      <c r="A267" s="65">
        <v>264.0</v>
      </c>
      <c r="B267" s="66">
        <v>44.0</v>
      </c>
      <c r="C267" s="68" t="s">
        <v>44</v>
      </c>
      <c r="D267" s="53">
        <f t="array" ref="D267">index('Match Sched'!$C$3:$H753,match(B267,'Match Sched'!$A$3:$A753,0),if(mod(A267,6)=0,6,mod(A267,6)),0)</f>
        <v>4276</v>
      </c>
      <c r="E267" s="54"/>
      <c r="F267" s="55">
        <v>0.0</v>
      </c>
      <c r="G267" s="67">
        <v>1.0</v>
      </c>
      <c r="H267" s="67"/>
      <c r="I267" s="67">
        <v>2.0</v>
      </c>
      <c r="J267" s="67">
        <v>0.0</v>
      </c>
      <c r="K267" s="67"/>
      <c r="L267" s="67"/>
      <c r="M267" s="62">
        <f t="shared" ref="M267:N267" si="179">M265</f>
        <v>0</v>
      </c>
      <c r="N267" s="57">
        <f t="shared" si="179"/>
        <v>5</v>
      </c>
      <c r="O267" s="59" t="str">
        <f>if ( isblank (E267), E267, E267 + F267*'Control PanelOur Matches'!$K$2 + G267*5 + H267*(1/3) + I267*'Control PanelOur Matches'!$M$2 + J267*50)</f>
        <v/>
      </c>
      <c r="P267" s="59">
        <f t="shared" si="2"/>
        <v>37</v>
      </c>
      <c r="Q267" s="60">
        <f t="shared" si="3"/>
        <v>4276</v>
      </c>
      <c r="R267" s="60" t="str">
        <f t="shared" si="4"/>
        <v>4276-6</v>
      </c>
    </row>
    <row r="268" ht="15.0" customHeight="1">
      <c r="A268" s="49">
        <v>265.0</v>
      </c>
      <c r="B268" s="50">
        <v>45.0</v>
      </c>
      <c r="C268" s="52" t="s">
        <v>39</v>
      </c>
      <c r="D268" s="53">
        <f t="array" ref="D268">index('Match Sched'!$C$3:$H753,match(B268,'Match Sched'!$A$3:$A753,0),if(mod(A268,6)=0,6,mod(A268,6)),0)</f>
        <v>972</v>
      </c>
      <c r="E268" s="54"/>
      <c r="F268" s="55">
        <v>0.0</v>
      </c>
      <c r="G268" s="54">
        <v>1.0</v>
      </c>
      <c r="H268" s="54"/>
      <c r="I268" s="54">
        <v>1.0</v>
      </c>
      <c r="J268" s="54">
        <v>0.0</v>
      </c>
      <c r="K268" s="54"/>
      <c r="L268" s="54"/>
      <c r="M268" s="57">
        <f>SUM(F268:F270)</f>
        <v>0</v>
      </c>
      <c r="N268" s="57">
        <f>SUM(I268:I270)+1</f>
        <v>5</v>
      </c>
      <c r="O268" s="59" t="str">
        <f>if ( isblank (E268), E268, E268 + F268*'Control PanelOur Matches'!$K$2 + G268*5 + H268*(1/3) + I268*'Control PanelOur Matches'!$M$2 + J268*50)</f>
        <v/>
      </c>
      <c r="P268" s="59">
        <f t="shared" si="2"/>
        <v>21</v>
      </c>
      <c r="Q268" s="60">
        <f t="shared" si="3"/>
        <v>972</v>
      </c>
      <c r="R268" s="60" t="str">
        <f t="shared" si="4"/>
        <v>972-6</v>
      </c>
    </row>
    <row r="269" ht="15.0" customHeight="1">
      <c r="A269" s="49">
        <v>266.0</v>
      </c>
      <c r="B269" s="50">
        <v>45.0</v>
      </c>
      <c r="C269" s="52" t="s">
        <v>40</v>
      </c>
      <c r="D269" s="53">
        <f t="array" ref="D269">index('Match Sched'!$C$3:$H753,match(B269,'Match Sched'!$A$3:$A753,0),if(mod(A269,6)=0,6,mod(A269,6)),0)</f>
        <v>1868</v>
      </c>
      <c r="E269" s="54"/>
      <c r="F269" s="55">
        <v>0.0</v>
      </c>
      <c r="G269" s="54">
        <v>1.0</v>
      </c>
      <c r="H269" s="54"/>
      <c r="I269" s="54">
        <v>2.0</v>
      </c>
      <c r="J269" s="54">
        <v>0.0</v>
      </c>
      <c r="K269" s="54"/>
      <c r="L269" s="54"/>
      <c r="M269" s="61">
        <f t="shared" ref="M269:N269" si="180">M268</f>
        <v>0</v>
      </c>
      <c r="N269" s="57">
        <f t="shared" si="180"/>
        <v>5</v>
      </c>
      <c r="O269" s="59" t="str">
        <f>if ( isblank (E269), E269, E269 + F269*'Control PanelOur Matches'!$K$2 + G269*5 + H269*(1/3) + I269*'Control PanelOur Matches'!$M$2 + J269*50)</f>
        <v/>
      </c>
      <c r="P269" s="59">
        <f t="shared" si="2"/>
        <v>37</v>
      </c>
      <c r="Q269" s="60">
        <f t="shared" si="3"/>
        <v>1868</v>
      </c>
      <c r="R269" s="60" t="str">
        <f t="shared" si="4"/>
        <v>1868-6</v>
      </c>
    </row>
    <row r="270" ht="15.0" customHeight="1">
      <c r="A270" s="49">
        <v>267.0</v>
      </c>
      <c r="B270" s="50">
        <v>45.0</v>
      </c>
      <c r="C270" s="52" t="s">
        <v>41</v>
      </c>
      <c r="D270" s="53">
        <f t="array" ref="D270">index('Match Sched'!$C$3:$H753,match(B270,'Match Sched'!$A$3:$A753,0),if(mod(A270,6)=0,6,mod(A270,6)),0)</f>
        <v>3970</v>
      </c>
      <c r="E270" s="54"/>
      <c r="F270" s="55">
        <v>0.0</v>
      </c>
      <c r="G270" s="54">
        <v>1.0</v>
      </c>
      <c r="H270" s="54"/>
      <c r="I270" s="54">
        <v>1.0</v>
      </c>
      <c r="J270" s="54">
        <v>1.0</v>
      </c>
      <c r="K270" s="54"/>
      <c r="L270" s="54"/>
      <c r="M270" s="62">
        <f t="shared" ref="M270:N270" si="181">M268</f>
        <v>0</v>
      </c>
      <c r="N270" s="57">
        <f t="shared" si="181"/>
        <v>5</v>
      </c>
      <c r="O270" s="59" t="str">
        <f>if ( isblank (E270), E270, E270 + F270*'Control PanelOur Matches'!$K$2 + G270*5 + H270*(1/3) + I270*'Control PanelOur Matches'!$M$2 + J270*50)</f>
        <v/>
      </c>
      <c r="P270" s="59">
        <f t="shared" si="2"/>
        <v>71</v>
      </c>
      <c r="Q270" s="60">
        <f t="shared" si="3"/>
        <v>3970</v>
      </c>
      <c r="R270" s="60" t="str">
        <f t="shared" si="4"/>
        <v>3970-6</v>
      </c>
    </row>
    <row r="271" ht="15.0" customHeight="1">
      <c r="A271" s="49">
        <v>268.0</v>
      </c>
      <c r="B271" s="50">
        <v>45.0</v>
      </c>
      <c r="C271" s="52" t="s">
        <v>42</v>
      </c>
      <c r="D271" s="53">
        <f t="array" ref="D271">index('Match Sched'!$C$3:$H753,match(B271,'Match Sched'!$A$3:$A753,0),if(mod(A271,6)=0,6,mod(A271,6)),0)</f>
        <v>2761</v>
      </c>
      <c r="E271" s="54"/>
      <c r="F271" s="55">
        <v>0.0</v>
      </c>
      <c r="G271" s="54">
        <v>1.0</v>
      </c>
      <c r="H271" s="54"/>
      <c r="I271" s="54">
        <v>1.0</v>
      </c>
      <c r="J271" s="54">
        <v>1.0</v>
      </c>
      <c r="K271" s="54"/>
      <c r="L271" s="54"/>
      <c r="M271" s="57">
        <f>SUM(F271:F273)</f>
        <v>0</v>
      </c>
      <c r="N271" s="57">
        <f>SUM(I271:I273)+1</f>
        <v>4</v>
      </c>
      <c r="O271" s="59" t="str">
        <f>if ( isblank (E271), E271, E271 + F271*'Control PanelOur Matches'!$K$2 + G271*5 + H271*(1/3) + I271*'Control PanelOur Matches'!$M$2 + J271*50)</f>
        <v/>
      </c>
      <c r="P271" s="59">
        <f t="shared" si="2"/>
        <v>75</v>
      </c>
      <c r="Q271" s="60">
        <f t="shared" si="3"/>
        <v>2761</v>
      </c>
      <c r="R271" s="60" t="str">
        <f t="shared" si="4"/>
        <v>2761-6</v>
      </c>
    </row>
    <row r="272" ht="15.0" customHeight="1">
      <c r="A272" s="49">
        <v>269.0</v>
      </c>
      <c r="B272" s="50">
        <v>45.0</v>
      </c>
      <c r="C272" s="52" t="s">
        <v>43</v>
      </c>
      <c r="D272" s="53">
        <f t="array" ref="D272">index('Match Sched'!$C$3:$H753,match(B272,'Match Sched'!$A$3:$A753,0),if(mod(A272,6)=0,6,mod(A272,6)),0)</f>
        <v>4255</v>
      </c>
      <c r="E272" s="54"/>
      <c r="F272" s="55">
        <v>0.0</v>
      </c>
      <c r="G272" s="54">
        <v>0.0</v>
      </c>
      <c r="H272" s="54"/>
      <c r="I272" s="54">
        <v>0.0</v>
      </c>
      <c r="J272" s="54">
        <v>1.0</v>
      </c>
      <c r="K272" s="54"/>
      <c r="L272" s="54"/>
      <c r="M272" s="61">
        <f t="shared" ref="M272:N272" si="182">M271</f>
        <v>0</v>
      </c>
      <c r="N272" s="57">
        <f t="shared" si="182"/>
        <v>4</v>
      </c>
      <c r="O272" s="59" t="str">
        <f>if ( isblank (E272), E272, E272 + F272*'Control PanelOur Matches'!$K$2 + G272*5 + H272*(1/3) + I272*'Control PanelOur Matches'!$M$2 + J272*50)</f>
        <v/>
      </c>
      <c r="P272" s="59">
        <f t="shared" si="2"/>
        <v>50</v>
      </c>
      <c r="Q272" s="60">
        <f t="shared" si="3"/>
        <v>4255</v>
      </c>
      <c r="R272" s="60" t="str">
        <f t="shared" si="4"/>
        <v>4255-6</v>
      </c>
    </row>
    <row r="273" ht="15.0" customHeight="1">
      <c r="A273" s="49">
        <v>270.0</v>
      </c>
      <c r="B273" s="50">
        <v>45.0</v>
      </c>
      <c r="C273" s="52" t="s">
        <v>44</v>
      </c>
      <c r="D273" s="53">
        <f t="array" ref="D273">index('Match Sched'!$C$3:$H753,match(B273,'Match Sched'!$A$3:$A753,0),if(mod(A273,6)=0,6,mod(A273,6)),0)</f>
        <v>3495</v>
      </c>
      <c r="E273" s="54"/>
      <c r="F273" s="55">
        <v>0.0</v>
      </c>
      <c r="G273" s="54">
        <v>1.0</v>
      </c>
      <c r="H273" s="54"/>
      <c r="I273" s="54">
        <v>2.0</v>
      </c>
      <c r="J273" s="54">
        <v>0.0</v>
      </c>
      <c r="K273" s="54"/>
      <c r="L273" s="54"/>
      <c r="M273" s="62">
        <f t="shared" ref="M273:N273" si="183">M271</f>
        <v>0</v>
      </c>
      <c r="N273" s="57">
        <f t="shared" si="183"/>
        <v>4</v>
      </c>
      <c r="O273" s="59" t="str">
        <f>if ( isblank (E273), E273, E273 + F273*'Control PanelOur Matches'!$K$2 + G273*5 + H273*(1/3) + I273*'Control PanelOur Matches'!$M$2 + J273*50)</f>
        <v/>
      </c>
      <c r="P273" s="59">
        <f t="shared" si="2"/>
        <v>45</v>
      </c>
      <c r="Q273" s="60">
        <f t="shared" si="3"/>
        <v>3495</v>
      </c>
      <c r="R273" s="60" t="str">
        <f t="shared" si="4"/>
        <v>3495-6</v>
      </c>
    </row>
    <row r="274" ht="15.0" customHeight="1">
      <c r="A274" s="65">
        <v>271.0</v>
      </c>
      <c r="B274" s="66">
        <v>46.0</v>
      </c>
      <c r="C274" s="52" t="s">
        <v>39</v>
      </c>
      <c r="D274" s="53">
        <f t="array" ref="D274">index('Match Sched'!$C$3:$H753,match(B274,'Match Sched'!$A$3:$A753,0),if(mod(A274,6)=0,6,mod(A274,6)),0)</f>
        <v>1671</v>
      </c>
      <c r="E274" s="54"/>
      <c r="F274" s="55">
        <v>0.0</v>
      </c>
      <c r="G274" s="67">
        <v>1.0</v>
      </c>
      <c r="H274" s="67"/>
      <c r="I274" s="67">
        <v>0.0</v>
      </c>
      <c r="J274" s="67">
        <v>0.0</v>
      </c>
      <c r="K274" s="67"/>
      <c r="L274" s="67"/>
      <c r="M274" s="57">
        <f>SUM(F274:F276)</f>
        <v>0</v>
      </c>
      <c r="N274" s="57">
        <f>SUM(I274:I276)+1</f>
        <v>1</v>
      </c>
      <c r="O274" s="59" t="str">
        <f>if ( isblank (E274), E274, E274 + F274*'Control PanelOur Matches'!$K$2 + G274*5 + H274*(1/3) + I274*'Control PanelOur Matches'!$M$2 + J274*50)</f>
        <v/>
      </c>
      <c r="P274" s="59">
        <f t="shared" si="2"/>
        <v>5</v>
      </c>
      <c r="Q274" s="60">
        <f t="shared" si="3"/>
        <v>1671</v>
      </c>
      <c r="R274" s="60" t="str">
        <f t="shared" si="4"/>
        <v>1671-6</v>
      </c>
    </row>
    <row r="275" ht="15.0" customHeight="1">
      <c r="A275" s="65">
        <v>272.0</v>
      </c>
      <c r="B275" s="66">
        <v>46.0</v>
      </c>
      <c r="C275" s="52" t="s">
        <v>40</v>
      </c>
      <c r="D275" s="53">
        <f t="array" ref="D275">index('Match Sched'!$C$3:$H753,match(B275,'Match Sched'!$A$3:$A753,0),if(mod(A275,6)=0,6,mod(A275,6)),0)</f>
        <v>2813</v>
      </c>
      <c r="E275" s="54"/>
      <c r="F275" s="55">
        <v>0.0</v>
      </c>
      <c r="G275" s="67">
        <v>0.0</v>
      </c>
      <c r="H275" s="67"/>
      <c r="I275" s="67">
        <v>0.0</v>
      </c>
      <c r="J275" s="67">
        <v>0.0</v>
      </c>
      <c r="K275" s="67"/>
      <c r="L275" s="67"/>
      <c r="M275" s="61">
        <f t="shared" ref="M275:N275" si="184">M274</f>
        <v>0</v>
      </c>
      <c r="N275" s="57">
        <f t="shared" si="184"/>
        <v>1</v>
      </c>
      <c r="O275" s="59" t="str">
        <f>if ( isblank (E275), E275, E275 + F275*'Control PanelOur Matches'!$K$2 + G275*5 + H275*(1/3) + I275*'Control PanelOur Matches'!$M$2 + J275*50)</f>
        <v/>
      </c>
      <c r="P275" s="59">
        <f t="shared" si="2"/>
        <v>0</v>
      </c>
      <c r="Q275" s="60">
        <f t="shared" si="3"/>
        <v>2813</v>
      </c>
      <c r="R275" s="60" t="str">
        <f t="shared" si="4"/>
        <v>2813-6</v>
      </c>
    </row>
    <row r="276" ht="15.0" customHeight="1">
      <c r="A276" s="65">
        <v>273.0</v>
      </c>
      <c r="B276" s="66">
        <v>46.0</v>
      </c>
      <c r="C276" s="52" t="s">
        <v>41</v>
      </c>
      <c r="D276" s="53">
        <f t="array" ref="D276">index('Match Sched'!$C$3:$H753,match(B276,'Match Sched'!$A$3:$A753,0),if(mod(A276,6)=0,6,mod(A276,6)),0)</f>
        <v>980</v>
      </c>
      <c r="E276" s="54"/>
      <c r="F276" s="55">
        <v>0.0</v>
      </c>
      <c r="G276" s="67">
        <v>1.0</v>
      </c>
      <c r="H276" s="67"/>
      <c r="I276" s="67">
        <v>0.0</v>
      </c>
      <c r="J276" s="67">
        <v>0.0</v>
      </c>
      <c r="K276" s="67"/>
      <c r="L276" s="67"/>
      <c r="M276" s="62">
        <f t="shared" ref="M276:N276" si="185">M274</f>
        <v>0</v>
      </c>
      <c r="N276" s="57">
        <f t="shared" si="185"/>
        <v>1</v>
      </c>
      <c r="O276" s="59" t="str">
        <f>if ( isblank (E276), E276, E276 + F276*'Control PanelOur Matches'!$K$2 + G276*5 + H276*(1/3) + I276*'Control PanelOur Matches'!$M$2 + J276*50)</f>
        <v/>
      </c>
      <c r="P276" s="59">
        <f t="shared" si="2"/>
        <v>5</v>
      </c>
      <c r="Q276" s="60">
        <f t="shared" si="3"/>
        <v>980</v>
      </c>
      <c r="R276" s="60" t="str">
        <f t="shared" si="4"/>
        <v>980-6</v>
      </c>
    </row>
    <row r="277" ht="15.0" customHeight="1">
      <c r="A277" s="65">
        <v>274.0</v>
      </c>
      <c r="B277" s="66">
        <v>46.0</v>
      </c>
      <c r="C277" s="52" t="s">
        <v>42</v>
      </c>
      <c r="D277" s="53">
        <f t="array" ref="D277">index('Match Sched'!$C$3:$H753,match(B277,'Match Sched'!$A$3:$A753,0),if(mod(A277,6)=0,6,mod(A277,6)),0)</f>
        <v>3045</v>
      </c>
      <c r="E277" s="54"/>
      <c r="F277" s="55">
        <v>0.0</v>
      </c>
      <c r="G277" s="67">
        <v>1.0</v>
      </c>
      <c r="H277" s="67"/>
      <c r="I277" s="67">
        <v>0.0</v>
      </c>
      <c r="J277" s="67">
        <v>0.0</v>
      </c>
      <c r="K277" s="67"/>
      <c r="L277" s="67"/>
      <c r="M277" s="57">
        <f>SUM(F277:F279)</f>
        <v>1</v>
      </c>
      <c r="N277" s="57">
        <f>SUM(I277:I279)+1</f>
        <v>5</v>
      </c>
      <c r="O277" s="59" t="str">
        <f>if ( isblank (E277), E277, E277 + F277*'Control PanelOur Matches'!$K$2 + G277*5 + H277*(1/3) + I277*'Control PanelOur Matches'!$M$2 + J277*50)</f>
        <v/>
      </c>
      <c r="P277" s="59">
        <f t="shared" si="2"/>
        <v>5</v>
      </c>
      <c r="Q277" s="60">
        <f t="shared" si="3"/>
        <v>3045</v>
      </c>
      <c r="R277" s="60" t="str">
        <f t="shared" si="4"/>
        <v>3045-6</v>
      </c>
    </row>
    <row r="278" ht="15.0" customHeight="1">
      <c r="A278" s="65">
        <v>275.0</v>
      </c>
      <c r="B278" s="66">
        <v>46.0</v>
      </c>
      <c r="C278" s="52" t="s">
        <v>43</v>
      </c>
      <c r="D278" s="53">
        <f t="array" ref="D278">index('Match Sched'!$C$3:$H753,match(B278,'Match Sched'!$A$3:$A753,0),if(mod(A278,6)=0,6,mod(A278,6)),0)</f>
        <v>6059</v>
      </c>
      <c r="E278" s="54"/>
      <c r="F278" s="55">
        <v>0.0</v>
      </c>
      <c r="G278" s="67">
        <v>0.0</v>
      </c>
      <c r="H278" s="67"/>
      <c r="I278" s="67">
        <v>0.0</v>
      </c>
      <c r="J278" s="67">
        <v>0.0</v>
      </c>
      <c r="K278" s="67"/>
      <c r="L278" s="67"/>
      <c r="M278" s="61">
        <f t="shared" ref="M278:N278" si="186">M277</f>
        <v>1</v>
      </c>
      <c r="N278" s="57">
        <f t="shared" si="186"/>
        <v>5</v>
      </c>
      <c r="O278" s="59" t="str">
        <f>if ( isblank (E278), E278, E278 + F278*'Control PanelOur Matches'!$K$2 + G278*5 + H278*(1/3) + I278*'Control PanelOur Matches'!$M$2 + J278*50)</f>
        <v/>
      </c>
      <c r="P278" s="59">
        <f t="shared" si="2"/>
        <v>0</v>
      </c>
      <c r="Q278" s="60">
        <f t="shared" si="3"/>
        <v>6059</v>
      </c>
      <c r="R278" s="60" t="str">
        <f t="shared" si="4"/>
        <v>6059-6</v>
      </c>
    </row>
    <row r="279" ht="15.0" customHeight="1">
      <c r="A279" s="65">
        <v>276.0</v>
      </c>
      <c r="B279" s="66">
        <v>46.0</v>
      </c>
      <c r="C279" s="68" t="s">
        <v>44</v>
      </c>
      <c r="D279" s="53">
        <f t="array" ref="D279">index('Match Sched'!$C$3:$H753,match(B279,'Match Sched'!$A$3:$A753,0),if(mod(A279,6)=0,6,mod(A279,6)),0)</f>
        <v>751</v>
      </c>
      <c r="E279" s="54"/>
      <c r="F279" s="55">
        <v>1.0</v>
      </c>
      <c r="G279" s="67">
        <v>1.0</v>
      </c>
      <c r="H279" s="67"/>
      <c r="I279" s="67">
        <v>4.0</v>
      </c>
      <c r="J279" s="67">
        <v>1.0</v>
      </c>
      <c r="K279" s="67"/>
      <c r="L279" s="67"/>
      <c r="M279" s="62">
        <f t="shared" ref="M279:N279" si="187">M277</f>
        <v>1</v>
      </c>
      <c r="N279" s="57">
        <f t="shared" si="187"/>
        <v>5</v>
      </c>
      <c r="O279" s="59" t="str">
        <f>if ( isblank (E279), E279, E279 + F279*'Control PanelOur Matches'!$K$2 + G279*5 + H279*(1/3) + I279*'Control PanelOur Matches'!$M$2 + J279*50)</f>
        <v/>
      </c>
      <c r="P279" s="59">
        <f t="shared" si="2"/>
        <v>147</v>
      </c>
      <c r="Q279" s="60">
        <f t="shared" si="3"/>
        <v>751</v>
      </c>
      <c r="R279" s="60" t="str">
        <f t="shared" si="4"/>
        <v>751-6</v>
      </c>
    </row>
    <row r="280" ht="15.0" customHeight="1">
      <c r="A280" s="49">
        <v>277.0</v>
      </c>
      <c r="B280" s="50">
        <v>47.0</v>
      </c>
      <c r="C280" s="52" t="s">
        <v>39</v>
      </c>
      <c r="D280" s="53">
        <f t="array" ref="D280">index('Match Sched'!$C$3:$H753,match(B280,'Match Sched'!$A$3:$A753,0),if(mod(A280,6)=0,6,mod(A280,6)),0)</f>
        <v>5677</v>
      </c>
      <c r="E280" s="54"/>
      <c r="F280" s="55">
        <v>0.0</v>
      </c>
      <c r="G280" s="54">
        <v>0.0</v>
      </c>
      <c r="H280" s="54"/>
      <c r="I280" s="54">
        <v>1.0</v>
      </c>
      <c r="J280" s="54">
        <v>0.0</v>
      </c>
      <c r="K280" s="54"/>
      <c r="L280" s="54"/>
      <c r="M280" s="57">
        <f>SUM(F280:F282)</f>
        <v>0</v>
      </c>
      <c r="N280" s="57">
        <f>SUM(I280:I282)+1</f>
        <v>6</v>
      </c>
      <c r="O280" s="59" t="str">
        <f>if ( isblank (E280), E280, E280 + F280*'Control PanelOur Matches'!$K$2 + G280*5 + H280*(1/3) + I280*'Control PanelOur Matches'!$M$2 + J280*50)</f>
        <v/>
      </c>
      <c r="P280" s="59">
        <f t="shared" si="2"/>
        <v>13.33333333</v>
      </c>
      <c r="Q280" s="60">
        <f t="shared" si="3"/>
        <v>5677</v>
      </c>
      <c r="R280" s="60" t="str">
        <f t="shared" si="4"/>
        <v>5677-6</v>
      </c>
    </row>
    <row r="281" ht="15.0" customHeight="1">
      <c r="A281" s="49">
        <v>278.0</v>
      </c>
      <c r="B281" s="50">
        <v>47.0</v>
      </c>
      <c r="C281" s="52" t="s">
        <v>40</v>
      </c>
      <c r="D281" s="53">
        <f t="array" ref="D281">index('Match Sched'!$C$3:$H753,match(B281,'Match Sched'!$A$3:$A753,0),if(mod(A281,6)=0,6,mod(A281,6)),0)</f>
        <v>1662</v>
      </c>
      <c r="E281" s="54"/>
      <c r="F281" s="55">
        <v>0.0</v>
      </c>
      <c r="G281" s="54">
        <v>0.0</v>
      </c>
      <c r="H281" s="54"/>
      <c r="I281" s="54">
        <v>3.0</v>
      </c>
      <c r="J281" s="54">
        <v>0.0</v>
      </c>
      <c r="K281" s="54"/>
      <c r="L281" s="54"/>
      <c r="M281" s="61">
        <f t="shared" ref="M281:N281" si="188">M280</f>
        <v>0</v>
      </c>
      <c r="N281" s="57">
        <f t="shared" si="188"/>
        <v>6</v>
      </c>
      <c r="O281" s="59" t="str">
        <f>if ( isblank (E281), E281, E281 + F281*'Control PanelOur Matches'!$K$2 + G281*5 + H281*(1/3) + I281*'Control PanelOur Matches'!$M$2 + J281*50)</f>
        <v/>
      </c>
      <c r="P281" s="59">
        <f t="shared" si="2"/>
        <v>40</v>
      </c>
      <c r="Q281" s="60">
        <f t="shared" si="3"/>
        <v>1662</v>
      </c>
      <c r="R281" s="60" t="str">
        <f t="shared" si="4"/>
        <v>1662-6</v>
      </c>
    </row>
    <row r="282" ht="15.0" customHeight="1">
      <c r="A282" s="49">
        <v>279.0</v>
      </c>
      <c r="B282" s="50">
        <v>47.0</v>
      </c>
      <c r="C282" s="52" t="s">
        <v>41</v>
      </c>
      <c r="D282" s="53">
        <f t="array" ref="D282">index('Match Sched'!$C$3:$H753,match(B282,'Match Sched'!$A$3:$A753,0),if(mod(A282,6)=0,6,mod(A282,6)),0)</f>
        <v>1678</v>
      </c>
      <c r="E282" s="54"/>
      <c r="F282" s="55">
        <v>0.0</v>
      </c>
      <c r="G282" s="54">
        <v>0.0</v>
      </c>
      <c r="H282" s="54"/>
      <c r="I282" s="54">
        <v>1.0</v>
      </c>
      <c r="J282" s="54">
        <v>1.0</v>
      </c>
      <c r="K282" s="54"/>
      <c r="L282" s="54"/>
      <c r="M282" s="62">
        <f t="shared" ref="M282:N282" si="189">M280</f>
        <v>0</v>
      </c>
      <c r="N282" s="57">
        <f t="shared" si="189"/>
        <v>6</v>
      </c>
      <c r="O282" s="59" t="str">
        <f>if ( isblank (E282), E282, E282 + F282*'Control PanelOur Matches'!$K$2 + G282*5 + H282*(1/3) + I282*'Control PanelOur Matches'!$M$2 + J282*50)</f>
        <v/>
      </c>
      <c r="P282" s="59">
        <f t="shared" si="2"/>
        <v>63.33333333</v>
      </c>
      <c r="Q282" s="60">
        <f t="shared" si="3"/>
        <v>1678</v>
      </c>
      <c r="R282" s="60" t="str">
        <f t="shared" si="4"/>
        <v>1678-6</v>
      </c>
    </row>
    <row r="283" ht="15.0" customHeight="1">
      <c r="A283" s="49">
        <v>280.0</v>
      </c>
      <c r="B283" s="50">
        <v>47.0</v>
      </c>
      <c r="C283" s="52" t="s">
        <v>42</v>
      </c>
      <c r="D283" s="53">
        <f t="array" ref="D283">index('Match Sched'!$C$3:$H753,match(B283,'Match Sched'!$A$3:$A753,0),if(mod(A283,6)=0,6,mod(A283,6)),0)</f>
        <v>1072</v>
      </c>
      <c r="E283" s="54"/>
      <c r="F283" s="55">
        <v>1.0</v>
      </c>
      <c r="G283" s="54">
        <v>1.0</v>
      </c>
      <c r="H283" s="54"/>
      <c r="I283" s="54">
        <v>1.0</v>
      </c>
      <c r="J283" s="54">
        <v>1.0</v>
      </c>
      <c r="K283" s="54"/>
      <c r="L283" s="54"/>
      <c r="M283" s="57">
        <f>SUM(F283:F285)</f>
        <v>1</v>
      </c>
      <c r="N283" s="57">
        <f>SUM(I283:I285)+1</f>
        <v>7</v>
      </c>
      <c r="O283" s="59" t="str">
        <f>if ( isblank (E283), E283, E283 + F283*'Control PanelOur Matches'!$K$2 + G283*5 + H283*(1/3) + I283*'Control PanelOur Matches'!$M$2 + J283*50)</f>
        <v/>
      </c>
      <c r="P283" s="59">
        <f t="shared" si="2"/>
        <v>126.4285714</v>
      </c>
      <c r="Q283" s="60">
        <f t="shared" si="3"/>
        <v>1072</v>
      </c>
      <c r="R283" s="60" t="str">
        <f t="shared" si="4"/>
        <v>1072-6</v>
      </c>
    </row>
    <row r="284" ht="15.0" customHeight="1">
      <c r="A284" s="49">
        <v>281.0</v>
      </c>
      <c r="B284" s="50">
        <v>47.0</v>
      </c>
      <c r="C284" s="52" t="s">
        <v>43</v>
      </c>
      <c r="D284" s="53">
        <f t="array" ref="D284">index('Match Sched'!$C$3:$H753,match(B284,'Match Sched'!$A$3:$A753,0),if(mod(A284,6)=0,6,mod(A284,6)),0)</f>
        <v>1422</v>
      </c>
      <c r="E284" s="54"/>
      <c r="F284" s="55">
        <v>0.0</v>
      </c>
      <c r="G284" s="54">
        <v>1.0</v>
      </c>
      <c r="H284" s="54"/>
      <c r="I284" s="54">
        <v>1.0</v>
      </c>
      <c r="J284" s="54">
        <v>0.0</v>
      </c>
      <c r="K284" s="54"/>
      <c r="L284" s="54"/>
      <c r="M284" s="61">
        <f t="shared" ref="M284:N284" si="190">M283</f>
        <v>1</v>
      </c>
      <c r="N284" s="57">
        <f t="shared" si="190"/>
        <v>7</v>
      </c>
      <c r="O284" s="59" t="str">
        <f>if ( isblank (E284), E284, E284 + F284*'Control PanelOur Matches'!$K$2 + G284*5 + H284*(1/3) + I284*'Control PanelOur Matches'!$M$2 + J284*50)</f>
        <v/>
      </c>
      <c r="P284" s="59">
        <f t="shared" si="2"/>
        <v>16.42857143</v>
      </c>
      <c r="Q284" s="60">
        <f t="shared" si="3"/>
        <v>1422</v>
      </c>
      <c r="R284" s="60" t="str">
        <f t="shared" si="4"/>
        <v>1422-6</v>
      </c>
    </row>
    <row r="285" ht="15.0" customHeight="1">
      <c r="A285" s="49">
        <v>282.0</v>
      </c>
      <c r="B285" s="50">
        <v>47.0</v>
      </c>
      <c r="C285" s="52" t="s">
        <v>44</v>
      </c>
      <c r="D285" s="53">
        <f t="array" ref="D285">index('Match Sched'!$C$3:$H753,match(B285,'Match Sched'!$A$3:$A753,0),if(mod(A285,6)=0,6,mod(A285,6)),0)</f>
        <v>6619</v>
      </c>
      <c r="E285" s="54"/>
      <c r="F285" s="55">
        <v>0.0</v>
      </c>
      <c r="G285" s="54">
        <v>1.0</v>
      </c>
      <c r="H285" s="54"/>
      <c r="I285" s="54">
        <v>4.0</v>
      </c>
      <c r="J285" s="54">
        <v>0.0</v>
      </c>
      <c r="K285" s="54"/>
      <c r="L285" s="54"/>
      <c r="M285" s="62">
        <f t="shared" ref="M285:N285" si="191">M283</f>
        <v>1</v>
      </c>
      <c r="N285" s="57">
        <f t="shared" si="191"/>
        <v>7</v>
      </c>
      <c r="O285" s="59" t="str">
        <f>if ( isblank (E285), E285, E285 + F285*'Control PanelOur Matches'!$K$2 + G285*5 + H285*(1/3) + I285*'Control PanelOur Matches'!$M$2 + J285*50)</f>
        <v/>
      </c>
      <c r="P285" s="59">
        <f t="shared" si="2"/>
        <v>50.71428571</v>
      </c>
      <c r="Q285" s="60">
        <f t="shared" si="3"/>
        <v>6619</v>
      </c>
      <c r="R285" s="60" t="str">
        <f t="shared" si="4"/>
        <v>6619-6</v>
      </c>
    </row>
    <row r="286" ht="15.0" customHeight="1">
      <c r="A286" s="65">
        <v>283.0</v>
      </c>
      <c r="B286" s="66">
        <v>48.0</v>
      </c>
      <c r="C286" s="52" t="s">
        <v>39</v>
      </c>
      <c r="D286" s="53">
        <f t="array" ref="D286">index('Match Sched'!$C$3:$H753,match(B286,'Match Sched'!$A$3:$A753,0),if(mod(A286,6)=0,6,mod(A286,6)),0)</f>
        <v>6305</v>
      </c>
      <c r="E286" s="54"/>
      <c r="F286" s="55">
        <v>0.0</v>
      </c>
      <c r="G286" s="67">
        <v>1.0</v>
      </c>
      <c r="H286" s="67"/>
      <c r="I286" s="67">
        <v>0.0</v>
      </c>
      <c r="J286" s="67">
        <v>1.0</v>
      </c>
      <c r="K286" s="67"/>
      <c r="L286" s="67"/>
      <c r="M286" s="57">
        <f>SUM(F286:F288)</f>
        <v>0</v>
      </c>
      <c r="N286" s="57">
        <f>SUM(I286:I288)+1</f>
        <v>3</v>
      </c>
      <c r="O286" s="59" t="str">
        <f>if ( isblank (E286), E286, E286 + F286*'Control PanelOur Matches'!$K$2 + G286*5 + H286*(1/3) + I286*'Control PanelOur Matches'!$M$2 + J286*50)</f>
        <v/>
      </c>
      <c r="P286" s="59">
        <f t="shared" si="2"/>
        <v>55</v>
      </c>
      <c r="Q286" s="60">
        <f t="shared" si="3"/>
        <v>6305</v>
      </c>
      <c r="R286" s="60" t="str">
        <f t="shared" si="4"/>
        <v>6305-7</v>
      </c>
    </row>
    <row r="287" ht="15.0" customHeight="1">
      <c r="A287" s="65">
        <v>284.0</v>
      </c>
      <c r="B287" s="66">
        <v>48.0</v>
      </c>
      <c r="C287" s="69" t="s">
        <v>40</v>
      </c>
      <c r="D287" s="53">
        <f t="array" ref="D287">index('Match Sched'!$C$3:$H753,match(B287,'Match Sched'!$A$3:$A753,0),if(mod(A287,6)=0,6,mod(A287,6)),0)</f>
        <v>4543</v>
      </c>
      <c r="E287" s="54"/>
      <c r="F287" s="55">
        <v>0.0</v>
      </c>
      <c r="G287" s="67">
        <v>0.0</v>
      </c>
      <c r="H287" s="67"/>
      <c r="I287" s="67">
        <v>1.0</v>
      </c>
      <c r="J287" s="67">
        <v>1.0</v>
      </c>
      <c r="K287" s="67"/>
      <c r="L287" s="67"/>
      <c r="M287" s="61">
        <f t="shared" ref="M287:N287" si="192">M286</f>
        <v>0</v>
      </c>
      <c r="N287" s="57">
        <f t="shared" si="192"/>
        <v>3</v>
      </c>
      <c r="O287" s="59" t="str">
        <f>if ( isblank (E287), E287, E287 + F287*'Control PanelOur Matches'!$K$2 + G287*5 + H287*(1/3) + I287*'Control PanelOur Matches'!$M$2 + J287*50)</f>
        <v/>
      </c>
      <c r="P287" s="59">
        <f t="shared" si="2"/>
        <v>76.66666667</v>
      </c>
      <c r="Q287" s="60">
        <f t="shared" si="3"/>
        <v>4543</v>
      </c>
      <c r="R287" s="60" t="str">
        <f t="shared" si="4"/>
        <v>4543-7</v>
      </c>
    </row>
    <row r="288" ht="15.0" customHeight="1">
      <c r="A288" s="65">
        <v>285.0</v>
      </c>
      <c r="B288" s="66">
        <v>48.0</v>
      </c>
      <c r="C288" s="52" t="s">
        <v>41</v>
      </c>
      <c r="D288" s="53">
        <f t="array" ref="D288">index('Match Sched'!$C$3:$H753,match(B288,'Match Sched'!$A$3:$A753,0),if(mod(A288,6)=0,6,mod(A288,6)),0)</f>
        <v>1388</v>
      </c>
      <c r="E288" s="54"/>
      <c r="F288" s="55">
        <v>0.0</v>
      </c>
      <c r="G288" s="67">
        <v>0.0</v>
      </c>
      <c r="H288" s="67"/>
      <c r="I288" s="67">
        <v>1.0</v>
      </c>
      <c r="J288" s="67">
        <v>0.0</v>
      </c>
      <c r="K288" s="67"/>
      <c r="L288" s="67"/>
      <c r="M288" s="62">
        <f t="shared" ref="M288:N288" si="193">M286</f>
        <v>0</v>
      </c>
      <c r="N288" s="57">
        <f t="shared" si="193"/>
        <v>3</v>
      </c>
      <c r="O288" s="59" t="str">
        <f>if ( isblank (E288), E288, E288 + F288*'Control PanelOur Matches'!$K$2 + G288*5 + H288*(1/3) + I288*'Control PanelOur Matches'!$M$2 + J288*50)</f>
        <v/>
      </c>
      <c r="P288" s="59">
        <f t="shared" si="2"/>
        <v>26.66666667</v>
      </c>
      <c r="Q288" s="60">
        <f t="shared" si="3"/>
        <v>1388</v>
      </c>
      <c r="R288" s="60" t="str">
        <f t="shared" si="4"/>
        <v>1388-7</v>
      </c>
    </row>
    <row r="289" ht="15.0" customHeight="1">
      <c r="A289" s="65">
        <v>286.0</v>
      </c>
      <c r="B289" s="66">
        <v>48.0</v>
      </c>
      <c r="C289" s="52" t="s">
        <v>42</v>
      </c>
      <c r="D289" s="53">
        <f t="array" ref="D289">index('Match Sched'!$C$3:$H753,match(B289,'Match Sched'!$A$3:$A753,0),if(mod(A289,6)=0,6,mod(A289,6)),0)</f>
        <v>5817</v>
      </c>
      <c r="E289" s="54"/>
      <c r="F289" s="55">
        <v>0.0</v>
      </c>
      <c r="G289" s="67">
        <v>1.0</v>
      </c>
      <c r="H289" s="67"/>
      <c r="I289" s="67">
        <v>1.0</v>
      </c>
      <c r="J289" s="67">
        <v>0.0</v>
      </c>
      <c r="K289" s="67"/>
      <c r="L289" s="67"/>
      <c r="M289" s="57">
        <f>SUM(F289:F291)</f>
        <v>1</v>
      </c>
      <c r="N289" s="57">
        <f>SUM(I289:I291)+1</f>
        <v>3</v>
      </c>
      <c r="O289" s="59" t="str">
        <f>if ( isblank (E289), E289, E289 + F289*'Control PanelOur Matches'!$K$2 + G289*5 + H289*(1/3) + I289*'Control PanelOur Matches'!$M$2 + J289*50)</f>
        <v/>
      </c>
      <c r="P289" s="59">
        <f t="shared" si="2"/>
        <v>18.33333333</v>
      </c>
      <c r="Q289" s="60">
        <f t="shared" si="3"/>
        <v>5817</v>
      </c>
      <c r="R289" s="60" t="str">
        <f t="shared" si="4"/>
        <v>5817-7</v>
      </c>
    </row>
    <row r="290" ht="15.0" customHeight="1">
      <c r="A290" s="65">
        <v>287.0</v>
      </c>
      <c r="B290" s="66">
        <v>48.0</v>
      </c>
      <c r="C290" s="52" t="s">
        <v>43</v>
      </c>
      <c r="D290" s="53">
        <f t="array" ref="D290">index('Match Sched'!$C$3:$H753,match(B290,'Match Sched'!$A$3:$A753,0),if(mod(A290,6)=0,6,mod(A290,6)),0)</f>
        <v>4415</v>
      </c>
      <c r="E290" s="54"/>
      <c r="F290" s="55">
        <v>1.0</v>
      </c>
      <c r="G290" s="67">
        <v>1.0</v>
      </c>
      <c r="H290" s="67"/>
      <c r="I290" s="67">
        <v>1.0</v>
      </c>
      <c r="J290" s="67">
        <v>1.0</v>
      </c>
      <c r="K290" s="67"/>
      <c r="L290" s="67"/>
      <c r="M290" s="61">
        <f t="shared" ref="M290:N290" si="194">M289</f>
        <v>1</v>
      </c>
      <c r="N290" s="57">
        <f t="shared" si="194"/>
        <v>3</v>
      </c>
      <c r="O290" s="59" t="str">
        <f>if ( isblank (E290), E290, E290 + F290*'Control PanelOur Matches'!$K$2 + G290*5 + H290*(1/3) + I290*'Control PanelOur Matches'!$M$2 + J290*50)</f>
        <v/>
      </c>
      <c r="P290" s="59">
        <f t="shared" si="2"/>
        <v>128.3333333</v>
      </c>
      <c r="Q290" s="60">
        <f t="shared" si="3"/>
        <v>4415</v>
      </c>
      <c r="R290" s="60" t="str">
        <f t="shared" si="4"/>
        <v>4415-7</v>
      </c>
    </row>
    <row r="291" ht="15.0" customHeight="1">
      <c r="A291" s="65">
        <v>288.0</v>
      </c>
      <c r="B291" s="66">
        <v>48.0</v>
      </c>
      <c r="C291" s="68" t="s">
        <v>44</v>
      </c>
      <c r="D291" s="53">
        <f t="array" ref="D291">index('Match Sched'!$C$3:$H753,match(B291,'Match Sched'!$A$3:$A753,0),if(mod(A291,6)=0,6,mod(A291,6)),0)</f>
        <v>6650</v>
      </c>
      <c r="E291" s="54"/>
      <c r="F291" s="55">
        <v>0.0</v>
      </c>
      <c r="G291" s="67">
        <v>1.0</v>
      </c>
      <c r="H291" s="67"/>
      <c r="I291" s="67">
        <v>0.0</v>
      </c>
      <c r="J291" s="67">
        <v>1.0</v>
      </c>
      <c r="K291" s="67"/>
      <c r="L291" s="67"/>
      <c r="M291" s="62">
        <f t="shared" ref="M291:N291" si="195">M289</f>
        <v>1</v>
      </c>
      <c r="N291" s="57">
        <f t="shared" si="195"/>
        <v>3</v>
      </c>
      <c r="O291" s="59" t="str">
        <f>if ( isblank (E291), E291, E291 + F291*'Control PanelOur Matches'!$K$2 + G291*5 + H291*(1/3) + I291*'Control PanelOur Matches'!$M$2 + J291*50)</f>
        <v/>
      </c>
      <c r="P291" s="59">
        <f t="shared" si="2"/>
        <v>55</v>
      </c>
      <c r="Q291" s="60">
        <f t="shared" si="3"/>
        <v>6650</v>
      </c>
      <c r="R291" s="60" t="str">
        <f t="shared" si="4"/>
        <v>6650-7</v>
      </c>
    </row>
    <row r="292" ht="15.0" customHeight="1">
      <c r="A292" s="49">
        <v>289.0</v>
      </c>
      <c r="B292" s="50">
        <v>49.0</v>
      </c>
      <c r="C292" s="52" t="s">
        <v>39</v>
      </c>
      <c r="D292" s="53">
        <f t="array" ref="D292">index('Match Sched'!$C$3:$H753,match(B292,'Match Sched'!$A$3:$A753,0),if(mod(A292,6)=0,6,mod(A292,6)),0)</f>
        <v>3189</v>
      </c>
      <c r="E292" s="54"/>
      <c r="F292" s="55">
        <v>0.0</v>
      </c>
      <c r="G292" s="54">
        <v>0.0</v>
      </c>
      <c r="H292" s="54"/>
      <c r="I292" s="54">
        <v>0.0</v>
      </c>
      <c r="J292" s="54">
        <v>1.0</v>
      </c>
      <c r="K292" s="54"/>
      <c r="L292" s="54"/>
      <c r="M292" s="57">
        <f>SUM(F292:F294)</f>
        <v>0</v>
      </c>
      <c r="N292" s="57">
        <f>SUM(I292:I294)+1</f>
        <v>2</v>
      </c>
      <c r="O292" s="59" t="str">
        <f>if ( isblank (E292), E292, E292 + F292*'Control PanelOur Matches'!$K$2 + G292*5 + H292*(1/3) + I292*'Control PanelOur Matches'!$M$2 + J292*50)</f>
        <v/>
      </c>
      <c r="P292" s="59">
        <f t="shared" si="2"/>
        <v>50</v>
      </c>
      <c r="Q292" s="60">
        <f t="shared" si="3"/>
        <v>3189</v>
      </c>
      <c r="R292" s="60" t="str">
        <f t="shared" si="4"/>
        <v>3189-7</v>
      </c>
    </row>
    <row r="293" ht="15.0" customHeight="1">
      <c r="A293" s="49">
        <v>290.0</v>
      </c>
      <c r="B293" s="50">
        <v>49.0</v>
      </c>
      <c r="C293" s="52" t="s">
        <v>40</v>
      </c>
      <c r="D293" s="53">
        <f t="array" ref="D293">index('Match Sched'!$C$3:$H753,match(B293,'Match Sched'!$A$3:$A753,0),if(mod(A293,6)=0,6,mod(A293,6)),0)</f>
        <v>972</v>
      </c>
      <c r="E293" s="54"/>
      <c r="F293" s="55">
        <v>0.0</v>
      </c>
      <c r="G293" s="54">
        <v>1.0</v>
      </c>
      <c r="H293" s="54"/>
      <c r="I293" s="54">
        <v>1.0</v>
      </c>
      <c r="J293" s="54">
        <v>1.0</v>
      </c>
      <c r="K293" s="54"/>
      <c r="L293" s="54"/>
      <c r="M293" s="61">
        <f t="shared" ref="M293:N293" si="196">M292</f>
        <v>0</v>
      </c>
      <c r="N293" s="57">
        <f t="shared" si="196"/>
        <v>2</v>
      </c>
      <c r="O293" s="59" t="str">
        <f>if ( isblank (E293), E293, E293 + F293*'Control PanelOur Matches'!$K$2 + G293*5 + H293*(1/3) + I293*'Control PanelOur Matches'!$M$2 + J293*50)</f>
        <v/>
      </c>
      <c r="P293" s="59">
        <f t="shared" si="2"/>
        <v>75</v>
      </c>
      <c r="Q293" s="60">
        <f t="shared" si="3"/>
        <v>972</v>
      </c>
      <c r="R293" s="60" t="str">
        <f t="shared" si="4"/>
        <v>972-7</v>
      </c>
    </row>
    <row r="294" ht="15.0" customHeight="1">
      <c r="A294" s="49">
        <v>291.0</v>
      </c>
      <c r="B294" s="50">
        <v>49.0</v>
      </c>
      <c r="C294" s="52" t="s">
        <v>41</v>
      </c>
      <c r="D294" s="53">
        <f t="array" ref="D294">index('Match Sched'!$C$3:$H753,match(B294,'Match Sched'!$A$3:$A753,0),if(mod(A294,6)=0,6,mod(A294,6)),0)</f>
        <v>5134</v>
      </c>
      <c r="E294" s="54"/>
      <c r="F294" s="55">
        <v>0.0</v>
      </c>
      <c r="G294" s="54">
        <v>1.0</v>
      </c>
      <c r="H294" s="54"/>
      <c r="I294" s="54">
        <v>0.0</v>
      </c>
      <c r="J294" s="54">
        <v>0.0</v>
      </c>
      <c r="K294" s="54"/>
      <c r="L294" s="54"/>
      <c r="M294" s="62">
        <f t="shared" ref="M294:N294" si="197">M292</f>
        <v>0</v>
      </c>
      <c r="N294" s="57">
        <f t="shared" si="197"/>
        <v>2</v>
      </c>
      <c r="O294" s="59" t="str">
        <f>if ( isblank (E294), E294, E294 + F294*'Control PanelOur Matches'!$K$2 + G294*5 + H294*(1/3) + I294*'Control PanelOur Matches'!$M$2 + J294*50)</f>
        <v/>
      </c>
      <c r="P294" s="59">
        <f t="shared" si="2"/>
        <v>5</v>
      </c>
      <c r="Q294" s="60">
        <f t="shared" si="3"/>
        <v>5134</v>
      </c>
      <c r="R294" s="60" t="str">
        <f t="shared" si="4"/>
        <v>5134-7</v>
      </c>
    </row>
    <row r="295" ht="15.0" customHeight="1">
      <c r="A295" s="49">
        <v>292.0</v>
      </c>
      <c r="B295" s="50">
        <v>49.0</v>
      </c>
      <c r="C295" s="52" t="s">
        <v>42</v>
      </c>
      <c r="D295" s="53">
        <f t="array" ref="D295">index('Match Sched'!$C$3:$H753,match(B295,'Match Sched'!$A$3:$A753,0),if(mod(A295,6)=0,6,mod(A295,6)),0)</f>
        <v>5852</v>
      </c>
      <c r="E295" s="54"/>
      <c r="F295" s="55">
        <v>0.0</v>
      </c>
      <c r="G295" s="54">
        <v>0.0</v>
      </c>
      <c r="H295" s="54"/>
      <c r="I295" s="54">
        <v>0.0</v>
      </c>
      <c r="J295" s="54">
        <v>1.0</v>
      </c>
      <c r="K295" s="54"/>
      <c r="L295" s="54"/>
      <c r="M295" s="57">
        <f>SUM(F295:F297)</f>
        <v>0</v>
      </c>
      <c r="N295" s="57">
        <f>SUM(I295:I297)+1</f>
        <v>5</v>
      </c>
      <c r="O295" s="59" t="str">
        <f>if ( isblank (E295), E295, E295 + F295*'Control PanelOur Matches'!$K$2 + G295*5 + H295*(1/3) + I295*'Control PanelOur Matches'!$M$2 + J295*50)</f>
        <v/>
      </c>
      <c r="P295" s="59">
        <f t="shared" si="2"/>
        <v>50</v>
      </c>
      <c r="Q295" s="60">
        <f t="shared" si="3"/>
        <v>5852</v>
      </c>
      <c r="R295" s="60" t="str">
        <f t="shared" si="4"/>
        <v>5852-7</v>
      </c>
    </row>
    <row r="296" ht="15.0" customHeight="1">
      <c r="A296" s="49">
        <v>293.0</v>
      </c>
      <c r="B296" s="50">
        <v>49.0</v>
      </c>
      <c r="C296" s="52" t="s">
        <v>43</v>
      </c>
      <c r="D296" s="53">
        <f t="array" ref="D296">index('Match Sched'!$C$3:$H753,match(B296,'Match Sched'!$A$3:$A753,0),if(mod(A296,6)=0,6,mod(A296,6)),0)</f>
        <v>1323</v>
      </c>
      <c r="E296" s="54"/>
      <c r="F296" s="55">
        <v>0.0</v>
      </c>
      <c r="G296" s="54">
        <v>1.0</v>
      </c>
      <c r="H296" s="54"/>
      <c r="I296" s="54">
        <v>3.0</v>
      </c>
      <c r="J296" s="54">
        <v>0.0</v>
      </c>
      <c r="K296" s="54"/>
      <c r="L296" s="54"/>
      <c r="M296" s="61">
        <f t="shared" ref="M296:N296" si="198">M295</f>
        <v>0</v>
      </c>
      <c r="N296" s="57">
        <f t="shared" si="198"/>
        <v>5</v>
      </c>
      <c r="O296" s="59" t="str">
        <f>if ( isblank (E296), E296, E296 + F296*'Control PanelOur Matches'!$K$2 + G296*5 + H296*(1/3) + I296*'Control PanelOur Matches'!$M$2 + J296*50)</f>
        <v/>
      </c>
      <c r="P296" s="59">
        <f t="shared" si="2"/>
        <v>53</v>
      </c>
      <c r="Q296" s="60">
        <f t="shared" si="3"/>
        <v>1323</v>
      </c>
      <c r="R296" s="60" t="str">
        <f t="shared" si="4"/>
        <v>1323-7</v>
      </c>
    </row>
    <row r="297" ht="15.0" customHeight="1">
      <c r="A297" s="49">
        <v>294.0</v>
      </c>
      <c r="B297" s="50">
        <v>49.0</v>
      </c>
      <c r="C297" s="52" t="s">
        <v>44</v>
      </c>
      <c r="D297" s="53">
        <f t="array" ref="D297">index('Match Sched'!$C$3:$H753,match(B297,'Match Sched'!$A$3:$A753,0),if(mod(A297,6)=0,6,mod(A297,6)),0)</f>
        <v>852</v>
      </c>
      <c r="E297" s="54"/>
      <c r="F297" s="55">
        <v>0.0</v>
      </c>
      <c r="G297" s="54">
        <v>1.0</v>
      </c>
      <c r="H297" s="54"/>
      <c r="I297" s="54">
        <v>1.0</v>
      </c>
      <c r="J297" s="54">
        <v>1.0</v>
      </c>
      <c r="K297" s="54"/>
      <c r="L297" s="54"/>
      <c r="M297" s="62">
        <f t="shared" ref="M297:N297" si="199">M295</f>
        <v>0</v>
      </c>
      <c r="N297" s="57">
        <f t="shared" si="199"/>
        <v>5</v>
      </c>
      <c r="O297" s="59" t="str">
        <f>if ( isblank (E297), E297, E297 + F297*'Control PanelOur Matches'!$K$2 + G297*5 + H297*(1/3) + I297*'Control PanelOur Matches'!$M$2 + J297*50)</f>
        <v/>
      </c>
      <c r="P297" s="59">
        <f t="shared" si="2"/>
        <v>71</v>
      </c>
      <c r="Q297" s="60">
        <f t="shared" si="3"/>
        <v>852</v>
      </c>
      <c r="R297" s="60" t="str">
        <f t="shared" si="4"/>
        <v>852-7</v>
      </c>
    </row>
    <row r="298" ht="15.0" customHeight="1">
      <c r="A298" s="65">
        <v>295.0</v>
      </c>
      <c r="B298" s="66">
        <v>50.0</v>
      </c>
      <c r="C298" s="52" t="s">
        <v>39</v>
      </c>
      <c r="D298" s="53">
        <f t="array" ref="D298">index('Match Sched'!$C$3:$H753,match(B298,'Match Sched'!$A$3:$A753,0),if(mod(A298,6)=0,6,mod(A298,6)),0)</f>
        <v>3501</v>
      </c>
      <c r="E298" s="54"/>
      <c r="F298" s="55">
        <v>0.0</v>
      </c>
      <c r="G298" s="67">
        <v>1.0</v>
      </c>
      <c r="H298" s="67"/>
      <c r="I298" s="67">
        <v>3.0</v>
      </c>
      <c r="J298" s="67">
        <v>0.0</v>
      </c>
      <c r="K298" s="67"/>
      <c r="L298" s="67"/>
      <c r="M298" s="57">
        <f>SUM(F298:F300)</f>
        <v>0</v>
      </c>
      <c r="N298" s="57">
        <f>SUM(I298:I300)+1</f>
        <v>7</v>
      </c>
      <c r="O298" s="59" t="str">
        <f>if ( isblank (E298), E298, E298 + F298*'Control PanelOur Matches'!$K$2 + G298*5 + H298*(1/3) + I298*'Control PanelOur Matches'!$M$2 + J298*50)</f>
        <v/>
      </c>
      <c r="P298" s="59">
        <f t="shared" si="2"/>
        <v>56.42857143</v>
      </c>
      <c r="Q298" s="60">
        <f t="shared" si="3"/>
        <v>3501</v>
      </c>
      <c r="R298" s="60" t="str">
        <f t="shared" si="4"/>
        <v>3501-7</v>
      </c>
    </row>
    <row r="299" ht="15.0" customHeight="1">
      <c r="A299" s="65">
        <v>296.0</v>
      </c>
      <c r="B299" s="66">
        <v>50.0</v>
      </c>
      <c r="C299" s="52" t="s">
        <v>40</v>
      </c>
      <c r="D299" s="53">
        <f t="array" ref="D299">index('Match Sched'!$C$3:$H753,match(B299,'Match Sched'!$A$3:$A753,0),if(mod(A299,6)=0,6,mod(A299,6)),0)</f>
        <v>1671</v>
      </c>
      <c r="E299" s="54"/>
      <c r="F299" s="55">
        <v>0.0</v>
      </c>
      <c r="G299" s="67">
        <v>1.0</v>
      </c>
      <c r="H299" s="67"/>
      <c r="I299" s="67">
        <v>2.0</v>
      </c>
      <c r="J299" s="67">
        <v>0.0</v>
      </c>
      <c r="K299" s="67"/>
      <c r="L299" s="67"/>
      <c r="M299" s="61">
        <f t="shared" ref="M299:N299" si="200">M298</f>
        <v>0</v>
      </c>
      <c r="N299" s="57">
        <f t="shared" si="200"/>
        <v>7</v>
      </c>
      <c r="O299" s="59" t="str">
        <f>if ( isblank (E299), E299, E299 + F299*'Control PanelOur Matches'!$K$2 + G299*5 + H299*(1/3) + I299*'Control PanelOur Matches'!$M$2 + J299*50)</f>
        <v/>
      </c>
      <c r="P299" s="59">
        <f t="shared" si="2"/>
        <v>39.28571429</v>
      </c>
      <c r="Q299" s="60">
        <f t="shared" si="3"/>
        <v>1671</v>
      </c>
      <c r="R299" s="60" t="str">
        <f t="shared" si="4"/>
        <v>1671-7</v>
      </c>
    </row>
    <row r="300" ht="15.0" customHeight="1">
      <c r="A300" s="65">
        <v>297.0</v>
      </c>
      <c r="B300" s="66">
        <v>50.0</v>
      </c>
      <c r="C300" s="52" t="s">
        <v>41</v>
      </c>
      <c r="D300" s="53">
        <f t="array" ref="D300">index('Match Sched'!$C$3:$H753,match(B300,'Match Sched'!$A$3:$A753,0),if(mod(A300,6)=0,6,mod(A300,6)),0)</f>
        <v>4255</v>
      </c>
      <c r="E300" s="54"/>
      <c r="F300" s="55">
        <v>0.0</v>
      </c>
      <c r="G300" s="67">
        <v>1.0</v>
      </c>
      <c r="H300" s="67"/>
      <c r="I300" s="67">
        <v>1.0</v>
      </c>
      <c r="J300" s="67">
        <v>1.0</v>
      </c>
      <c r="K300" s="67"/>
      <c r="L300" s="67"/>
      <c r="M300" s="62">
        <f t="shared" ref="M300:N300" si="201">M298</f>
        <v>0</v>
      </c>
      <c r="N300" s="57">
        <f t="shared" si="201"/>
        <v>7</v>
      </c>
      <c r="O300" s="59" t="str">
        <f>if ( isblank (E300), E300, E300 + F300*'Control PanelOur Matches'!$K$2 + G300*5 + H300*(1/3) + I300*'Control PanelOur Matches'!$M$2 + J300*50)</f>
        <v/>
      </c>
      <c r="P300" s="59">
        <f t="shared" si="2"/>
        <v>72.14285714</v>
      </c>
      <c r="Q300" s="60">
        <f t="shared" si="3"/>
        <v>4255</v>
      </c>
      <c r="R300" s="60" t="str">
        <f t="shared" si="4"/>
        <v>4255-7</v>
      </c>
    </row>
    <row r="301" ht="15.0" customHeight="1">
      <c r="A301" s="65">
        <v>298.0</v>
      </c>
      <c r="B301" s="66">
        <v>50.0</v>
      </c>
      <c r="C301" s="52" t="s">
        <v>42</v>
      </c>
      <c r="D301" s="53">
        <f t="array" ref="D301">index('Match Sched'!$C$3:$H753,match(B301,'Match Sched'!$A$3:$A753,0),if(mod(A301,6)=0,6,mod(A301,6)),0)</f>
        <v>6711</v>
      </c>
      <c r="E301" s="54"/>
      <c r="F301" s="55">
        <v>0.0</v>
      </c>
      <c r="G301" s="67">
        <v>0.0</v>
      </c>
      <c r="H301" s="67"/>
      <c r="I301" s="67">
        <v>0.0</v>
      </c>
      <c r="J301" s="67">
        <v>0.0</v>
      </c>
      <c r="K301" s="67"/>
      <c r="L301" s="67"/>
      <c r="M301" s="57">
        <f>SUM(F301:F303)</f>
        <v>0</v>
      </c>
      <c r="N301" s="57">
        <f>SUM(I301:I303)+1</f>
        <v>3</v>
      </c>
      <c r="O301" s="59" t="str">
        <f>if ( isblank (E301), E301, E301 + F301*'Control PanelOur Matches'!$K$2 + G301*5 + H301*(1/3) + I301*'Control PanelOur Matches'!$M$2 + J301*50)</f>
        <v/>
      </c>
      <c r="P301" s="59">
        <f t="shared" si="2"/>
        <v>0</v>
      </c>
      <c r="Q301" s="60">
        <f t="shared" si="3"/>
        <v>6711</v>
      </c>
      <c r="R301" s="60" t="str">
        <f t="shared" si="4"/>
        <v>6711-7</v>
      </c>
    </row>
    <row r="302" ht="15.0" customHeight="1">
      <c r="A302" s="65">
        <v>299.0</v>
      </c>
      <c r="B302" s="66">
        <v>50.0</v>
      </c>
      <c r="C302" s="52" t="s">
        <v>43</v>
      </c>
      <c r="D302" s="53">
        <f t="array" ref="D302">index('Match Sched'!$C$3:$H753,match(B302,'Match Sched'!$A$3:$A753,0),if(mod(A302,6)=0,6,mod(A302,6)),0)</f>
        <v>3303</v>
      </c>
      <c r="E302" s="54"/>
      <c r="F302" s="55">
        <v>0.0</v>
      </c>
      <c r="G302" s="67">
        <v>1.0</v>
      </c>
      <c r="H302" s="67"/>
      <c r="I302" s="67">
        <v>1.0</v>
      </c>
      <c r="J302" s="67">
        <v>0.0</v>
      </c>
      <c r="K302" s="67"/>
      <c r="L302" s="67"/>
      <c r="M302" s="61">
        <f t="shared" ref="M302:N302" si="202">M301</f>
        <v>0</v>
      </c>
      <c r="N302" s="57">
        <f t="shared" si="202"/>
        <v>3</v>
      </c>
      <c r="O302" s="59" t="str">
        <f>if ( isblank (E302), E302, E302 + F302*'Control PanelOur Matches'!$K$2 + G302*5 + H302*(1/3) + I302*'Control PanelOur Matches'!$M$2 + J302*50)</f>
        <v/>
      </c>
      <c r="P302" s="59">
        <f t="shared" si="2"/>
        <v>31.66666667</v>
      </c>
      <c r="Q302" s="60">
        <f t="shared" si="3"/>
        <v>3303</v>
      </c>
      <c r="R302" s="60" t="str">
        <f t="shared" si="4"/>
        <v>3303-7</v>
      </c>
    </row>
    <row r="303" ht="15.0" customHeight="1">
      <c r="A303" s="65">
        <v>300.0</v>
      </c>
      <c r="B303" s="66">
        <v>50.0</v>
      </c>
      <c r="C303" s="68" t="s">
        <v>44</v>
      </c>
      <c r="D303" s="53">
        <f t="array" ref="D303">index('Match Sched'!$C$3:$H753,match(B303,'Match Sched'!$A$3:$A753,0),if(mod(A303,6)=0,6,mod(A303,6)),0)</f>
        <v>1662</v>
      </c>
      <c r="E303" s="54"/>
      <c r="F303" s="55">
        <v>0.0</v>
      </c>
      <c r="G303" s="67">
        <v>1.0</v>
      </c>
      <c r="H303" s="67"/>
      <c r="I303" s="67">
        <v>1.0</v>
      </c>
      <c r="J303" s="67">
        <v>1.0</v>
      </c>
      <c r="K303" s="67"/>
      <c r="L303" s="67"/>
      <c r="M303" s="62">
        <f t="shared" ref="M303:N303" si="203">M301</f>
        <v>0</v>
      </c>
      <c r="N303" s="57">
        <f t="shared" si="203"/>
        <v>3</v>
      </c>
      <c r="O303" s="59" t="str">
        <f>if ( isblank (E303), E303, E303 + F303*'Control PanelOur Matches'!$K$2 + G303*5 + H303*(1/3) + I303*'Control PanelOur Matches'!$M$2 + J303*50)</f>
        <v/>
      </c>
      <c r="P303" s="59">
        <f t="shared" si="2"/>
        <v>81.66666667</v>
      </c>
      <c r="Q303" s="60">
        <f t="shared" si="3"/>
        <v>1662</v>
      </c>
      <c r="R303" s="60" t="str">
        <f t="shared" si="4"/>
        <v>1662-7</v>
      </c>
    </row>
    <row r="304" ht="15.0" customHeight="1">
      <c r="A304" s="49">
        <v>301.0</v>
      </c>
      <c r="B304" s="50">
        <v>51.0</v>
      </c>
      <c r="C304" s="52" t="s">
        <v>39</v>
      </c>
      <c r="D304" s="53">
        <f t="array" ref="D304">index('Match Sched'!$C$3:$H753,match(B304,'Match Sched'!$A$3:$A753,0),if(mod(A304,6)=0,6,mod(A304,6)),0)</f>
        <v>980</v>
      </c>
      <c r="E304" s="54"/>
      <c r="F304" s="55"/>
      <c r="G304" s="54"/>
      <c r="H304" s="54"/>
      <c r="I304" s="54"/>
      <c r="J304" s="54"/>
      <c r="K304" s="54"/>
      <c r="L304" s="54"/>
      <c r="M304" s="57">
        <f>SUM(F304:F306)</f>
        <v>0</v>
      </c>
      <c r="N304" s="57">
        <f>SUM(I304:I306)+1</f>
        <v>1</v>
      </c>
      <c r="O304" s="59" t="str">
        <f>if ( isblank (E304), E304, E304 + F304*'Control PanelOur Matches'!$K$2 + G304*5 + H304*(1/3) + I304*'Control PanelOur Matches'!$M$2 + J304*50)</f>
        <v/>
      </c>
      <c r="P304" s="59" t="str">
        <f t="shared" si="2"/>
        <v/>
      </c>
      <c r="Q304" s="60" t="str">
        <f t="shared" si="3"/>
        <v>no</v>
      </c>
      <c r="R304" s="60" t="str">
        <f t="shared" si="4"/>
        <v/>
      </c>
    </row>
    <row r="305" ht="15.0" customHeight="1">
      <c r="A305" s="49">
        <v>302.0</v>
      </c>
      <c r="B305" s="50">
        <v>51.0</v>
      </c>
      <c r="C305" s="52" t="s">
        <v>40</v>
      </c>
      <c r="D305" s="53">
        <f t="array" ref="D305">index('Match Sched'!$C$3:$H753,match(B305,'Match Sched'!$A$3:$A753,0),if(mod(A305,6)=0,6,mod(A305,6)),0)</f>
        <v>6657</v>
      </c>
      <c r="E305" s="54"/>
      <c r="F305" s="55"/>
      <c r="G305" s="54"/>
      <c r="H305" s="54"/>
      <c r="I305" s="54"/>
      <c r="J305" s="54"/>
      <c r="K305" s="54"/>
      <c r="L305" s="54"/>
      <c r="M305" s="61">
        <f t="shared" ref="M305:N305" si="204">M304</f>
        <v>0</v>
      </c>
      <c r="N305" s="57">
        <f t="shared" si="204"/>
        <v>1</v>
      </c>
      <c r="O305" s="59" t="str">
        <f>if ( isblank (E305), E305, E305 + F305*'Control PanelOur Matches'!$K$2 + G305*5 + H305*(1/3) + I305*'Control PanelOur Matches'!$M$2 + J305*50)</f>
        <v/>
      </c>
      <c r="P305" s="59" t="str">
        <f t="shared" si="2"/>
        <v/>
      </c>
      <c r="Q305" s="60" t="str">
        <f t="shared" si="3"/>
        <v>no</v>
      </c>
      <c r="R305" s="60" t="str">
        <f t="shared" si="4"/>
        <v/>
      </c>
    </row>
    <row r="306" ht="15.0" customHeight="1">
      <c r="A306" s="49">
        <v>303.0</v>
      </c>
      <c r="B306" s="50">
        <v>51.0</v>
      </c>
      <c r="C306" s="52" t="s">
        <v>41</v>
      </c>
      <c r="D306" s="53">
        <f t="array" ref="D306">index('Match Sched'!$C$3:$H753,match(B306,'Match Sched'!$A$3:$A753,0),if(mod(A306,6)=0,6,mod(A306,6)),0)</f>
        <v>1072</v>
      </c>
      <c r="E306" s="54"/>
      <c r="F306" s="55"/>
      <c r="G306" s="54"/>
      <c r="H306" s="54"/>
      <c r="I306" s="54"/>
      <c r="J306" s="54"/>
      <c r="K306" s="54"/>
      <c r="L306" s="54"/>
      <c r="M306" s="62">
        <f t="shared" ref="M306:N306" si="205">M304</f>
        <v>0</v>
      </c>
      <c r="N306" s="57">
        <f t="shared" si="205"/>
        <v>1</v>
      </c>
      <c r="O306" s="59" t="str">
        <f>if ( isblank (E306), E306, E306 + F306*'Control PanelOur Matches'!$K$2 + G306*5 + H306*(1/3) + I306*'Control PanelOur Matches'!$M$2 + J306*50)</f>
        <v/>
      </c>
      <c r="P306" s="59" t="str">
        <f t="shared" si="2"/>
        <v/>
      </c>
      <c r="Q306" s="60" t="str">
        <f t="shared" si="3"/>
        <v>no</v>
      </c>
      <c r="R306" s="60" t="str">
        <f t="shared" si="4"/>
        <v/>
      </c>
    </row>
    <row r="307" ht="15.0" customHeight="1">
      <c r="A307" s="49">
        <v>304.0</v>
      </c>
      <c r="B307" s="50">
        <v>51.0</v>
      </c>
      <c r="C307" s="52" t="s">
        <v>42</v>
      </c>
      <c r="D307" s="53">
        <f t="array" ref="D307">index('Match Sched'!$C$3:$H753,match(B307,'Match Sched'!$A$3:$A753,0),if(mod(A307,6)=0,6,mod(A307,6)),0)</f>
        <v>2085</v>
      </c>
      <c r="E307" s="54"/>
      <c r="F307" s="55"/>
      <c r="G307" s="54"/>
      <c r="H307" s="54"/>
      <c r="I307" s="54"/>
      <c r="J307" s="54"/>
      <c r="K307" s="54"/>
      <c r="L307" s="54"/>
      <c r="M307" s="57">
        <f>SUM(F307:F309)</f>
        <v>0</v>
      </c>
      <c r="N307" s="57">
        <f>SUM(I307:I309)+1</f>
        <v>1</v>
      </c>
      <c r="O307" s="59" t="str">
        <f>if ( isblank (E307), E307, E307 + F307*'Control PanelOur Matches'!$K$2 + G307*5 + H307*(1/3) + I307*'Control PanelOur Matches'!$M$2 + J307*50)</f>
        <v/>
      </c>
      <c r="P307" s="59" t="str">
        <f t="shared" si="2"/>
        <v/>
      </c>
      <c r="Q307" s="60" t="str">
        <f t="shared" si="3"/>
        <v>no</v>
      </c>
      <c r="R307" s="60" t="str">
        <f t="shared" si="4"/>
        <v/>
      </c>
    </row>
    <row r="308" ht="15.0" customHeight="1">
      <c r="A308" s="49">
        <v>305.0</v>
      </c>
      <c r="B308" s="50">
        <v>51.0</v>
      </c>
      <c r="C308" s="52" t="s">
        <v>43</v>
      </c>
      <c r="D308" s="53">
        <f t="array" ref="D308">index('Match Sched'!$C$3:$H753,match(B308,'Match Sched'!$A$3:$A753,0),if(mod(A308,6)=0,6,mod(A308,6)),0)</f>
        <v>3256</v>
      </c>
      <c r="E308" s="54"/>
      <c r="F308" s="55"/>
      <c r="G308" s="54"/>
      <c r="H308" s="54"/>
      <c r="I308" s="54"/>
      <c r="J308" s="54"/>
      <c r="K308" s="54"/>
      <c r="L308" s="54"/>
      <c r="M308" s="61">
        <f t="shared" ref="M308:N308" si="206">M307</f>
        <v>0</v>
      </c>
      <c r="N308" s="57">
        <f t="shared" si="206"/>
        <v>1</v>
      </c>
      <c r="O308" s="59" t="str">
        <f>if ( isblank (E308), E308, E308 + F308*'Control PanelOur Matches'!$K$2 + G308*5 + H308*(1/3) + I308*'Control PanelOur Matches'!$M$2 + J308*50)</f>
        <v/>
      </c>
      <c r="P308" s="59" t="str">
        <f t="shared" si="2"/>
        <v/>
      </c>
      <c r="Q308" s="60" t="str">
        <f t="shared" si="3"/>
        <v>no</v>
      </c>
      <c r="R308" s="60" t="str">
        <f t="shared" si="4"/>
        <v/>
      </c>
    </row>
    <row r="309" ht="15.0" customHeight="1">
      <c r="A309" s="49">
        <v>306.0</v>
      </c>
      <c r="B309" s="50">
        <v>51.0</v>
      </c>
      <c r="C309" s="52" t="s">
        <v>44</v>
      </c>
      <c r="D309" s="53">
        <f t="array" ref="D309">index('Match Sched'!$C$3:$H753,match(B309,'Match Sched'!$A$3:$A753,0),if(mod(A309,6)=0,6,mod(A309,6)),0)</f>
        <v>3495</v>
      </c>
      <c r="E309" s="54"/>
      <c r="F309" s="55"/>
      <c r="G309" s="54"/>
      <c r="H309" s="54"/>
      <c r="I309" s="54"/>
      <c r="J309" s="54"/>
      <c r="K309" s="54"/>
      <c r="L309" s="54"/>
      <c r="M309" s="62">
        <f t="shared" ref="M309:N309" si="207">M307</f>
        <v>0</v>
      </c>
      <c r="N309" s="57">
        <f t="shared" si="207"/>
        <v>1</v>
      </c>
      <c r="O309" s="59" t="str">
        <f>if ( isblank (E309), E309, E309 + F309*'Control PanelOur Matches'!$K$2 + G309*5 + H309*(1/3) + I309*'Control PanelOur Matches'!$M$2 + J309*50)</f>
        <v/>
      </c>
      <c r="P309" s="59" t="str">
        <f t="shared" si="2"/>
        <v/>
      </c>
      <c r="Q309" s="60" t="str">
        <f t="shared" si="3"/>
        <v>no</v>
      </c>
      <c r="R309" s="60" t="str">
        <f t="shared" si="4"/>
        <v/>
      </c>
    </row>
    <row r="310" ht="15.0" customHeight="1">
      <c r="A310" s="65">
        <v>307.0</v>
      </c>
      <c r="B310" s="66">
        <v>52.0</v>
      </c>
      <c r="C310" s="52" t="s">
        <v>39</v>
      </c>
      <c r="D310" s="53">
        <f t="array" ref="D310">index('Match Sched'!$C$3:$H753,match(B310,'Match Sched'!$A$3:$A753,0),if(mod(A310,6)=0,6,mod(A310,6)),0)</f>
        <v>5104</v>
      </c>
      <c r="E310" s="54"/>
      <c r="F310" s="55"/>
      <c r="G310" s="67"/>
      <c r="H310" s="67"/>
      <c r="I310" s="67"/>
      <c r="J310" s="67"/>
      <c r="K310" s="67"/>
      <c r="L310" s="67"/>
      <c r="M310" s="57">
        <f>SUM(F310:F312)</f>
        <v>0</v>
      </c>
      <c r="N310" s="57">
        <f>SUM(I310:I312)+1</f>
        <v>1</v>
      </c>
      <c r="O310" s="59" t="str">
        <f>if ( isblank (E310), E310, E310 + F310*'Control PanelOur Matches'!$K$2 + G310*5 + H310*(1/3) + I310*'Control PanelOur Matches'!$M$2 + J310*50)</f>
        <v/>
      </c>
      <c r="P310" s="59" t="str">
        <f t="shared" si="2"/>
        <v/>
      </c>
      <c r="Q310" s="60" t="str">
        <f t="shared" si="3"/>
        <v>no</v>
      </c>
      <c r="R310" s="60" t="str">
        <f t="shared" si="4"/>
        <v/>
      </c>
    </row>
    <row r="311" ht="15.0" customHeight="1">
      <c r="A311" s="65">
        <v>308.0</v>
      </c>
      <c r="B311" s="66">
        <v>52.0</v>
      </c>
      <c r="C311" s="69" t="s">
        <v>40</v>
      </c>
      <c r="D311" s="53">
        <f t="array" ref="D311">index('Match Sched'!$C$3:$H753,match(B311,'Match Sched'!$A$3:$A753,0),if(mod(A311,6)=0,6,mod(A311,6)),0)</f>
        <v>5677</v>
      </c>
      <c r="E311" s="54"/>
      <c r="F311" s="55"/>
      <c r="G311" s="67"/>
      <c r="H311" s="67"/>
      <c r="I311" s="67"/>
      <c r="J311" s="67"/>
      <c r="K311" s="67"/>
      <c r="L311" s="67"/>
      <c r="M311" s="61">
        <f t="shared" ref="M311:N311" si="208">M310</f>
        <v>0</v>
      </c>
      <c r="N311" s="57">
        <f t="shared" si="208"/>
        <v>1</v>
      </c>
      <c r="O311" s="59" t="str">
        <f>if ( isblank (E311), E311, E311 + F311*'Control PanelOur Matches'!$K$2 + G311*5 + H311*(1/3) + I311*'Control PanelOur Matches'!$M$2 + J311*50)</f>
        <v/>
      </c>
      <c r="P311" s="59" t="str">
        <f t="shared" si="2"/>
        <v/>
      </c>
      <c r="Q311" s="60" t="str">
        <f t="shared" si="3"/>
        <v>no</v>
      </c>
      <c r="R311" s="60" t="str">
        <f t="shared" si="4"/>
        <v/>
      </c>
    </row>
    <row r="312" ht="15.0" customHeight="1">
      <c r="A312" s="65">
        <v>309.0</v>
      </c>
      <c r="B312" s="66">
        <v>52.0</v>
      </c>
      <c r="C312" s="52" t="s">
        <v>41</v>
      </c>
      <c r="D312" s="53">
        <f t="array" ref="D312">index('Match Sched'!$C$3:$H753,match(B312,'Match Sched'!$A$3:$A753,0),if(mod(A312,6)=0,6,mod(A312,6)),0)</f>
        <v>3045</v>
      </c>
      <c r="E312" s="54"/>
      <c r="F312" s="55"/>
      <c r="G312" s="67"/>
      <c r="H312" s="67"/>
      <c r="I312" s="67"/>
      <c r="J312" s="67"/>
      <c r="K312" s="67"/>
      <c r="L312" s="67"/>
      <c r="M312" s="62">
        <f t="shared" ref="M312:N312" si="209">M310</f>
        <v>0</v>
      </c>
      <c r="N312" s="57">
        <f t="shared" si="209"/>
        <v>1</v>
      </c>
      <c r="O312" s="59" t="str">
        <f>if ( isblank (E312), E312, E312 + F312*'Control PanelOur Matches'!$K$2 + G312*5 + H312*(1/3) + I312*'Control PanelOur Matches'!$M$2 + J312*50)</f>
        <v/>
      </c>
      <c r="P312" s="59" t="str">
        <f t="shared" si="2"/>
        <v/>
      </c>
      <c r="Q312" s="60" t="str">
        <f t="shared" si="3"/>
        <v>no</v>
      </c>
      <c r="R312" s="60" t="str">
        <f t="shared" si="4"/>
        <v/>
      </c>
    </row>
    <row r="313" ht="15.0" customHeight="1">
      <c r="A313" s="65">
        <v>310.0</v>
      </c>
      <c r="B313" s="66">
        <v>52.0</v>
      </c>
      <c r="C313" s="52" t="s">
        <v>42</v>
      </c>
      <c r="D313" s="53">
        <f t="array" ref="D313">index('Match Sched'!$C$3:$H753,match(B313,'Match Sched'!$A$3:$A753,0),if(mod(A313,6)=0,6,mod(A313,6)),0)</f>
        <v>2643</v>
      </c>
      <c r="E313" s="54"/>
      <c r="F313" s="55"/>
      <c r="G313" s="67"/>
      <c r="H313" s="67"/>
      <c r="I313" s="67"/>
      <c r="J313" s="67"/>
      <c r="K313" s="67"/>
      <c r="L313" s="67"/>
      <c r="M313" s="57">
        <f>SUM(F313:F315)</f>
        <v>0</v>
      </c>
      <c r="N313" s="57">
        <f>SUM(I313:I315)+1</f>
        <v>1</v>
      </c>
      <c r="O313" s="59" t="str">
        <f>if ( isblank (E313), E313, E313 + F313*'Control PanelOur Matches'!$K$2 + G313*5 + H313*(1/3) + I313*'Control PanelOur Matches'!$M$2 + J313*50)</f>
        <v/>
      </c>
      <c r="P313" s="59" t="str">
        <f t="shared" si="2"/>
        <v/>
      </c>
      <c r="Q313" s="60" t="str">
        <f t="shared" si="3"/>
        <v>no</v>
      </c>
      <c r="R313" s="60" t="str">
        <f t="shared" si="4"/>
        <v/>
      </c>
    </row>
    <row r="314" ht="15.0" customHeight="1">
      <c r="A314" s="65">
        <v>311.0</v>
      </c>
      <c r="B314" s="66">
        <v>52.0</v>
      </c>
      <c r="C314" s="52" t="s">
        <v>43</v>
      </c>
      <c r="D314" s="53">
        <f t="array" ref="D314">index('Match Sched'!$C$3:$H753,match(B314,'Match Sched'!$A$3:$A753,0),if(mod(A314,6)=0,6,mod(A314,6)),0)</f>
        <v>2367</v>
      </c>
      <c r="E314" s="54"/>
      <c r="F314" s="55"/>
      <c r="G314" s="67"/>
      <c r="H314" s="67"/>
      <c r="I314" s="67"/>
      <c r="J314" s="67"/>
      <c r="K314" s="67"/>
      <c r="L314" s="67"/>
      <c r="M314" s="61">
        <f t="shared" ref="M314:N314" si="210">M313</f>
        <v>0</v>
      </c>
      <c r="N314" s="57">
        <f t="shared" si="210"/>
        <v>1</v>
      </c>
      <c r="O314" s="59" t="str">
        <f>if ( isblank (E314), E314, E314 + F314*'Control PanelOur Matches'!$K$2 + G314*5 + H314*(1/3) + I314*'Control PanelOur Matches'!$M$2 + J314*50)</f>
        <v/>
      </c>
      <c r="P314" s="59" t="str">
        <f t="shared" si="2"/>
        <v/>
      </c>
      <c r="Q314" s="60" t="str">
        <f t="shared" si="3"/>
        <v>no</v>
      </c>
      <c r="R314" s="60" t="str">
        <f t="shared" si="4"/>
        <v/>
      </c>
    </row>
    <row r="315" ht="15.0" customHeight="1">
      <c r="A315" s="65">
        <v>312.0</v>
      </c>
      <c r="B315" s="66">
        <v>52.0</v>
      </c>
      <c r="C315" s="68" t="s">
        <v>44</v>
      </c>
      <c r="D315" s="53">
        <f t="array" ref="D315">index('Match Sched'!$C$3:$H753,match(B315,'Match Sched'!$A$3:$A753,0),if(mod(A315,6)=0,6,mod(A315,6)),0)</f>
        <v>3970</v>
      </c>
      <c r="E315" s="54"/>
      <c r="F315" s="55"/>
      <c r="G315" s="67"/>
      <c r="H315" s="67"/>
      <c r="I315" s="67"/>
      <c r="J315" s="67"/>
      <c r="K315" s="67"/>
      <c r="L315" s="67"/>
      <c r="M315" s="62">
        <f t="shared" ref="M315:N315" si="211">M313</f>
        <v>0</v>
      </c>
      <c r="N315" s="57">
        <f t="shared" si="211"/>
        <v>1</v>
      </c>
      <c r="O315" s="59" t="str">
        <f>if ( isblank (E315), E315, E315 + F315*'Control PanelOur Matches'!$K$2 + G315*5 + H315*(1/3) + I315*'Control PanelOur Matches'!$M$2 + J315*50)</f>
        <v/>
      </c>
      <c r="P315" s="59" t="str">
        <f t="shared" si="2"/>
        <v/>
      </c>
      <c r="Q315" s="60" t="str">
        <f t="shared" si="3"/>
        <v>no</v>
      </c>
      <c r="R315" s="60" t="str">
        <f t="shared" si="4"/>
        <v/>
      </c>
    </row>
    <row r="316" ht="15.0" customHeight="1">
      <c r="A316" s="49">
        <v>313.0</v>
      </c>
      <c r="B316" s="50">
        <v>53.0</v>
      </c>
      <c r="C316" s="52" t="s">
        <v>39</v>
      </c>
      <c r="D316" s="53">
        <f t="array" ref="D316">index('Match Sched'!$C$3:$H753,match(B316,'Match Sched'!$A$3:$A753,0),if(mod(A316,6)=0,6,mod(A316,6)),0)</f>
        <v>973</v>
      </c>
      <c r="E316" s="54"/>
      <c r="F316" s="55"/>
      <c r="G316" s="54"/>
      <c r="H316" s="54"/>
      <c r="I316" s="54"/>
      <c r="J316" s="54"/>
      <c r="K316" s="54"/>
      <c r="L316" s="54"/>
      <c r="M316" s="57">
        <f>SUM(F316:F318)</f>
        <v>0</v>
      </c>
      <c r="N316" s="57">
        <f>SUM(I316:I318)+1</f>
        <v>1</v>
      </c>
      <c r="O316" s="59" t="str">
        <f>if ( isblank (E316), E316, E316 + F316*'Control PanelOur Matches'!$K$2 + G316*5 + H316*(1/3) + I316*'Control PanelOur Matches'!$M$2 + J316*50)</f>
        <v/>
      </c>
      <c r="P316" s="59" t="str">
        <f t="shared" si="2"/>
        <v/>
      </c>
      <c r="Q316" s="60" t="str">
        <f t="shared" si="3"/>
        <v>no</v>
      </c>
      <c r="R316" s="60" t="str">
        <f t="shared" si="4"/>
        <v/>
      </c>
    </row>
    <row r="317" ht="15.0" customHeight="1">
      <c r="A317" s="49">
        <v>314.0</v>
      </c>
      <c r="B317" s="50">
        <v>53.0</v>
      </c>
      <c r="C317" s="52" t="s">
        <v>40</v>
      </c>
      <c r="D317" s="53">
        <f t="array" ref="D317">index('Match Sched'!$C$3:$H753,match(B317,'Match Sched'!$A$3:$A753,0),if(mod(A317,6)=0,6,mod(A317,6)),0)</f>
        <v>2135</v>
      </c>
      <c r="E317" s="54"/>
      <c r="F317" s="55"/>
      <c r="G317" s="54"/>
      <c r="H317" s="54"/>
      <c r="I317" s="54"/>
      <c r="J317" s="54"/>
      <c r="K317" s="54"/>
      <c r="L317" s="54"/>
      <c r="M317" s="61">
        <f t="shared" ref="M317:N317" si="212">M316</f>
        <v>0</v>
      </c>
      <c r="N317" s="57">
        <f t="shared" si="212"/>
        <v>1</v>
      </c>
      <c r="O317" s="59" t="str">
        <f>if ( isblank (E317), E317, E317 + F317*'Control PanelOur Matches'!$K$2 + G317*5 + H317*(1/3) + I317*'Control PanelOur Matches'!$M$2 + J317*50)</f>
        <v/>
      </c>
      <c r="P317" s="59" t="str">
        <f t="shared" si="2"/>
        <v/>
      </c>
      <c r="Q317" s="60" t="str">
        <f t="shared" si="3"/>
        <v>no</v>
      </c>
      <c r="R317" s="60" t="str">
        <f t="shared" si="4"/>
        <v/>
      </c>
    </row>
    <row r="318" ht="15.0" customHeight="1">
      <c r="A318" s="49">
        <v>315.0</v>
      </c>
      <c r="B318" s="50">
        <v>53.0</v>
      </c>
      <c r="C318" s="52" t="s">
        <v>41</v>
      </c>
      <c r="D318" s="53">
        <f t="array" ref="D318">index('Match Sched'!$C$3:$H753,match(B318,'Match Sched'!$A$3:$A753,0),if(mod(A318,6)=0,6,mod(A318,6)),0)</f>
        <v>2493</v>
      </c>
      <c r="E318" s="54"/>
      <c r="F318" s="55"/>
      <c r="G318" s="54"/>
      <c r="H318" s="54"/>
      <c r="I318" s="54"/>
      <c r="J318" s="54"/>
      <c r="K318" s="54"/>
      <c r="L318" s="54"/>
      <c r="M318" s="62">
        <f t="shared" ref="M318:N318" si="213">M316</f>
        <v>0</v>
      </c>
      <c r="N318" s="57">
        <f t="shared" si="213"/>
        <v>1</v>
      </c>
      <c r="O318" s="59" t="str">
        <f>if ( isblank (E318), E318, E318 + F318*'Control PanelOur Matches'!$K$2 + G318*5 + H318*(1/3) + I318*'Control PanelOur Matches'!$M$2 + J318*50)</f>
        <v/>
      </c>
      <c r="P318" s="59" t="str">
        <f t="shared" si="2"/>
        <v/>
      </c>
      <c r="Q318" s="60" t="str">
        <f t="shared" si="3"/>
        <v>no</v>
      </c>
      <c r="R318" s="60" t="str">
        <f t="shared" si="4"/>
        <v/>
      </c>
    </row>
    <row r="319" ht="15.0" customHeight="1">
      <c r="A319" s="49">
        <v>316.0</v>
      </c>
      <c r="B319" s="50">
        <v>53.0</v>
      </c>
      <c r="C319" s="52" t="s">
        <v>42</v>
      </c>
      <c r="D319" s="53">
        <f t="array" ref="D319">index('Match Sched'!$C$3:$H753,match(B319,'Match Sched'!$A$3:$A753,0),if(mod(A319,6)=0,6,mod(A319,6)),0)</f>
        <v>1868</v>
      </c>
      <c r="E319" s="54"/>
      <c r="F319" s="55"/>
      <c r="G319" s="54"/>
      <c r="H319" s="54"/>
      <c r="I319" s="54"/>
      <c r="J319" s="54"/>
      <c r="K319" s="54"/>
      <c r="L319" s="54"/>
      <c r="M319" s="57">
        <f>SUM(F319:F321)</f>
        <v>0</v>
      </c>
      <c r="N319" s="57">
        <f>SUM(I319:I321)+1</f>
        <v>1</v>
      </c>
      <c r="O319" s="59" t="str">
        <f>if ( isblank (E319), E319, E319 + F319*'Control PanelOur Matches'!$K$2 + G319*5 + H319*(1/3) + I319*'Control PanelOur Matches'!$M$2 + J319*50)</f>
        <v/>
      </c>
      <c r="P319" s="59" t="str">
        <f t="shared" si="2"/>
        <v/>
      </c>
      <c r="Q319" s="60" t="str">
        <f t="shared" si="3"/>
        <v>no</v>
      </c>
      <c r="R319" s="60" t="str">
        <f t="shared" si="4"/>
        <v/>
      </c>
    </row>
    <row r="320" ht="15.0" customHeight="1">
      <c r="A320" s="49">
        <v>317.0</v>
      </c>
      <c r="B320" s="50">
        <v>53.0</v>
      </c>
      <c r="C320" s="52" t="s">
        <v>43</v>
      </c>
      <c r="D320" s="53">
        <f t="array" ref="D320">index('Match Sched'!$C$3:$H753,match(B320,'Match Sched'!$A$3:$A753,0),if(mod(A320,6)=0,6,mod(A320,6)),0)</f>
        <v>6059</v>
      </c>
      <c r="E320" s="54"/>
      <c r="F320" s="55"/>
      <c r="G320" s="54"/>
      <c r="H320" s="54"/>
      <c r="I320" s="54"/>
      <c r="J320" s="54"/>
      <c r="K320" s="54"/>
      <c r="L320" s="54"/>
      <c r="M320" s="61">
        <f t="shared" ref="M320:N320" si="214">M319</f>
        <v>0</v>
      </c>
      <c r="N320" s="57">
        <f t="shared" si="214"/>
        <v>1</v>
      </c>
      <c r="O320" s="59" t="str">
        <f>if ( isblank (E320), E320, E320 + F320*'Control PanelOur Matches'!$K$2 + G320*5 + H320*(1/3) + I320*'Control PanelOur Matches'!$M$2 + J320*50)</f>
        <v/>
      </c>
      <c r="P320" s="59" t="str">
        <f t="shared" si="2"/>
        <v/>
      </c>
      <c r="Q320" s="60" t="str">
        <f t="shared" si="3"/>
        <v>no</v>
      </c>
      <c r="R320" s="60" t="str">
        <f t="shared" si="4"/>
        <v/>
      </c>
    </row>
    <row r="321" ht="15.0" customHeight="1">
      <c r="A321" s="49">
        <v>318.0</v>
      </c>
      <c r="B321" s="50">
        <v>53.0</v>
      </c>
      <c r="C321" s="52" t="s">
        <v>44</v>
      </c>
      <c r="D321" s="53">
        <f t="array" ref="D321">index('Match Sched'!$C$3:$H753,match(B321,'Match Sched'!$A$3:$A753,0),if(mod(A321,6)=0,6,mod(A321,6)),0)</f>
        <v>6619</v>
      </c>
      <c r="E321" s="54"/>
      <c r="F321" s="55"/>
      <c r="G321" s="54"/>
      <c r="H321" s="54"/>
      <c r="I321" s="54"/>
      <c r="J321" s="54"/>
      <c r="K321" s="54"/>
      <c r="L321" s="54"/>
      <c r="M321" s="62">
        <f t="shared" ref="M321:N321" si="215">M319</f>
        <v>0</v>
      </c>
      <c r="N321" s="57">
        <f t="shared" si="215"/>
        <v>1</v>
      </c>
      <c r="O321" s="59" t="str">
        <f>if ( isblank (E321), E321, E321 + F321*'Control PanelOur Matches'!$K$2 + G321*5 + H321*(1/3) + I321*'Control PanelOur Matches'!$M$2 + J321*50)</f>
        <v/>
      </c>
      <c r="P321" s="59" t="str">
        <f t="shared" si="2"/>
        <v/>
      </c>
      <c r="Q321" s="60" t="str">
        <f t="shared" si="3"/>
        <v>no</v>
      </c>
      <c r="R321" s="60" t="str">
        <f t="shared" si="4"/>
        <v/>
      </c>
    </row>
    <row r="322" ht="15.0" customHeight="1">
      <c r="A322" s="65">
        <v>319.0</v>
      </c>
      <c r="B322" s="66">
        <v>54.0</v>
      </c>
      <c r="C322" s="52" t="s">
        <v>39</v>
      </c>
      <c r="D322" s="53">
        <f t="array" ref="D322">index('Match Sched'!$C$3:$H753,match(B322,'Match Sched'!$A$3:$A753,0),if(mod(A322,6)=0,6,mod(A322,6)),0)</f>
        <v>4643</v>
      </c>
      <c r="E322" s="54"/>
      <c r="F322" s="55"/>
      <c r="G322" s="67"/>
      <c r="H322" s="67"/>
      <c r="I322" s="67"/>
      <c r="J322" s="67"/>
      <c r="K322" s="67"/>
      <c r="L322" s="67"/>
      <c r="M322" s="57">
        <f>SUM(F322:F324)</f>
        <v>0</v>
      </c>
      <c r="N322" s="57">
        <f>SUM(I322:I324)+1</f>
        <v>1</v>
      </c>
      <c r="O322" s="59" t="str">
        <f>if ( isblank (E322), E322, E322 + F322*'Control PanelOur Matches'!$K$2 + G322*5 + H322*(1/3) + I322*'Control PanelOur Matches'!$M$2 + J322*50)</f>
        <v/>
      </c>
      <c r="P322" s="59" t="str">
        <f t="shared" si="2"/>
        <v/>
      </c>
      <c r="Q322" s="60" t="str">
        <f t="shared" si="3"/>
        <v>no</v>
      </c>
      <c r="R322" s="60" t="str">
        <f t="shared" si="4"/>
        <v/>
      </c>
    </row>
    <row r="323" ht="15.0" customHeight="1">
      <c r="A323" s="65">
        <v>320.0</v>
      </c>
      <c r="B323" s="66">
        <v>54.0</v>
      </c>
      <c r="C323" s="52" t="s">
        <v>40</v>
      </c>
      <c r="D323" s="53">
        <f t="array" ref="D323">index('Match Sched'!$C$3:$H753,match(B323,'Match Sched'!$A$3:$A753,0),if(mod(A323,6)=0,6,mod(A323,6)),0)</f>
        <v>1678</v>
      </c>
      <c r="E323" s="54"/>
      <c r="F323" s="55"/>
      <c r="G323" s="67"/>
      <c r="H323" s="67"/>
      <c r="I323" s="67"/>
      <c r="J323" s="67"/>
      <c r="K323" s="67"/>
      <c r="L323" s="67"/>
      <c r="M323" s="61">
        <f t="shared" ref="M323:N323" si="216">M322</f>
        <v>0</v>
      </c>
      <c r="N323" s="57">
        <f t="shared" si="216"/>
        <v>1</v>
      </c>
      <c r="O323" s="59" t="str">
        <f>if ( isblank (E323), E323, E323 + F323*'Control PanelOur Matches'!$K$2 + G323*5 + H323*(1/3) + I323*'Control PanelOur Matches'!$M$2 + J323*50)</f>
        <v/>
      </c>
      <c r="P323" s="59" t="str">
        <f t="shared" si="2"/>
        <v/>
      </c>
      <c r="Q323" s="60" t="str">
        <f t="shared" si="3"/>
        <v>no</v>
      </c>
      <c r="R323" s="60" t="str">
        <f t="shared" si="4"/>
        <v/>
      </c>
    </row>
    <row r="324" ht="15.0" customHeight="1">
      <c r="A324" s="65">
        <v>321.0</v>
      </c>
      <c r="B324" s="66">
        <v>54.0</v>
      </c>
      <c r="C324" s="52" t="s">
        <v>41</v>
      </c>
      <c r="D324" s="53">
        <f t="array" ref="D324">index('Match Sched'!$C$3:$H753,match(B324,'Match Sched'!$A$3:$A753,0),if(mod(A324,6)=0,6,mod(A324,6)),0)</f>
        <v>687</v>
      </c>
      <c r="E324" s="54"/>
      <c r="F324" s="55"/>
      <c r="G324" s="67"/>
      <c r="H324" s="67"/>
      <c r="I324" s="67"/>
      <c r="J324" s="67"/>
      <c r="K324" s="67"/>
      <c r="L324" s="67"/>
      <c r="M324" s="62">
        <f t="shared" ref="M324:N324" si="217">M322</f>
        <v>0</v>
      </c>
      <c r="N324" s="57">
        <f t="shared" si="217"/>
        <v>1</v>
      </c>
      <c r="O324" s="59" t="str">
        <f>if ( isblank (E324), E324, E324 + F324*'Control PanelOur Matches'!$K$2 + G324*5 + H324*(1/3) + I324*'Control PanelOur Matches'!$M$2 + J324*50)</f>
        <v/>
      </c>
      <c r="P324" s="59" t="str">
        <f t="shared" si="2"/>
        <v/>
      </c>
      <c r="Q324" s="60" t="str">
        <f t="shared" si="3"/>
        <v>no</v>
      </c>
      <c r="R324" s="60" t="str">
        <f t="shared" si="4"/>
        <v/>
      </c>
    </row>
    <row r="325" ht="15.0" customHeight="1">
      <c r="A325" s="65">
        <v>322.0</v>
      </c>
      <c r="B325" s="66">
        <v>54.0</v>
      </c>
      <c r="C325" s="52" t="s">
        <v>42</v>
      </c>
      <c r="D325" s="53">
        <f t="array" ref="D325">index('Match Sched'!$C$3:$H753,match(B325,'Match Sched'!$A$3:$A753,0),if(mod(A325,6)=0,6,mod(A325,6)),0)</f>
        <v>6699</v>
      </c>
      <c r="E325" s="54"/>
      <c r="F325" s="55"/>
      <c r="G325" s="67"/>
      <c r="H325" s="67"/>
      <c r="I325" s="67"/>
      <c r="J325" s="67"/>
      <c r="K325" s="67"/>
      <c r="L325" s="67"/>
      <c r="M325" s="57">
        <f>SUM(F325:F327)</f>
        <v>0</v>
      </c>
      <c r="N325" s="57">
        <f>SUM(I325:I327)+1</f>
        <v>1</v>
      </c>
      <c r="O325" s="59" t="str">
        <f>if ( isblank (E325), E325, E325 + F325*'Control PanelOur Matches'!$K$2 + G325*5 + H325*(1/3) + I325*'Control PanelOur Matches'!$M$2 + J325*50)</f>
        <v/>
      </c>
      <c r="P325" s="59" t="str">
        <f t="shared" si="2"/>
        <v/>
      </c>
      <c r="Q325" s="60" t="str">
        <f t="shared" si="3"/>
        <v>no</v>
      </c>
      <c r="R325" s="60" t="str">
        <f t="shared" si="4"/>
        <v/>
      </c>
    </row>
    <row r="326" ht="15.0" customHeight="1">
      <c r="A326" s="65">
        <v>323.0</v>
      </c>
      <c r="B326" s="66">
        <v>54.0</v>
      </c>
      <c r="C326" s="52" t="s">
        <v>43</v>
      </c>
      <c r="D326" s="53">
        <f t="array" ref="D326">index('Match Sched'!$C$3:$H753,match(B326,'Match Sched'!$A$3:$A753,0),if(mod(A326,6)=0,6,mod(A326,6)),0)</f>
        <v>751</v>
      </c>
      <c r="E326" s="54"/>
      <c r="F326" s="55"/>
      <c r="G326" s="67"/>
      <c r="H326" s="67"/>
      <c r="I326" s="67"/>
      <c r="J326" s="67"/>
      <c r="K326" s="67"/>
      <c r="L326" s="67"/>
      <c r="M326" s="61">
        <f t="shared" ref="M326:N326" si="218">M325</f>
        <v>0</v>
      </c>
      <c r="N326" s="57">
        <f t="shared" si="218"/>
        <v>1</v>
      </c>
      <c r="O326" s="59" t="str">
        <f>if ( isblank (E326), E326, E326 + F326*'Control PanelOur Matches'!$K$2 + G326*5 + H326*(1/3) + I326*'Control PanelOur Matches'!$M$2 + J326*50)</f>
        <v/>
      </c>
      <c r="P326" s="59" t="str">
        <f t="shared" si="2"/>
        <v/>
      </c>
      <c r="Q326" s="60" t="str">
        <f t="shared" si="3"/>
        <v>no</v>
      </c>
      <c r="R326" s="60" t="str">
        <f t="shared" si="4"/>
        <v/>
      </c>
    </row>
    <row r="327" ht="15.0" customHeight="1">
      <c r="A327" s="65">
        <v>324.0</v>
      </c>
      <c r="B327" s="66">
        <v>54.0</v>
      </c>
      <c r="C327" s="68" t="s">
        <v>44</v>
      </c>
      <c r="D327" s="53">
        <f t="array" ref="D327">index('Match Sched'!$C$3:$H753,match(B327,'Match Sched'!$A$3:$A753,0),if(mod(A327,6)=0,6,mod(A327,6)),0)</f>
        <v>2813</v>
      </c>
      <c r="E327" s="54"/>
      <c r="F327" s="55"/>
      <c r="G327" s="67"/>
      <c r="H327" s="67"/>
      <c r="I327" s="67"/>
      <c r="J327" s="67"/>
      <c r="K327" s="67"/>
      <c r="L327" s="67"/>
      <c r="M327" s="62">
        <f t="shared" ref="M327:N327" si="219">M325</f>
        <v>0</v>
      </c>
      <c r="N327" s="57">
        <f t="shared" si="219"/>
        <v>1</v>
      </c>
      <c r="O327" s="59" t="str">
        <f>if ( isblank (E327), E327, E327 + F327*'Control PanelOur Matches'!$K$2 + G327*5 + H327*(1/3) + I327*'Control PanelOur Matches'!$M$2 + J327*50)</f>
        <v/>
      </c>
      <c r="P327" s="59" t="str">
        <f t="shared" si="2"/>
        <v/>
      </c>
      <c r="Q327" s="60" t="str">
        <f t="shared" si="3"/>
        <v>no</v>
      </c>
      <c r="R327" s="60" t="str">
        <f t="shared" si="4"/>
        <v/>
      </c>
    </row>
    <row r="328" ht="15.0" customHeight="1">
      <c r="A328" s="49">
        <v>325.0</v>
      </c>
      <c r="B328" s="50">
        <v>55.0</v>
      </c>
      <c r="C328" s="52" t="s">
        <v>39</v>
      </c>
      <c r="D328" s="53">
        <f t="array" ref="D328">index('Match Sched'!$C$3:$H753,match(B328,'Match Sched'!$A$3:$A753,0),if(mod(A328,6)=0,6,mod(A328,6)),0)</f>
        <v>2761</v>
      </c>
      <c r="E328" s="54"/>
      <c r="F328" s="55"/>
      <c r="G328" s="54"/>
      <c r="H328" s="54"/>
      <c r="I328" s="54"/>
      <c r="J328" s="54"/>
      <c r="K328" s="54"/>
      <c r="L328" s="54"/>
      <c r="M328" s="57">
        <f>SUM(F328:F330)</f>
        <v>0</v>
      </c>
      <c r="N328" s="57">
        <f>SUM(I328:I330)+1</f>
        <v>1</v>
      </c>
      <c r="O328" s="59" t="str">
        <f>if ( isblank (E328), E328, E328 + F328*'Control PanelOur Matches'!$K$2 + G328*5 + H328*(1/3) + I328*'Control PanelOur Matches'!$M$2 + J328*50)</f>
        <v/>
      </c>
      <c r="P328" s="59" t="str">
        <f t="shared" si="2"/>
        <v/>
      </c>
      <c r="Q328" s="60" t="str">
        <f t="shared" si="3"/>
        <v>no</v>
      </c>
      <c r="R328" s="60" t="str">
        <f t="shared" si="4"/>
        <v/>
      </c>
    </row>
    <row r="329" ht="15.0" customHeight="1">
      <c r="A329" s="49">
        <v>326.0</v>
      </c>
      <c r="B329" s="50">
        <v>55.0</v>
      </c>
      <c r="C329" s="52" t="s">
        <v>40</v>
      </c>
      <c r="D329" s="53">
        <f t="array" ref="D329">index('Match Sched'!$C$3:$H753,match(B329,'Match Sched'!$A$3:$A753,0),if(mod(A329,6)=0,6,mod(A329,6)),0)</f>
        <v>1422</v>
      </c>
      <c r="E329" s="54"/>
      <c r="F329" s="55"/>
      <c r="G329" s="54"/>
      <c r="H329" s="54"/>
      <c r="I329" s="54"/>
      <c r="J329" s="54"/>
      <c r="K329" s="54"/>
      <c r="L329" s="54"/>
      <c r="M329" s="61">
        <f t="shared" ref="M329:N329" si="220">M328</f>
        <v>0</v>
      </c>
      <c r="N329" s="57">
        <f t="shared" si="220"/>
        <v>1</v>
      </c>
      <c r="O329" s="59" t="str">
        <f>if ( isblank (E329), E329, E329 + F329*'Control PanelOur Matches'!$K$2 + G329*5 + H329*(1/3) + I329*'Control PanelOur Matches'!$M$2 + J329*50)</f>
        <v/>
      </c>
      <c r="P329" s="59" t="str">
        <f t="shared" si="2"/>
        <v/>
      </c>
      <c r="Q329" s="60" t="str">
        <f t="shared" si="3"/>
        <v>no</v>
      </c>
      <c r="R329" s="60" t="str">
        <f t="shared" si="4"/>
        <v/>
      </c>
    </row>
    <row r="330" ht="15.0" customHeight="1">
      <c r="A330" s="49">
        <v>327.0</v>
      </c>
      <c r="B330" s="50">
        <v>55.0</v>
      </c>
      <c r="C330" s="52" t="s">
        <v>41</v>
      </c>
      <c r="D330" s="53">
        <f t="array" ref="D330">index('Match Sched'!$C$3:$H753,match(B330,'Match Sched'!$A$3:$A753,0),if(mod(A330,6)=0,6,mod(A330,6)),0)</f>
        <v>294</v>
      </c>
      <c r="E330" s="54"/>
      <c r="F330" s="55"/>
      <c r="G330" s="54"/>
      <c r="H330" s="54"/>
      <c r="I330" s="54"/>
      <c r="J330" s="54"/>
      <c r="K330" s="54"/>
      <c r="L330" s="54"/>
      <c r="M330" s="62">
        <f t="shared" ref="M330:N330" si="221">M328</f>
        <v>0</v>
      </c>
      <c r="N330" s="57">
        <f t="shared" si="221"/>
        <v>1</v>
      </c>
      <c r="O330" s="59" t="str">
        <f>if ( isblank (E330), E330, E330 + F330*'Control PanelOur Matches'!$K$2 + G330*5 + H330*(1/3) + I330*'Control PanelOur Matches'!$M$2 + J330*50)</f>
        <v/>
      </c>
      <c r="P330" s="59" t="str">
        <f t="shared" si="2"/>
        <v/>
      </c>
      <c r="Q330" s="60" t="str">
        <f t="shared" si="3"/>
        <v>no</v>
      </c>
      <c r="R330" s="60" t="str">
        <f t="shared" si="4"/>
        <v/>
      </c>
    </row>
    <row r="331" ht="15.0" customHeight="1">
      <c r="A331" s="49">
        <v>328.0</v>
      </c>
      <c r="B331" s="50">
        <v>55.0</v>
      </c>
      <c r="C331" s="52" t="s">
        <v>42</v>
      </c>
      <c r="D331" s="53">
        <f t="array" ref="D331">index('Match Sched'!$C$3:$H753,match(B331,'Match Sched'!$A$3:$A753,0),if(mod(A331,6)=0,6,mod(A331,6)),0)</f>
        <v>4276</v>
      </c>
      <c r="E331" s="54"/>
      <c r="F331" s="55"/>
      <c r="G331" s="54"/>
      <c r="H331" s="54"/>
      <c r="I331" s="54"/>
      <c r="J331" s="54"/>
      <c r="K331" s="54"/>
      <c r="L331" s="54"/>
      <c r="M331" s="57">
        <f>SUM(F331:F333)</f>
        <v>0</v>
      </c>
      <c r="N331" s="57">
        <f>SUM(I331:I333)+1</f>
        <v>1</v>
      </c>
      <c r="O331" s="59" t="str">
        <f>if ( isblank (E331), E331, E331 + F331*'Control PanelOur Matches'!$K$2 + G331*5 + H331*(1/3) + I331*'Control PanelOur Matches'!$M$2 + J331*50)</f>
        <v/>
      </c>
      <c r="P331" s="59" t="str">
        <f t="shared" si="2"/>
        <v/>
      </c>
      <c r="Q331" s="60" t="str">
        <f t="shared" si="3"/>
        <v>no</v>
      </c>
      <c r="R331" s="60" t="str">
        <f t="shared" si="4"/>
        <v/>
      </c>
    </row>
    <row r="332" ht="15.0" customHeight="1">
      <c r="A332" s="49">
        <v>329.0</v>
      </c>
      <c r="B332" s="50">
        <v>55.0</v>
      </c>
      <c r="C332" s="52" t="s">
        <v>43</v>
      </c>
      <c r="D332" s="53">
        <f t="array" ref="D332">index('Match Sched'!$C$3:$H753,match(B332,'Match Sched'!$A$3:$A753,0),if(mod(A332,6)=0,6,mod(A332,6)),0)</f>
        <v>670</v>
      </c>
      <c r="E332" s="54"/>
      <c r="F332" s="55"/>
      <c r="G332" s="54"/>
      <c r="H332" s="54"/>
      <c r="I332" s="54"/>
      <c r="J332" s="54"/>
      <c r="K332" s="54"/>
      <c r="L332" s="54"/>
      <c r="M332" s="61">
        <f t="shared" ref="M332:N332" si="222">M331</f>
        <v>0</v>
      </c>
      <c r="N332" s="57">
        <f t="shared" si="222"/>
        <v>1</v>
      </c>
      <c r="O332" s="59" t="str">
        <f>if ( isblank (E332), E332, E332 + F332*'Control PanelOur Matches'!$K$2 + G332*5 + H332*(1/3) + I332*'Control PanelOur Matches'!$M$2 + J332*50)</f>
        <v/>
      </c>
      <c r="P332" s="59" t="str">
        <f t="shared" si="2"/>
        <v/>
      </c>
      <c r="Q332" s="60" t="str">
        <f t="shared" si="3"/>
        <v>no</v>
      </c>
      <c r="R332" s="60" t="str">
        <f t="shared" si="4"/>
        <v/>
      </c>
    </row>
    <row r="333" ht="15.0" customHeight="1">
      <c r="A333" s="49">
        <v>330.0</v>
      </c>
      <c r="B333" s="50">
        <v>55.0</v>
      </c>
      <c r="C333" s="52" t="s">
        <v>44</v>
      </c>
      <c r="D333" s="53">
        <f t="array" ref="D333">index('Match Sched'!$C$3:$H753,match(B333,'Match Sched'!$A$3:$A753,0),if(mod(A333,6)=0,6,mod(A333,6)),0)</f>
        <v>2085</v>
      </c>
      <c r="E333" s="54"/>
      <c r="F333" s="55"/>
      <c r="G333" s="54"/>
      <c r="H333" s="54"/>
      <c r="I333" s="54"/>
      <c r="J333" s="54"/>
      <c r="K333" s="54"/>
      <c r="L333" s="54"/>
      <c r="M333" s="62">
        <f t="shared" ref="M333:N333" si="223">M331</f>
        <v>0</v>
      </c>
      <c r="N333" s="57">
        <f t="shared" si="223"/>
        <v>1</v>
      </c>
      <c r="O333" s="59" t="str">
        <f>if ( isblank (E333), E333, E333 + F333*'Control PanelOur Matches'!$K$2 + G333*5 + H333*(1/3) + I333*'Control PanelOur Matches'!$M$2 + J333*50)</f>
        <v/>
      </c>
      <c r="P333" s="59" t="str">
        <f t="shared" si="2"/>
        <v/>
      </c>
      <c r="Q333" s="60" t="str">
        <f t="shared" si="3"/>
        <v>no</v>
      </c>
      <c r="R333" s="60" t="str">
        <f t="shared" si="4"/>
        <v/>
      </c>
    </row>
    <row r="334" ht="15.0" customHeight="1">
      <c r="A334" s="65">
        <v>331.0</v>
      </c>
      <c r="B334" s="66">
        <v>56.0</v>
      </c>
      <c r="C334" s="52" t="s">
        <v>39</v>
      </c>
      <c r="D334" s="53">
        <f t="array" ref="D334">index('Match Sched'!$C$3:$H753,match(B334,'Match Sched'!$A$3:$A753,0),if(mod(A334,6)=0,6,mod(A334,6)),0)</f>
        <v>1868</v>
      </c>
      <c r="E334" s="54"/>
      <c r="F334" s="55"/>
      <c r="G334" s="67"/>
      <c r="H334" s="67"/>
      <c r="I334" s="67"/>
      <c r="J334" s="67"/>
      <c r="K334" s="67"/>
      <c r="L334" s="67"/>
      <c r="M334" s="57">
        <f>SUM(F334:F336)</f>
        <v>0</v>
      </c>
      <c r="N334" s="57">
        <f>SUM(I334:I336)+1</f>
        <v>1</v>
      </c>
      <c r="O334" s="59" t="str">
        <f>if ( isblank (E334), E334, E334 + F334*'Control PanelOur Matches'!$K$2 + G334*5 + H334*(1/3) + I334*'Control PanelOur Matches'!$M$2 + J334*50)</f>
        <v/>
      </c>
      <c r="P334" s="59" t="str">
        <f t="shared" si="2"/>
        <v/>
      </c>
      <c r="Q334" s="60" t="str">
        <f t="shared" si="3"/>
        <v>no</v>
      </c>
      <c r="R334" s="60" t="str">
        <f t="shared" si="4"/>
        <v/>
      </c>
    </row>
    <row r="335" ht="15.0" customHeight="1">
      <c r="A335" s="65">
        <v>332.0</v>
      </c>
      <c r="B335" s="66">
        <v>56.0</v>
      </c>
      <c r="C335" s="69" t="s">
        <v>40</v>
      </c>
      <c r="D335" s="53">
        <f t="array" ref="D335">index('Match Sched'!$C$3:$H753,match(B335,'Match Sched'!$A$3:$A753,0),if(mod(A335,6)=0,6,mod(A335,6)),0)</f>
        <v>6657</v>
      </c>
      <c r="E335" s="54"/>
      <c r="F335" s="55"/>
      <c r="G335" s="67"/>
      <c r="H335" s="67"/>
      <c r="I335" s="67"/>
      <c r="J335" s="67"/>
      <c r="K335" s="67"/>
      <c r="L335" s="67"/>
      <c r="M335" s="61">
        <f t="shared" ref="M335:N335" si="224">M334</f>
        <v>0</v>
      </c>
      <c r="N335" s="57">
        <f t="shared" si="224"/>
        <v>1</v>
      </c>
      <c r="O335" s="59" t="str">
        <f>if ( isblank (E335), E335, E335 + F335*'Control PanelOur Matches'!$K$2 + G335*5 + H335*(1/3) + I335*'Control PanelOur Matches'!$M$2 + J335*50)</f>
        <v/>
      </c>
      <c r="P335" s="59" t="str">
        <f t="shared" si="2"/>
        <v/>
      </c>
      <c r="Q335" s="60" t="str">
        <f t="shared" si="3"/>
        <v>no</v>
      </c>
      <c r="R335" s="60" t="str">
        <f t="shared" si="4"/>
        <v/>
      </c>
    </row>
    <row r="336" ht="15.0" customHeight="1">
      <c r="A336" s="65">
        <v>333.0</v>
      </c>
      <c r="B336" s="66">
        <v>56.0</v>
      </c>
      <c r="C336" s="52" t="s">
        <v>41</v>
      </c>
      <c r="D336" s="53">
        <f t="array" ref="D336">index('Match Sched'!$C$3:$H753,match(B336,'Match Sched'!$A$3:$A753,0),if(mod(A336,6)=0,6,mod(A336,6)),0)</f>
        <v>5817</v>
      </c>
      <c r="E336" s="54"/>
      <c r="F336" s="55"/>
      <c r="G336" s="67"/>
      <c r="H336" s="67"/>
      <c r="I336" s="67"/>
      <c r="J336" s="67"/>
      <c r="K336" s="67"/>
      <c r="L336" s="67"/>
      <c r="M336" s="62">
        <f t="shared" ref="M336:N336" si="225">M334</f>
        <v>0</v>
      </c>
      <c r="N336" s="57">
        <f t="shared" si="225"/>
        <v>1</v>
      </c>
      <c r="O336" s="59" t="str">
        <f>if ( isblank (E336), E336, E336 + F336*'Control PanelOur Matches'!$K$2 + G336*5 + H336*(1/3) + I336*'Control PanelOur Matches'!$M$2 + J336*50)</f>
        <v/>
      </c>
      <c r="P336" s="59" t="str">
        <f t="shared" si="2"/>
        <v/>
      </c>
      <c r="Q336" s="60" t="str">
        <f t="shared" si="3"/>
        <v>no</v>
      </c>
      <c r="R336" s="60" t="str">
        <f t="shared" si="4"/>
        <v/>
      </c>
    </row>
    <row r="337" ht="15.0" customHeight="1">
      <c r="A337" s="65">
        <v>334.0</v>
      </c>
      <c r="B337" s="66">
        <v>56.0</v>
      </c>
      <c r="C337" s="52" t="s">
        <v>42</v>
      </c>
      <c r="D337" s="53">
        <f t="array" ref="D337">index('Match Sched'!$C$3:$H753,match(B337,'Match Sched'!$A$3:$A753,0),if(mod(A337,6)=0,6,mod(A337,6)),0)</f>
        <v>6059</v>
      </c>
      <c r="E337" s="54"/>
      <c r="F337" s="55"/>
      <c r="G337" s="67"/>
      <c r="H337" s="67"/>
      <c r="I337" s="67"/>
      <c r="J337" s="67"/>
      <c r="K337" s="67"/>
      <c r="L337" s="67"/>
      <c r="M337" s="57">
        <f>SUM(F337:F339)</f>
        <v>0</v>
      </c>
      <c r="N337" s="57">
        <f>SUM(I337:I339)+1</f>
        <v>1</v>
      </c>
      <c r="O337" s="59" t="str">
        <f>if ( isblank (E337), E337, E337 + F337*'Control PanelOur Matches'!$K$2 + G337*5 + H337*(1/3) + I337*'Control PanelOur Matches'!$M$2 + J337*50)</f>
        <v/>
      </c>
      <c r="P337" s="59" t="str">
        <f t="shared" si="2"/>
        <v/>
      </c>
      <c r="Q337" s="60" t="str">
        <f t="shared" si="3"/>
        <v>no</v>
      </c>
      <c r="R337" s="60" t="str">
        <f t="shared" si="4"/>
        <v/>
      </c>
    </row>
    <row r="338" ht="15.0" customHeight="1">
      <c r="A338" s="65">
        <v>335.0</v>
      </c>
      <c r="B338" s="66">
        <v>56.0</v>
      </c>
      <c r="C338" s="52" t="s">
        <v>43</v>
      </c>
      <c r="D338" s="53">
        <f t="array" ref="D338">index('Match Sched'!$C$3:$H753,match(B338,'Match Sched'!$A$3:$A753,0),if(mod(A338,6)=0,6,mod(A338,6)),0)</f>
        <v>6711</v>
      </c>
      <c r="E338" s="54"/>
      <c r="F338" s="55"/>
      <c r="G338" s="67"/>
      <c r="H338" s="67"/>
      <c r="I338" s="67"/>
      <c r="J338" s="67"/>
      <c r="K338" s="67"/>
      <c r="L338" s="67"/>
      <c r="M338" s="61">
        <f t="shared" ref="M338:N338" si="226">M337</f>
        <v>0</v>
      </c>
      <c r="N338" s="57">
        <f t="shared" si="226"/>
        <v>1</v>
      </c>
      <c r="O338" s="59" t="str">
        <f>if ( isblank (E338), E338, E338 + F338*'Control PanelOur Matches'!$K$2 + G338*5 + H338*(1/3) + I338*'Control PanelOur Matches'!$M$2 + J338*50)</f>
        <v/>
      </c>
      <c r="P338" s="59" t="str">
        <f t="shared" si="2"/>
        <v/>
      </c>
      <c r="Q338" s="60" t="str">
        <f t="shared" si="3"/>
        <v>no</v>
      </c>
      <c r="R338" s="60" t="str">
        <f t="shared" si="4"/>
        <v/>
      </c>
    </row>
    <row r="339" ht="15.0" customHeight="1">
      <c r="A339" s="65">
        <v>336.0</v>
      </c>
      <c r="B339" s="66">
        <v>56.0</v>
      </c>
      <c r="C339" s="68" t="s">
        <v>44</v>
      </c>
      <c r="D339" s="53">
        <f t="array" ref="D339">index('Match Sched'!$C$3:$H753,match(B339,'Match Sched'!$A$3:$A753,0),if(mod(A339,6)=0,6,mod(A339,6)),0)</f>
        <v>6305</v>
      </c>
      <c r="E339" s="54"/>
      <c r="F339" s="55"/>
      <c r="G339" s="67"/>
      <c r="H339" s="67"/>
      <c r="I339" s="67"/>
      <c r="J339" s="67"/>
      <c r="K339" s="67"/>
      <c r="L339" s="67"/>
      <c r="M339" s="62">
        <f t="shared" ref="M339:N339" si="227">M337</f>
        <v>0</v>
      </c>
      <c r="N339" s="57">
        <f t="shared" si="227"/>
        <v>1</v>
      </c>
      <c r="O339" s="59" t="str">
        <f>if ( isblank (E339), E339, E339 + F339*'Control PanelOur Matches'!$K$2 + G339*5 + H339*(1/3) + I339*'Control PanelOur Matches'!$M$2 + J339*50)</f>
        <v/>
      </c>
      <c r="P339" s="59" t="str">
        <f t="shared" si="2"/>
        <v/>
      </c>
      <c r="Q339" s="60" t="str">
        <f t="shared" si="3"/>
        <v>no</v>
      </c>
      <c r="R339" s="60" t="str">
        <f t="shared" si="4"/>
        <v/>
      </c>
    </row>
    <row r="340" ht="15.0" customHeight="1">
      <c r="A340" s="49">
        <v>337.0</v>
      </c>
      <c r="B340" s="50">
        <v>57.0</v>
      </c>
      <c r="C340" s="52" t="s">
        <v>39</v>
      </c>
      <c r="D340" s="53">
        <f t="array" ref="D340">index('Match Sched'!$C$3:$H753,match(B340,'Match Sched'!$A$3:$A753,0),if(mod(A340,6)=0,6,mod(A340,6)),0)</f>
        <v>6699</v>
      </c>
      <c r="E340" s="54"/>
      <c r="F340" s="55"/>
      <c r="G340" s="54"/>
      <c r="H340" s="54"/>
      <c r="I340" s="54"/>
      <c r="J340" s="54"/>
      <c r="K340" s="54"/>
      <c r="L340" s="54"/>
      <c r="M340" s="57">
        <f>SUM(F340:F342)</f>
        <v>0</v>
      </c>
      <c r="N340" s="57">
        <f>SUM(I340:I342)+1</f>
        <v>1</v>
      </c>
      <c r="O340" s="59" t="str">
        <f>if ( isblank (E340), E340, E340 + F340*'Control PanelOur Matches'!$K$2 + G340*5 + H340*(1/3) + I340*'Control PanelOur Matches'!$M$2 + J340*50)</f>
        <v/>
      </c>
      <c r="P340" s="59" t="str">
        <f t="shared" si="2"/>
        <v/>
      </c>
      <c r="Q340" s="60" t="str">
        <f t="shared" si="3"/>
        <v>no</v>
      </c>
      <c r="R340" s="60" t="str">
        <f t="shared" si="4"/>
        <v/>
      </c>
    </row>
    <row r="341" ht="15.0" customHeight="1">
      <c r="A341" s="49">
        <v>338.0</v>
      </c>
      <c r="B341" s="50">
        <v>57.0</v>
      </c>
      <c r="C341" s="52" t="s">
        <v>40</v>
      </c>
      <c r="D341" s="53">
        <f t="array" ref="D341">index('Match Sched'!$C$3:$H753,match(B341,'Match Sched'!$A$3:$A753,0),if(mod(A341,6)=0,6,mod(A341,6)),0)</f>
        <v>2367</v>
      </c>
      <c r="E341" s="54"/>
      <c r="F341" s="55"/>
      <c r="G341" s="54"/>
      <c r="H341" s="54"/>
      <c r="I341" s="54"/>
      <c r="J341" s="54"/>
      <c r="K341" s="54"/>
      <c r="L341" s="54"/>
      <c r="M341" s="61">
        <f t="shared" ref="M341:N341" si="228">M340</f>
        <v>0</v>
      </c>
      <c r="N341" s="57">
        <f t="shared" si="228"/>
        <v>1</v>
      </c>
      <c r="O341" s="59" t="str">
        <f>if ( isblank (E341), E341, E341 + F341*'Control PanelOur Matches'!$K$2 + G341*5 + H341*(1/3) + I341*'Control PanelOur Matches'!$M$2 + J341*50)</f>
        <v/>
      </c>
      <c r="P341" s="59" t="str">
        <f t="shared" si="2"/>
        <v/>
      </c>
      <c r="Q341" s="60" t="str">
        <f t="shared" si="3"/>
        <v>no</v>
      </c>
      <c r="R341" s="60" t="str">
        <f t="shared" si="4"/>
        <v/>
      </c>
    </row>
    <row r="342" ht="15.0" customHeight="1">
      <c r="A342" s="49">
        <v>339.0</v>
      </c>
      <c r="B342" s="50">
        <v>57.0</v>
      </c>
      <c r="C342" s="52" t="s">
        <v>41</v>
      </c>
      <c r="D342" s="53">
        <f t="array" ref="D342">index('Match Sched'!$C$3:$H753,match(B342,'Match Sched'!$A$3:$A753,0),if(mod(A342,6)=0,6,mod(A342,6)),0)</f>
        <v>1671</v>
      </c>
      <c r="E342" s="54"/>
      <c r="F342" s="55"/>
      <c r="G342" s="54"/>
      <c r="H342" s="54"/>
      <c r="I342" s="54"/>
      <c r="J342" s="54"/>
      <c r="K342" s="54"/>
      <c r="L342" s="54"/>
      <c r="M342" s="62">
        <f t="shared" ref="M342:N342" si="229">M340</f>
        <v>0</v>
      </c>
      <c r="N342" s="57">
        <f t="shared" si="229"/>
        <v>1</v>
      </c>
      <c r="O342" s="59" t="str">
        <f>if ( isblank (E342), E342, E342 + F342*'Control PanelOur Matches'!$K$2 + G342*5 + H342*(1/3) + I342*'Control PanelOur Matches'!$M$2 + J342*50)</f>
        <v/>
      </c>
      <c r="P342" s="59" t="str">
        <f t="shared" si="2"/>
        <v/>
      </c>
      <c r="Q342" s="60" t="str">
        <f t="shared" si="3"/>
        <v>no</v>
      </c>
      <c r="R342" s="60" t="str">
        <f t="shared" si="4"/>
        <v/>
      </c>
    </row>
    <row r="343" ht="15.0" customHeight="1">
      <c r="A343" s="49">
        <v>340.0</v>
      </c>
      <c r="B343" s="50">
        <v>57.0</v>
      </c>
      <c r="C343" s="52" t="s">
        <v>42</v>
      </c>
      <c r="D343" s="53">
        <f t="array" ref="D343">index('Match Sched'!$C$3:$H753,match(B343,'Match Sched'!$A$3:$A753,0),if(mod(A343,6)=0,6,mod(A343,6)),0)</f>
        <v>4543</v>
      </c>
      <c r="E343" s="54"/>
      <c r="F343" s="55"/>
      <c r="G343" s="54"/>
      <c r="H343" s="54"/>
      <c r="I343" s="54"/>
      <c r="J343" s="54"/>
      <c r="K343" s="54"/>
      <c r="L343" s="54"/>
      <c r="M343" s="57">
        <f>SUM(F343:F345)</f>
        <v>0</v>
      </c>
      <c r="N343" s="57">
        <f>SUM(I343:I345)+1</f>
        <v>1</v>
      </c>
      <c r="O343" s="59" t="str">
        <f>if ( isblank (E343), E343, E343 + F343*'Control PanelOur Matches'!$K$2 + G343*5 + H343*(1/3) + I343*'Control PanelOur Matches'!$M$2 + J343*50)</f>
        <v/>
      </c>
      <c r="P343" s="59" t="str">
        <f t="shared" si="2"/>
        <v/>
      </c>
      <c r="Q343" s="60" t="str">
        <f t="shared" si="3"/>
        <v>no</v>
      </c>
      <c r="R343" s="60" t="str">
        <f t="shared" si="4"/>
        <v/>
      </c>
    </row>
    <row r="344" ht="15.0" customHeight="1">
      <c r="A344" s="49">
        <v>341.0</v>
      </c>
      <c r="B344" s="50">
        <v>57.0</v>
      </c>
      <c r="C344" s="52" t="s">
        <v>43</v>
      </c>
      <c r="D344" s="53">
        <f t="array" ref="D344">index('Match Sched'!$C$3:$H753,match(B344,'Match Sched'!$A$3:$A753,0),if(mod(A344,6)=0,6,mod(A344,6)),0)</f>
        <v>972</v>
      </c>
      <c r="E344" s="54"/>
      <c r="F344" s="55"/>
      <c r="G344" s="54"/>
      <c r="H344" s="54"/>
      <c r="I344" s="54"/>
      <c r="J344" s="54"/>
      <c r="K344" s="54"/>
      <c r="L344" s="54"/>
      <c r="M344" s="61">
        <f t="shared" ref="M344:N344" si="230">M343</f>
        <v>0</v>
      </c>
      <c r="N344" s="57">
        <f t="shared" si="230"/>
        <v>1</v>
      </c>
      <c r="O344" s="59" t="str">
        <f>if ( isblank (E344), E344, E344 + F344*'Control PanelOur Matches'!$K$2 + G344*5 + H344*(1/3) + I344*'Control PanelOur Matches'!$M$2 + J344*50)</f>
        <v/>
      </c>
      <c r="P344" s="59" t="str">
        <f t="shared" si="2"/>
        <v/>
      </c>
      <c r="Q344" s="60" t="str">
        <f t="shared" si="3"/>
        <v>no</v>
      </c>
      <c r="R344" s="60" t="str">
        <f t="shared" si="4"/>
        <v/>
      </c>
    </row>
    <row r="345" ht="15.0" customHeight="1">
      <c r="A345" s="49">
        <v>342.0</v>
      </c>
      <c r="B345" s="50">
        <v>57.0</v>
      </c>
      <c r="C345" s="52" t="s">
        <v>44</v>
      </c>
      <c r="D345" s="53">
        <f t="array" ref="D345">index('Match Sched'!$C$3:$H753,match(B345,'Match Sched'!$A$3:$A753,0),if(mod(A345,6)=0,6,mod(A345,6)),0)</f>
        <v>1072</v>
      </c>
      <c r="E345" s="54"/>
      <c r="F345" s="55"/>
      <c r="G345" s="54"/>
      <c r="H345" s="54"/>
      <c r="I345" s="54"/>
      <c r="J345" s="54"/>
      <c r="K345" s="54"/>
      <c r="L345" s="54"/>
      <c r="M345" s="62">
        <f t="shared" ref="M345:N345" si="231">M343</f>
        <v>0</v>
      </c>
      <c r="N345" s="57">
        <f t="shared" si="231"/>
        <v>1</v>
      </c>
      <c r="O345" s="59" t="str">
        <f>if ( isblank (E345), E345, E345 + F345*'Control PanelOur Matches'!$K$2 + G345*5 + H345*(1/3) + I345*'Control PanelOur Matches'!$M$2 + J345*50)</f>
        <v/>
      </c>
      <c r="P345" s="59" t="str">
        <f t="shared" si="2"/>
        <v/>
      </c>
      <c r="Q345" s="60" t="str">
        <f t="shared" si="3"/>
        <v>no</v>
      </c>
      <c r="R345" s="60" t="str">
        <f t="shared" si="4"/>
        <v/>
      </c>
    </row>
    <row r="346" ht="15.0" customHeight="1">
      <c r="A346" s="65">
        <v>343.0</v>
      </c>
      <c r="B346" s="66">
        <v>58.0</v>
      </c>
      <c r="C346" s="52" t="s">
        <v>39</v>
      </c>
      <c r="D346" s="53">
        <f t="array" ref="D346">index('Match Sched'!$C$3:$H753,match(B346,'Match Sched'!$A$3:$A753,0),if(mod(A346,6)=0,6,mod(A346,6)),0)</f>
        <v>5852</v>
      </c>
      <c r="E346" s="54"/>
      <c r="F346" s="55"/>
      <c r="G346" s="67"/>
      <c r="H346" s="67"/>
      <c r="I346" s="67"/>
      <c r="J346" s="67"/>
      <c r="K346" s="67"/>
      <c r="L346" s="67"/>
      <c r="M346" s="57">
        <f>SUM(F346:F348)</f>
        <v>0</v>
      </c>
      <c r="N346" s="57">
        <f>SUM(I346:I348)+1</f>
        <v>1</v>
      </c>
      <c r="O346" s="59" t="str">
        <f>if ( isblank (E346), E346, E346 + F346*'Control PanelOur Matches'!$K$2 + G346*5 + H346*(1/3) + I346*'Control PanelOur Matches'!$M$2 + J346*50)</f>
        <v/>
      </c>
      <c r="P346" s="59" t="str">
        <f t="shared" si="2"/>
        <v/>
      </c>
      <c r="Q346" s="60" t="str">
        <f t="shared" si="3"/>
        <v>no</v>
      </c>
      <c r="R346" s="60" t="str">
        <f t="shared" si="4"/>
        <v/>
      </c>
    </row>
    <row r="347" ht="15.0" customHeight="1">
      <c r="A347" s="65">
        <v>344.0</v>
      </c>
      <c r="B347" s="66">
        <v>58.0</v>
      </c>
      <c r="C347" s="52" t="s">
        <v>40</v>
      </c>
      <c r="D347" s="53">
        <f t="array" ref="D347">index('Match Sched'!$C$3:$H753,match(B347,'Match Sched'!$A$3:$A753,0),if(mod(A347,6)=0,6,mod(A347,6)),0)</f>
        <v>6650</v>
      </c>
      <c r="E347" s="54"/>
      <c r="F347" s="55"/>
      <c r="G347" s="67"/>
      <c r="H347" s="67"/>
      <c r="I347" s="67"/>
      <c r="J347" s="67"/>
      <c r="K347" s="67"/>
      <c r="L347" s="67"/>
      <c r="M347" s="61">
        <f t="shared" ref="M347:N347" si="232">M346</f>
        <v>0</v>
      </c>
      <c r="N347" s="57">
        <f t="shared" si="232"/>
        <v>1</v>
      </c>
      <c r="O347" s="59" t="str">
        <f>if ( isblank (E347), E347, E347 + F347*'Control PanelOur Matches'!$K$2 + G347*5 + H347*(1/3) + I347*'Control PanelOur Matches'!$M$2 + J347*50)</f>
        <v/>
      </c>
      <c r="P347" s="59" t="str">
        <f t="shared" si="2"/>
        <v/>
      </c>
      <c r="Q347" s="60" t="str">
        <f t="shared" si="3"/>
        <v>no</v>
      </c>
      <c r="R347" s="60" t="str">
        <f t="shared" si="4"/>
        <v/>
      </c>
    </row>
    <row r="348" ht="15.0" customHeight="1">
      <c r="A348" s="65">
        <v>345.0</v>
      </c>
      <c r="B348" s="66">
        <v>58.0</v>
      </c>
      <c r="C348" s="52" t="s">
        <v>41</v>
      </c>
      <c r="D348" s="53">
        <f t="array" ref="D348">index('Match Sched'!$C$3:$H753,match(B348,'Match Sched'!$A$3:$A753,0),if(mod(A348,6)=0,6,mod(A348,6)),0)</f>
        <v>751</v>
      </c>
      <c r="E348" s="54"/>
      <c r="F348" s="55"/>
      <c r="G348" s="67"/>
      <c r="H348" s="67"/>
      <c r="I348" s="67"/>
      <c r="J348" s="67"/>
      <c r="K348" s="67"/>
      <c r="L348" s="67"/>
      <c r="M348" s="62">
        <f t="shared" ref="M348:N348" si="233">M346</f>
        <v>0</v>
      </c>
      <c r="N348" s="57">
        <f t="shared" si="233"/>
        <v>1</v>
      </c>
      <c r="O348" s="59" t="str">
        <f>if ( isblank (E348), E348, E348 + F348*'Control PanelOur Matches'!$K$2 + G348*5 + H348*(1/3) + I348*'Control PanelOur Matches'!$M$2 + J348*50)</f>
        <v/>
      </c>
      <c r="P348" s="59" t="str">
        <f t="shared" si="2"/>
        <v/>
      </c>
      <c r="Q348" s="60" t="str">
        <f t="shared" si="3"/>
        <v>no</v>
      </c>
      <c r="R348" s="60" t="str">
        <f t="shared" si="4"/>
        <v/>
      </c>
    </row>
    <row r="349" ht="15.0" customHeight="1">
      <c r="A349" s="65">
        <v>346.0</v>
      </c>
      <c r="B349" s="66">
        <v>58.0</v>
      </c>
      <c r="C349" s="52" t="s">
        <v>42</v>
      </c>
      <c r="D349" s="53">
        <f t="array" ref="D349">index('Match Sched'!$C$3:$H753,match(B349,'Match Sched'!$A$3:$A753,0),if(mod(A349,6)=0,6,mod(A349,6)),0)</f>
        <v>1323</v>
      </c>
      <c r="E349" s="54"/>
      <c r="F349" s="55"/>
      <c r="G349" s="67"/>
      <c r="H349" s="67"/>
      <c r="I349" s="67"/>
      <c r="J349" s="67"/>
      <c r="K349" s="67"/>
      <c r="L349" s="67"/>
      <c r="M349" s="57">
        <f>SUM(F349:F351)</f>
        <v>0</v>
      </c>
      <c r="N349" s="57">
        <f>SUM(I349:I351)+1</f>
        <v>1</v>
      </c>
      <c r="O349" s="59" t="str">
        <f>if ( isblank (E349), E349, E349 + F349*'Control PanelOur Matches'!$K$2 + G349*5 + H349*(1/3) + I349*'Control PanelOur Matches'!$M$2 + J349*50)</f>
        <v/>
      </c>
      <c r="P349" s="59" t="str">
        <f t="shared" si="2"/>
        <v/>
      </c>
      <c r="Q349" s="60" t="str">
        <f t="shared" si="3"/>
        <v>no</v>
      </c>
      <c r="R349" s="60" t="str">
        <f t="shared" si="4"/>
        <v/>
      </c>
    </row>
    <row r="350" ht="15.0" customHeight="1">
      <c r="A350" s="65">
        <v>347.0</v>
      </c>
      <c r="B350" s="66">
        <v>58.0</v>
      </c>
      <c r="C350" s="52" t="s">
        <v>43</v>
      </c>
      <c r="D350" s="53">
        <f t="array" ref="D350">index('Match Sched'!$C$3:$H753,match(B350,'Match Sched'!$A$3:$A753,0),if(mod(A350,6)=0,6,mod(A350,6)),0)</f>
        <v>3501</v>
      </c>
      <c r="E350" s="54"/>
      <c r="F350" s="55"/>
      <c r="G350" s="67"/>
      <c r="H350" s="67"/>
      <c r="I350" s="67"/>
      <c r="J350" s="67"/>
      <c r="K350" s="67"/>
      <c r="L350" s="67"/>
      <c r="M350" s="61">
        <f t="shared" ref="M350:N350" si="234">M349</f>
        <v>0</v>
      </c>
      <c r="N350" s="57">
        <f t="shared" si="234"/>
        <v>1</v>
      </c>
      <c r="O350" s="59" t="str">
        <f>if ( isblank (E350), E350, E350 + F350*'Control PanelOur Matches'!$K$2 + G350*5 + H350*(1/3) + I350*'Control PanelOur Matches'!$M$2 + J350*50)</f>
        <v/>
      </c>
      <c r="P350" s="59" t="str">
        <f t="shared" si="2"/>
        <v/>
      </c>
      <c r="Q350" s="60" t="str">
        <f t="shared" si="3"/>
        <v>no</v>
      </c>
      <c r="R350" s="60" t="str">
        <f t="shared" si="4"/>
        <v/>
      </c>
    </row>
    <row r="351" ht="15.0" customHeight="1">
      <c r="A351" s="65">
        <v>348.0</v>
      </c>
      <c r="B351" s="66">
        <v>58.0</v>
      </c>
      <c r="C351" s="68" t="s">
        <v>44</v>
      </c>
      <c r="D351" s="53">
        <f t="array" ref="D351">index('Match Sched'!$C$3:$H753,match(B351,'Match Sched'!$A$3:$A753,0),if(mod(A351,6)=0,6,mod(A351,6)),0)</f>
        <v>6619</v>
      </c>
      <c r="E351" s="54"/>
      <c r="F351" s="55"/>
      <c r="G351" s="67"/>
      <c r="H351" s="67"/>
      <c r="I351" s="67"/>
      <c r="J351" s="67"/>
      <c r="K351" s="67"/>
      <c r="L351" s="67"/>
      <c r="M351" s="62">
        <f t="shared" ref="M351:N351" si="235">M349</f>
        <v>0</v>
      </c>
      <c r="N351" s="57">
        <f t="shared" si="235"/>
        <v>1</v>
      </c>
      <c r="O351" s="59" t="str">
        <f>if ( isblank (E351), E351, E351 + F351*'Control PanelOur Matches'!$K$2 + G351*5 + H351*(1/3) + I351*'Control PanelOur Matches'!$M$2 + J351*50)</f>
        <v/>
      </c>
      <c r="P351" s="59" t="str">
        <f t="shared" si="2"/>
        <v/>
      </c>
      <c r="Q351" s="60" t="str">
        <f t="shared" si="3"/>
        <v>no</v>
      </c>
      <c r="R351" s="60" t="str">
        <f t="shared" si="4"/>
        <v/>
      </c>
    </row>
    <row r="352" ht="15.0" customHeight="1">
      <c r="A352" s="49">
        <v>349.0</v>
      </c>
      <c r="B352" s="50">
        <v>59.0</v>
      </c>
      <c r="C352" s="52" t="s">
        <v>39</v>
      </c>
      <c r="D352" s="53">
        <f t="array" ref="D352">index('Match Sched'!$C$3:$H753,match(B352,'Match Sched'!$A$3:$A753,0),if(mod(A352,6)=0,6,mod(A352,6)),0)</f>
        <v>687</v>
      </c>
      <c r="E352" s="54"/>
      <c r="F352" s="55"/>
      <c r="G352" s="54"/>
      <c r="H352" s="54"/>
      <c r="I352" s="54"/>
      <c r="J352" s="54"/>
      <c r="K352" s="54"/>
      <c r="L352" s="54"/>
      <c r="M352" s="57">
        <f>SUM(F352:F354)</f>
        <v>0</v>
      </c>
      <c r="N352" s="57">
        <f>SUM(I352:I354)+1</f>
        <v>1</v>
      </c>
      <c r="O352" s="59" t="str">
        <f>if ( isblank (E352), E352, E352 + F352*'Control PanelOur Matches'!$K$2 + G352*5 + H352*(1/3) + I352*'Control PanelOur Matches'!$M$2 + J352*50)</f>
        <v/>
      </c>
      <c r="P352" s="59" t="str">
        <f t="shared" si="2"/>
        <v/>
      </c>
      <c r="Q352" s="60" t="str">
        <f t="shared" si="3"/>
        <v>no</v>
      </c>
      <c r="R352" s="60" t="str">
        <f t="shared" si="4"/>
        <v/>
      </c>
    </row>
    <row r="353" ht="15.0" customHeight="1">
      <c r="A353" s="49">
        <v>350.0</v>
      </c>
      <c r="B353" s="50">
        <v>59.0</v>
      </c>
      <c r="C353" s="52" t="s">
        <v>40</v>
      </c>
      <c r="D353" s="53">
        <f t="array" ref="D353">index('Match Sched'!$C$3:$H753,match(B353,'Match Sched'!$A$3:$A753,0),if(mod(A353,6)=0,6,mod(A353,6)),0)</f>
        <v>3045</v>
      </c>
      <c r="E353" s="54"/>
      <c r="F353" s="55"/>
      <c r="G353" s="54"/>
      <c r="H353" s="54"/>
      <c r="I353" s="54"/>
      <c r="J353" s="54"/>
      <c r="K353" s="54"/>
      <c r="L353" s="54"/>
      <c r="M353" s="61">
        <f t="shared" ref="M353:N353" si="236">M352</f>
        <v>0</v>
      </c>
      <c r="N353" s="57">
        <f t="shared" si="236"/>
        <v>1</v>
      </c>
      <c r="O353" s="59" t="str">
        <f>if ( isblank (E353), E353, E353 + F353*'Control PanelOur Matches'!$K$2 + G353*5 + H353*(1/3) + I353*'Control PanelOur Matches'!$M$2 + J353*50)</f>
        <v/>
      </c>
      <c r="P353" s="59" t="str">
        <f t="shared" si="2"/>
        <v/>
      </c>
      <c r="Q353" s="60" t="str">
        <f t="shared" si="3"/>
        <v>no</v>
      </c>
      <c r="R353" s="60" t="str">
        <f t="shared" si="4"/>
        <v/>
      </c>
    </row>
    <row r="354" ht="15.0" customHeight="1">
      <c r="A354" s="49">
        <v>351.0</v>
      </c>
      <c r="B354" s="50">
        <v>59.0</v>
      </c>
      <c r="C354" s="52" t="s">
        <v>41</v>
      </c>
      <c r="D354" s="53">
        <f t="array" ref="D354">index('Match Sched'!$C$3:$H753,match(B354,'Match Sched'!$A$3:$A753,0),if(mod(A354,6)=0,6,mod(A354,6)),0)</f>
        <v>1422</v>
      </c>
      <c r="E354" s="54"/>
      <c r="F354" s="55"/>
      <c r="G354" s="54"/>
      <c r="H354" s="54"/>
      <c r="I354" s="54"/>
      <c r="J354" s="54"/>
      <c r="K354" s="54"/>
      <c r="L354" s="54"/>
      <c r="M354" s="62">
        <f t="shared" ref="M354:N354" si="237">M352</f>
        <v>0</v>
      </c>
      <c r="N354" s="57">
        <f t="shared" si="237"/>
        <v>1</v>
      </c>
      <c r="O354" s="59" t="str">
        <f>if ( isblank (E354), E354, E354 + F354*'Control PanelOur Matches'!$K$2 + G354*5 + H354*(1/3) + I354*'Control PanelOur Matches'!$M$2 + J354*50)</f>
        <v/>
      </c>
      <c r="P354" s="59" t="str">
        <f t="shared" si="2"/>
        <v/>
      </c>
      <c r="Q354" s="60" t="str">
        <f t="shared" si="3"/>
        <v>no</v>
      </c>
      <c r="R354" s="60" t="str">
        <f t="shared" si="4"/>
        <v/>
      </c>
    </row>
    <row r="355" ht="15.0" customHeight="1">
      <c r="A355" s="49">
        <v>352.0</v>
      </c>
      <c r="B355" s="50">
        <v>59.0</v>
      </c>
      <c r="C355" s="52" t="s">
        <v>42</v>
      </c>
      <c r="D355" s="53">
        <f t="array" ref="D355">index('Match Sched'!$C$3:$H753,match(B355,'Match Sched'!$A$3:$A753,0),if(mod(A355,6)=0,6,mod(A355,6)),0)</f>
        <v>4643</v>
      </c>
      <c r="E355" s="54"/>
      <c r="F355" s="55"/>
      <c r="G355" s="54"/>
      <c r="H355" s="54"/>
      <c r="I355" s="54"/>
      <c r="J355" s="54"/>
      <c r="K355" s="54"/>
      <c r="L355" s="54"/>
      <c r="M355" s="57">
        <f>SUM(F355:F357)</f>
        <v>0</v>
      </c>
      <c r="N355" s="57">
        <f>SUM(I355:I357)+1</f>
        <v>1</v>
      </c>
      <c r="O355" s="59" t="str">
        <f>if ( isblank (E355), E355, E355 + F355*'Control PanelOur Matches'!$K$2 + G355*5 + H355*(1/3) + I355*'Control PanelOur Matches'!$M$2 + J355*50)</f>
        <v/>
      </c>
      <c r="P355" s="59" t="str">
        <f t="shared" si="2"/>
        <v/>
      </c>
      <c r="Q355" s="60" t="str">
        <f t="shared" si="3"/>
        <v>no</v>
      </c>
      <c r="R355" s="60" t="str">
        <f t="shared" si="4"/>
        <v/>
      </c>
    </row>
    <row r="356" ht="15.0" customHeight="1">
      <c r="A356" s="49">
        <v>353.0</v>
      </c>
      <c r="B356" s="50">
        <v>59.0</v>
      </c>
      <c r="C356" s="52" t="s">
        <v>43</v>
      </c>
      <c r="D356" s="53">
        <f t="array" ref="D356">index('Match Sched'!$C$3:$H753,match(B356,'Match Sched'!$A$3:$A753,0),if(mod(A356,6)=0,6,mod(A356,6)),0)</f>
        <v>5134</v>
      </c>
      <c r="E356" s="54"/>
      <c r="F356" s="55"/>
      <c r="G356" s="54"/>
      <c r="H356" s="54"/>
      <c r="I356" s="54"/>
      <c r="J356" s="54"/>
      <c r="K356" s="54"/>
      <c r="L356" s="54"/>
      <c r="M356" s="61">
        <f t="shared" ref="M356:N356" si="238">M355</f>
        <v>0</v>
      </c>
      <c r="N356" s="57">
        <f t="shared" si="238"/>
        <v>1</v>
      </c>
      <c r="O356" s="59" t="str">
        <f>if ( isblank (E356), E356, E356 + F356*'Control PanelOur Matches'!$K$2 + G356*5 + H356*(1/3) + I356*'Control PanelOur Matches'!$M$2 + J356*50)</f>
        <v/>
      </c>
      <c r="P356" s="59" t="str">
        <f t="shared" si="2"/>
        <v/>
      </c>
      <c r="Q356" s="60" t="str">
        <f t="shared" si="3"/>
        <v>no</v>
      </c>
      <c r="R356" s="60" t="str">
        <f t="shared" si="4"/>
        <v/>
      </c>
    </row>
    <row r="357" ht="15.0" customHeight="1">
      <c r="A357" s="49">
        <v>354.0</v>
      </c>
      <c r="B357" s="50">
        <v>59.0</v>
      </c>
      <c r="C357" s="52" t="s">
        <v>44</v>
      </c>
      <c r="D357" s="53">
        <f t="array" ref="D357">index('Match Sched'!$C$3:$H753,match(B357,'Match Sched'!$A$3:$A753,0),if(mod(A357,6)=0,6,mod(A357,6)),0)</f>
        <v>973</v>
      </c>
      <c r="E357" s="54"/>
      <c r="F357" s="55"/>
      <c r="G357" s="54"/>
      <c r="H357" s="54"/>
      <c r="I357" s="54"/>
      <c r="J357" s="54"/>
      <c r="K357" s="54"/>
      <c r="L357" s="54"/>
      <c r="M357" s="62">
        <f t="shared" ref="M357:N357" si="239">M355</f>
        <v>0</v>
      </c>
      <c r="N357" s="57">
        <f t="shared" si="239"/>
        <v>1</v>
      </c>
      <c r="O357" s="59" t="str">
        <f>if ( isblank (E357), E357, E357 + F357*'Control PanelOur Matches'!$K$2 + G357*5 + H357*(1/3) + I357*'Control PanelOur Matches'!$M$2 + J357*50)</f>
        <v/>
      </c>
      <c r="P357" s="59" t="str">
        <f t="shared" si="2"/>
        <v/>
      </c>
      <c r="Q357" s="60" t="str">
        <f t="shared" si="3"/>
        <v>no</v>
      </c>
      <c r="R357" s="60" t="str">
        <f t="shared" si="4"/>
        <v/>
      </c>
    </row>
    <row r="358" ht="15.0" customHeight="1">
      <c r="A358" s="65">
        <v>355.0</v>
      </c>
      <c r="B358" s="66">
        <v>60.0</v>
      </c>
      <c r="C358" s="52" t="s">
        <v>39</v>
      </c>
      <c r="D358" s="53">
        <f t="array" ref="D358">index('Match Sched'!$C$3:$H753,match(B358,'Match Sched'!$A$3:$A753,0),if(mod(A358,6)=0,6,mod(A358,6)),0)</f>
        <v>1662</v>
      </c>
      <c r="E358" s="54"/>
      <c r="F358" s="55"/>
      <c r="G358" s="67"/>
      <c r="H358" s="67"/>
      <c r="I358" s="67"/>
      <c r="J358" s="67"/>
      <c r="K358" s="67"/>
      <c r="L358" s="67"/>
      <c r="M358" s="57">
        <f>SUM(F358:F360)</f>
        <v>0</v>
      </c>
      <c r="N358" s="57">
        <f>SUM(I358:I360)+1</f>
        <v>1</v>
      </c>
      <c r="O358" s="59" t="str">
        <f>if ( isblank (E358), E358, E358 + F358*'Control PanelOur Matches'!$K$2 + G358*5 + H358*(1/3) + I358*'Control PanelOur Matches'!$M$2 + J358*50)</f>
        <v/>
      </c>
      <c r="P358" s="59" t="str">
        <f t="shared" si="2"/>
        <v/>
      </c>
      <c r="Q358" s="60" t="str">
        <f t="shared" si="3"/>
        <v>no</v>
      </c>
      <c r="R358" s="60" t="str">
        <f t="shared" si="4"/>
        <v/>
      </c>
    </row>
    <row r="359" ht="15.0" customHeight="1">
      <c r="A359" s="65">
        <v>356.0</v>
      </c>
      <c r="B359" s="66">
        <v>60.0</v>
      </c>
      <c r="C359" s="69" t="s">
        <v>40</v>
      </c>
      <c r="D359" s="53">
        <f t="array" ref="D359">index('Match Sched'!$C$3:$H753,match(B359,'Match Sched'!$A$3:$A753,0),if(mod(A359,6)=0,6,mod(A359,6)),0)</f>
        <v>2643</v>
      </c>
      <c r="E359" s="54"/>
      <c r="F359" s="55"/>
      <c r="G359" s="67"/>
      <c r="H359" s="67"/>
      <c r="I359" s="67"/>
      <c r="J359" s="67"/>
      <c r="K359" s="67"/>
      <c r="L359" s="67"/>
      <c r="M359" s="61">
        <f t="shared" ref="M359:N359" si="240">M358</f>
        <v>0</v>
      </c>
      <c r="N359" s="57">
        <f t="shared" si="240"/>
        <v>1</v>
      </c>
      <c r="O359" s="59" t="str">
        <f>if ( isblank (E359), E359, E359 + F359*'Control PanelOur Matches'!$K$2 + G359*5 + H359*(1/3) + I359*'Control PanelOur Matches'!$M$2 + J359*50)</f>
        <v/>
      </c>
      <c r="P359" s="59" t="str">
        <f t="shared" si="2"/>
        <v/>
      </c>
      <c r="Q359" s="60" t="str">
        <f t="shared" si="3"/>
        <v>no</v>
      </c>
      <c r="R359" s="60" t="str">
        <f t="shared" si="4"/>
        <v/>
      </c>
    </row>
    <row r="360" ht="15.0" customHeight="1">
      <c r="A360" s="65">
        <v>357.0</v>
      </c>
      <c r="B360" s="66">
        <v>60.0</v>
      </c>
      <c r="C360" s="52" t="s">
        <v>41</v>
      </c>
      <c r="D360" s="53">
        <f t="array" ref="D360">index('Match Sched'!$C$3:$H753,match(B360,'Match Sched'!$A$3:$A753,0),if(mod(A360,6)=0,6,mod(A360,6)),0)</f>
        <v>3189</v>
      </c>
      <c r="E360" s="54"/>
      <c r="F360" s="55"/>
      <c r="G360" s="67"/>
      <c r="H360" s="67"/>
      <c r="I360" s="67"/>
      <c r="J360" s="67"/>
      <c r="K360" s="67"/>
      <c r="L360" s="67"/>
      <c r="M360" s="62">
        <f t="shared" ref="M360:N360" si="241">M358</f>
        <v>0</v>
      </c>
      <c r="N360" s="57">
        <f t="shared" si="241"/>
        <v>1</v>
      </c>
      <c r="O360" s="59" t="str">
        <f>if ( isblank (E360), E360, E360 + F360*'Control PanelOur Matches'!$K$2 + G360*5 + H360*(1/3) + I360*'Control PanelOur Matches'!$M$2 + J360*50)</f>
        <v/>
      </c>
      <c r="P360" s="59" t="str">
        <f t="shared" si="2"/>
        <v/>
      </c>
      <c r="Q360" s="60" t="str">
        <f t="shared" si="3"/>
        <v>no</v>
      </c>
      <c r="R360" s="60" t="str">
        <f t="shared" si="4"/>
        <v/>
      </c>
    </row>
    <row r="361" ht="15.0" customHeight="1">
      <c r="A361" s="65">
        <v>358.0</v>
      </c>
      <c r="B361" s="66">
        <v>60.0</v>
      </c>
      <c r="C361" s="52" t="s">
        <v>42</v>
      </c>
      <c r="D361" s="53">
        <f t="array" ref="D361">index('Match Sched'!$C$3:$H753,match(B361,'Match Sched'!$A$3:$A753,0),if(mod(A361,6)=0,6,mod(A361,6)),0)</f>
        <v>2493</v>
      </c>
      <c r="E361" s="54"/>
      <c r="F361" s="55"/>
      <c r="G361" s="67"/>
      <c r="H361" s="67"/>
      <c r="I361" s="67"/>
      <c r="J361" s="67"/>
      <c r="K361" s="67"/>
      <c r="L361" s="67"/>
      <c r="M361" s="57">
        <f>SUM(F361:F363)</f>
        <v>0</v>
      </c>
      <c r="N361" s="57">
        <f>SUM(I361:I363)+1</f>
        <v>1</v>
      </c>
      <c r="O361" s="59" t="str">
        <f>if ( isblank (E361), E361, E361 + F361*'Control PanelOur Matches'!$K$2 + G361*5 + H361*(1/3) + I361*'Control PanelOur Matches'!$M$2 + J361*50)</f>
        <v/>
      </c>
      <c r="P361" s="59" t="str">
        <f t="shared" si="2"/>
        <v/>
      </c>
      <c r="Q361" s="60" t="str">
        <f t="shared" si="3"/>
        <v>no</v>
      </c>
      <c r="R361" s="60" t="str">
        <f t="shared" si="4"/>
        <v/>
      </c>
    </row>
    <row r="362" ht="15.0" customHeight="1">
      <c r="A362" s="65">
        <v>359.0</v>
      </c>
      <c r="B362" s="66">
        <v>60.0</v>
      </c>
      <c r="C362" s="52" t="s">
        <v>43</v>
      </c>
      <c r="D362" s="53">
        <f t="array" ref="D362">index('Match Sched'!$C$3:$H753,match(B362,'Match Sched'!$A$3:$A753,0),if(mod(A362,6)=0,6,mod(A362,6)),0)</f>
        <v>4276</v>
      </c>
      <c r="E362" s="54"/>
      <c r="F362" s="55"/>
      <c r="G362" s="67"/>
      <c r="H362" s="67"/>
      <c r="I362" s="67"/>
      <c r="J362" s="67"/>
      <c r="K362" s="67"/>
      <c r="L362" s="67"/>
      <c r="M362" s="61">
        <f t="shared" ref="M362:N362" si="242">M361</f>
        <v>0</v>
      </c>
      <c r="N362" s="57">
        <f t="shared" si="242"/>
        <v>1</v>
      </c>
      <c r="O362" s="59" t="str">
        <f>if ( isblank (E362), E362, E362 + F362*'Control PanelOur Matches'!$K$2 + G362*5 + H362*(1/3) + I362*'Control PanelOur Matches'!$M$2 + J362*50)</f>
        <v/>
      </c>
      <c r="P362" s="59" t="str">
        <f t="shared" si="2"/>
        <v/>
      </c>
      <c r="Q362" s="60" t="str">
        <f t="shared" si="3"/>
        <v>no</v>
      </c>
      <c r="R362" s="60" t="str">
        <f t="shared" si="4"/>
        <v/>
      </c>
    </row>
    <row r="363" ht="15.0" customHeight="1">
      <c r="A363" s="65">
        <v>360.0</v>
      </c>
      <c r="B363" s="66">
        <v>60.0</v>
      </c>
      <c r="C363" s="68" t="s">
        <v>44</v>
      </c>
      <c r="D363" s="53">
        <f t="array" ref="D363">index('Match Sched'!$C$3:$H753,match(B363,'Match Sched'!$A$3:$A753,0),if(mod(A363,6)=0,6,mod(A363,6)),0)</f>
        <v>980</v>
      </c>
      <c r="E363" s="54"/>
      <c r="F363" s="55"/>
      <c r="G363" s="67"/>
      <c r="H363" s="67"/>
      <c r="I363" s="67"/>
      <c r="J363" s="67"/>
      <c r="K363" s="67"/>
      <c r="L363" s="67"/>
      <c r="M363" s="62">
        <f t="shared" ref="M363:N363" si="243">M361</f>
        <v>0</v>
      </c>
      <c r="N363" s="57">
        <f t="shared" si="243"/>
        <v>1</v>
      </c>
      <c r="O363" s="59" t="str">
        <f>if ( isblank (E363), E363, E363 + F363*'Control PanelOur Matches'!$K$2 + G363*5 + H363*(1/3) + I363*'Control PanelOur Matches'!$M$2 + J363*50)</f>
        <v/>
      </c>
      <c r="P363" s="59" t="str">
        <f t="shared" si="2"/>
        <v/>
      </c>
      <c r="Q363" s="60" t="str">
        <f t="shared" si="3"/>
        <v>no</v>
      </c>
      <c r="R363" s="60" t="str">
        <f t="shared" si="4"/>
        <v/>
      </c>
    </row>
    <row r="364" ht="15.0" customHeight="1">
      <c r="A364" s="49">
        <v>361.0</v>
      </c>
      <c r="B364" s="50">
        <v>61.0</v>
      </c>
      <c r="C364" s="52" t="s">
        <v>39</v>
      </c>
      <c r="D364" s="53">
        <f t="array" ref="D364">index('Match Sched'!$C$3:$H753,match(B364,'Match Sched'!$A$3:$A753,0),if(mod(A364,6)=0,6,mod(A364,6)),0)</f>
        <v>2135</v>
      </c>
      <c r="E364" s="54"/>
      <c r="F364" s="55"/>
      <c r="G364" s="54"/>
      <c r="H364" s="54"/>
      <c r="I364" s="54"/>
      <c r="J364" s="54"/>
      <c r="K364" s="54"/>
      <c r="L364" s="54"/>
      <c r="M364" s="57">
        <f>SUM(F364:F366)</f>
        <v>0</v>
      </c>
      <c r="N364" s="57">
        <f>SUM(I364:I366)+1</f>
        <v>1</v>
      </c>
      <c r="O364" s="59" t="str">
        <f>if ( isblank (E364), E364, E364 + F364*'Control PanelOur Matches'!$K$2 + G364*5 + H364*(1/3) + I364*'Control PanelOur Matches'!$M$2 + J364*50)</f>
        <v/>
      </c>
      <c r="P364" s="59" t="str">
        <f t="shared" si="2"/>
        <v/>
      </c>
      <c r="Q364" s="60" t="str">
        <f t="shared" si="3"/>
        <v>no</v>
      </c>
      <c r="R364" s="60" t="str">
        <f t="shared" si="4"/>
        <v/>
      </c>
    </row>
    <row r="365" ht="15.0" customHeight="1">
      <c r="A365" s="49">
        <v>362.0</v>
      </c>
      <c r="B365" s="50">
        <v>61.0</v>
      </c>
      <c r="C365" s="52" t="s">
        <v>40</v>
      </c>
      <c r="D365" s="53">
        <f t="array" ref="D365">index('Match Sched'!$C$3:$H753,match(B365,'Match Sched'!$A$3:$A753,0),if(mod(A365,6)=0,6,mod(A365,6)),0)</f>
        <v>4415</v>
      </c>
      <c r="E365" s="54"/>
      <c r="F365" s="55"/>
      <c r="G365" s="54"/>
      <c r="H365" s="54"/>
      <c r="I365" s="54"/>
      <c r="J365" s="54"/>
      <c r="K365" s="54"/>
      <c r="L365" s="54"/>
      <c r="M365" s="61">
        <f t="shared" ref="M365:N365" si="244">M364</f>
        <v>0</v>
      </c>
      <c r="N365" s="57">
        <f t="shared" si="244"/>
        <v>1</v>
      </c>
      <c r="O365" s="59" t="str">
        <f>if ( isblank (E365), E365, E365 + F365*'Control PanelOur Matches'!$K$2 + G365*5 + H365*(1/3) + I365*'Control PanelOur Matches'!$M$2 + J365*50)</f>
        <v/>
      </c>
      <c r="P365" s="59" t="str">
        <f t="shared" si="2"/>
        <v/>
      </c>
      <c r="Q365" s="60" t="str">
        <f t="shared" si="3"/>
        <v>no</v>
      </c>
      <c r="R365" s="60" t="str">
        <f t="shared" si="4"/>
        <v/>
      </c>
    </row>
    <row r="366" ht="15.0" customHeight="1">
      <c r="A366" s="49">
        <v>363.0</v>
      </c>
      <c r="B366" s="50">
        <v>61.0</v>
      </c>
      <c r="C366" s="52" t="s">
        <v>41</v>
      </c>
      <c r="D366" s="53">
        <f t="array" ref="D366">index('Match Sched'!$C$3:$H753,match(B366,'Match Sched'!$A$3:$A753,0),if(mod(A366,6)=0,6,mod(A366,6)),0)</f>
        <v>5104</v>
      </c>
      <c r="E366" s="54"/>
      <c r="F366" s="55"/>
      <c r="G366" s="54"/>
      <c r="H366" s="54"/>
      <c r="I366" s="54"/>
      <c r="J366" s="54"/>
      <c r="K366" s="54"/>
      <c r="L366" s="54"/>
      <c r="M366" s="62">
        <f t="shared" ref="M366:N366" si="245">M364</f>
        <v>0</v>
      </c>
      <c r="N366" s="57">
        <f t="shared" si="245"/>
        <v>1</v>
      </c>
      <c r="O366" s="59" t="str">
        <f>if ( isblank (E366), E366, E366 + F366*'Control PanelOur Matches'!$K$2 + G366*5 + H366*(1/3) + I366*'Control PanelOur Matches'!$M$2 + J366*50)</f>
        <v/>
      </c>
      <c r="P366" s="59" t="str">
        <f t="shared" si="2"/>
        <v/>
      </c>
      <c r="Q366" s="60" t="str">
        <f t="shared" si="3"/>
        <v>no</v>
      </c>
      <c r="R366" s="60" t="str">
        <f t="shared" si="4"/>
        <v/>
      </c>
    </row>
    <row r="367" ht="15.0" customHeight="1">
      <c r="A367" s="49">
        <v>364.0</v>
      </c>
      <c r="B367" s="50">
        <v>61.0</v>
      </c>
      <c r="C367" s="52" t="s">
        <v>42</v>
      </c>
      <c r="D367" s="53">
        <f t="array" ref="D367">index('Match Sched'!$C$3:$H753,match(B367,'Match Sched'!$A$3:$A753,0),if(mod(A367,6)=0,6,mod(A367,6)),0)</f>
        <v>2761</v>
      </c>
      <c r="E367" s="54"/>
      <c r="F367" s="55"/>
      <c r="G367" s="54"/>
      <c r="H367" s="54"/>
      <c r="I367" s="54"/>
      <c r="J367" s="54"/>
      <c r="K367" s="54"/>
      <c r="L367" s="54"/>
      <c r="M367" s="57">
        <f>SUM(F367:F369)</f>
        <v>0</v>
      </c>
      <c r="N367" s="57">
        <f>SUM(I367:I369)+1</f>
        <v>1</v>
      </c>
      <c r="O367" s="59" t="str">
        <f>if ( isblank (E367), E367, E367 + F367*'Control PanelOur Matches'!$K$2 + G367*5 + H367*(1/3) + I367*'Control PanelOur Matches'!$M$2 + J367*50)</f>
        <v/>
      </c>
      <c r="P367" s="59" t="str">
        <f t="shared" si="2"/>
        <v/>
      </c>
      <c r="Q367" s="60" t="str">
        <f t="shared" si="3"/>
        <v>no</v>
      </c>
      <c r="R367" s="60" t="str">
        <f t="shared" si="4"/>
        <v/>
      </c>
    </row>
    <row r="368" ht="15.0" customHeight="1">
      <c r="A368" s="49">
        <v>365.0</v>
      </c>
      <c r="B368" s="50">
        <v>61.0</v>
      </c>
      <c r="C368" s="52" t="s">
        <v>43</v>
      </c>
      <c r="D368" s="53">
        <f t="array" ref="D368">index('Match Sched'!$C$3:$H753,match(B368,'Match Sched'!$A$3:$A753,0),if(mod(A368,6)=0,6,mod(A368,6)),0)</f>
        <v>670</v>
      </c>
      <c r="E368" s="54"/>
      <c r="F368" s="55"/>
      <c r="G368" s="54"/>
      <c r="H368" s="54"/>
      <c r="I368" s="54"/>
      <c r="J368" s="54"/>
      <c r="K368" s="54"/>
      <c r="L368" s="54"/>
      <c r="M368" s="61">
        <f t="shared" ref="M368:N368" si="246">M367</f>
        <v>0</v>
      </c>
      <c r="N368" s="57">
        <f t="shared" si="246"/>
        <v>1</v>
      </c>
      <c r="O368" s="59" t="str">
        <f>if ( isblank (E368), E368, E368 + F368*'Control PanelOur Matches'!$K$2 + G368*5 + H368*(1/3) + I368*'Control PanelOur Matches'!$M$2 + J368*50)</f>
        <v/>
      </c>
      <c r="P368" s="59" t="str">
        <f t="shared" si="2"/>
        <v/>
      </c>
      <c r="Q368" s="60" t="str">
        <f t="shared" si="3"/>
        <v>no</v>
      </c>
      <c r="R368" s="60" t="str">
        <f t="shared" si="4"/>
        <v/>
      </c>
    </row>
    <row r="369" ht="15.0" customHeight="1">
      <c r="A369" s="49">
        <v>366.0</v>
      </c>
      <c r="B369" s="50">
        <v>61.0</v>
      </c>
      <c r="C369" s="52" t="s">
        <v>44</v>
      </c>
      <c r="D369" s="53">
        <f t="array" ref="D369">index('Match Sched'!$C$3:$H753,match(B369,'Match Sched'!$A$3:$A753,0),if(mod(A369,6)=0,6,mod(A369,6)),0)</f>
        <v>1678</v>
      </c>
      <c r="E369" s="54"/>
      <c r="F369" s="55"/>
      <c r="G369" s="54"/>
      <c r="H369" s="54"/>
      <c r="I369" s="54"/>
      <c r="J369" s="54"/>
      <c r="K369" s="54"/>
      <c r="L369" s="54"/>
      <c r="M369" s="62">
        <f t="shared" ref="M369:N369" si="247">M367</f>
        <v>0</v>
      </c>
      <c r="N369" s="57">
        <f t="shared" si="247"/>
        <v>1</v>
      </c>
      <c r="O369" s="59" t="str">
        <f>if ( isblank (E369), E369, E369 + F369*'Control PanelOur Matches'!$K$2 + G369*5 + H369*(1/3) + I369*'Control PanelOur Matches'!$M$2 + J369*50)</f>
        <v/>
      </c>
      <c r="P369" s="59" t="str">
        <f t="shared" si="2"/>
        <v/>
      </c>
      <c r="Q369" s="60" t="str">
        <f t="shared" si="3"/>
        <v>no</v>
      </c>
      <c r="R369" s="60" t="str">
        <f t="shared" si="4"/>
        <v/>
      </c>
    </row>
    <row r="370" ht="15.0" customHeight="1">
      <c r="A370" s="65">
        <v>367.0</v>
      </c>
      <c r="B370" s="66">
        <v>62.0</v>
      </c>
      <c r="C370" s="52" t="s">
        <v>39</v>
      </c>
      <c r="D370" s="53">
        <f t="array" ref="D370">index('Match Sched'!$C$3:$H753,match(B370,'Match Sched'!$A$3:$A753,0),if(mod(A370,6)=0,6,mod(A370,6)),0)</f>
        <v>294</v>
      </c>
      <c r="E370" s="54"/>
      <c r="F370" s="55"/>
      <c r="G370" s="67"/>
      <c r="H370" s="67"/>
      <c r="I370" s="67"/>
      <c r="J370" s="67"/>
      <c r="K370" s="67"/>
      <c r="L370" s="67"/>
      <c r="M370" s="57">
        <f>SUM(F370:F372)</f>
        <v>0</v>
      </c>
      <c r="N370" s="57">
        <f>SUM(I370:I372)+1</f>
        <v>1</v>
      </c>
      <c r="O370" s="59" t="str">
        <f>if ( isblank (E370), E370, E370 + F370*'Control PanelOur Matches'!$K$2 + G370*5 + H370*(1/3) + I370*'Control PanelOur Matches'!$M$2 + J370*50)</f>
        <v/>
      </c>
      <c r="P370" s="59" t="str">
        <f t="shared" si="2"/>
        <v/>
      </c>
      <c r="Q370" s="60" t="str">
        <f t="shared" si="3"/>
        <v>no</v>
      </c>
      <c r="R370" s="60" t="str">
        <f t="shared" si="4"/>
        <v/>
      </c>
    </row>
    <row r="371" ht="15.0" customHeight="1">
      <c r="A371" s="65">
        <v>368.0</v>
      </c>
      <c r="B371" s="66">
        <v>62.0</v>
      </c>
      <c r="C371" s="52" t="s">
        <v>40</v>
      </c>
      <c r="D371" s="53">
        <f t="array" ref="D371">index('Match Sched'!$C$3:$H753,match(B371,'Match Sched'!$A$3:$A753,0),if(mod(A371,6)=0,6,mod(A371,6)),0)</f>
        <v>3303</v>
      </c>
      <c r="E371" s="54"/>
      <c r="F371" s="55"/>
      <c r="G371" s="67"/>
      <c r="H371" s="67"/>
      <c r="I371" s="67"/>
      <c r="J371" s="67"/>
      <c r="K371" s="67"/>
      <c r="L371" s="67"/>
      <c r="M371" s="61">
        <f t="shared" ref="M371:N371" si="248">M370</f>
        <v>0</v>
      </c>
      <c r="N371" s="57">
        <f t="shared" si="248"/>
        <v>1</v>
      </c>
      <c r="O371" s="59" t="str">
        <f>if ( isblank (E371), E371, E371 + F371*'Control PanelOur Matches'!$K$2 + G371*5 + H371*(1/3) + I371*'Control PanelOur Matches'!$M$2 + J371*50)</f>
        <v/>
      </c>
      <c r="P371" s="59" t="str">
        <f t="shared" si="2"/>
        <v/>
      </c>
      <c r="Q371" s="60" t="str">
        <f t="shared" si="3"/>
        <v>no</v>
      </c>
      <c r="R371" s="60" t="str">
        <f t="shared" si="4"/>
        <v/>
      </c>
    </row>
    <row r="372" ht="15.0" customHeight="1">
      <c r="A372" s="65">
        <v>369.0</v>
      </c>
      <c r="B372" s="66">
        <v>62.0</v>
      </c>
      <c r="C372" s="52" t="s">
        <v>41</v>
      </c>
      <c r="D372" s="53">
        <f t="array" ref="D372">index('Match Sched'!$C$3:$H753,match(B372,'Match Sched'!$A$3:$A753,0),if(mod(A372,6)=0,6,mod(A372,6)),0)</f>
        <v>3256</v>
      </c>
      <c r="E372" s="54"/>
      <c r="F372" s="55"/>
      <c r="G372" s="67"/>
      <c r="H372" s="67"/>
      <c r="I372" s="67"/>
      <c r="J372" s="67"/>
      <c r="K372" s="67"/>
      <c r="L372" s="67"/>
      <c r="M372" s="62">
        <f t="shared" ref="M372:N372" si="249">M370</f>
        <v>0</v>
      </c>
      <c r="N372" s="57">
        <f t="shared" si="249"/>
        <v>1</v>
      </c>
      <c r="O372" s="59" t="str">
        <f>if ( isblank (E372), E372, E372 + F372*'Control PanelOur Matches'!$K$2 + G372*5 + H372*(1/3) + I372*'Control PanelOur Matches'!$M$2 + J372*50)</f>
        <v/>
      </c>
      <c r="P372" s="59" t="str">
        <f t="shared" si="2"/>
        <v/>
      </c>
      <c r="Q372" s="60" t="str">
        <f t="shared" si="3"/>
        <v>no</v>
      </c>
      <c r="R372" s="60" t="str">
        <f t="shared" si="4"/>
        <v/>
      </c>
    </row>
    <row r="373" ht="15.0" customHeight="1">
      <c r="A373" s="65">
        <v>370.0</v>
      </c>
      <c r="B373" s="66">
        <v>62.0</v>
      </c>
      <c r="C373" s="52" t="s">
        <v>42</v>
      </c>
      <c r="D373" s="53">
        <f t="array" ref="D373">index('Match Sched'!$C$3:$H753,match(B373,'Match Sched'!$A$3:$A753,0),if(mod(A373,6)=0,6,mod(A373,6)),0)</f>
        <v>3495</v>
      </c>
      <c r="E373" s="54"/>
      <c r="F373" s="55"/>
      <c r="G373" s="67"/>
      <c r="H373" s="67"/>
      <c r="I373" s="67"/>
      <c r="J373" s="67"/>
      <c r="K373" s="67"/>
      <c r="L373" s="67"/>
      <c r="M373" s="57">
        <f>SUM(F373:F375)</f>
        <v>0</v>
      </c>
      <c r="N373" s="57">
        <f>SUM(I373:I375)+1</f>
        <v>1</v>
      </c>
      <c r="O373" s="59" t="str">
        <f>if ( isblank (E373), E373, E373 + F373*'Control PanelOur Matches'!$K$2 + G373*5 + H373*(1/3) + I373*'Control PanelOur Matches'!$M$2 + J373*50)</f>
        <v/>
      </c>
      <c r="P373" s="59" t="str">
        <f t="shared" si="2"/>
        <v/>
      </c>
      <c r="Q373" s="60" t="str">
        <f t="shared" si="3"/>
        <v>no</v>
      </c>
      <c r="R373" s="60" t="str">
        <f t="shared" si="4"/>
        <v/>
      </c>
    </row>
    <row r="374" ht="15.0" customHeight="1">
      <c r="A374" s="65">
        <v>371.0</v>
      </c>
      <c r="B374" s="66">
        <v>62.0</v>
      </c>
      <c r="C374" s="52" t="s">
        <v>43</v>
      </c>
      <c r="D374" s="53">
        <f t="array" ref="D374">index('Match Sched'!$C$3:$H753,match(B374,'Match Sched'!$A$3:$A753,0),if(mod(A374,6)=0,6,mod(A374,6)),0)</f>
        <v>852</v>
      </c>
      <c r="E374" s="54"/>
      <c r="F374" s="55"/>
      <c r="G374" s="67"/>
      <c r="H374" s="67"/>
      <c r="I374" s="67"/>
      <c r="J374" s="67"/>
      <c r="K374" s="67"/>
      <c r="L374" s="67"/>
      <c r="M374" s="61">
        <f t="shared" ref="M374:N374" si="250">M373</f>
        <v>0</v>
      </c>
      <c r="N374" s="57">
        <f t="shared" si="250"/>
        <v>1</v>
      </c>
      <c r="O374" s="59" t="str">
        <f>if ( isblank (E374), E374, E374 + F374*'Control PanelOur Matches'!$K$2 + G374*5 + H374*(1/3) + I374*'Control PanelOur Matches'!$M$2 + J374*50)</f>
        <v/>
      </c>
      <c r="P374" s="59" t="str">
        <f t="shared" si="2"/>
        <v/>
      </c>
      <c r="Q374" s="60" t="str">
        <f t="shared" si="3"/>
        <v>no</v>
      </c>
      <c r="R374" s="60" t="str">
        <f t="shared" si="4"/>
        <v/>
      </c>
    </row>
    <row r="375" ht="15.0" customHeight="1">
      <c r="A375" s="65">
        <v>372.0</v>
      </c>
      <c r="B375" s="66">
        <v>62.0</v>
      </c>
      <c r="C375" s="68" t="s">
        <v>44</v>
      </c>
      <c r="D375" s="53">
        <f t="array" ref="D375">index('Match Sched'!$C$3:$H753,match(B375,'Match Sched'!$A$3:$A753,0),if(mod(A375,6)=0,6,mod(A375,6)),0)</f>
        <v>5677</v>
      </c>
      <c r="E375" s="54"/>
      <c r="F375" s="55"/>
      <c r="G375" s="67"/>
      <c r="H375" s="67"/>
      <c r="I375" s="67"/>
      <c r="J375" s="67"/>
      <c r="K375" s="67"/>
      <c r="L375" s="67"/>
      <c r="M375" s="62">
        <f t="shared" ref="M375:N375" si="251">M373</f>
        <v>0</v>
      </c>
      <c r="N375" s="57">
        <f t="shared" si="251"/>
        <v>1</v>
      </c>
      <c r="O375" s="59" t="str">
        <f>if ( isblank (E375), E375, E375 + F375*'Control PanelOur Matches'!$K$2 + G375*5 + H375*(1/3) + I375*'Control PanelOur Matches'!$M$2 + J375*50)</f>
        <v/>
      </c>
      <c r="P375" s="59" t="str">
        <f t="shared" si="2"/>
        <v/>
      </c>
      <c r="Q375" s="60" t="str">
        <f t="shared" si="3"/>
        <v>no</v>
      </c>
      <c r="R375" s="60" t="str">
        <f t="shared" si="4"/>
        <v/>
      </c>
    </row>
    <row r="376" ht="15.0" customHeight="1">
      <c r="A376" s="49">
        <v>373.0</v>
      </c>
      <c r="B376" s="50">
        <v>63.0</v>
      </c>
      <c r="C376" s="52" t="s">
        <v>39</v>
      </c>
      <c r="D376" s="53">
        <f t="array" ref="D376">index('Match Sched'!$C$3:$H753,match(B376,'Match Sched'!$A$3:$A753,0),if(mod(A376,6)=0,6,mod(A376,6)),0)</f>
        <v>3970</v>
      </c>
      <c r="E376" s="54"/>
      <c r="F376" s="55"/>
      <c r="G376" s="54"/>
      <c r="H376" s="54"/>
      <c r="I376" s="54"/>
      <c r="J376" s="54"/>
      <c r="K376" s="54"/>
      <c r="L376" s="54"/>
      <c r="M376" s="57">
        <f>SUM(F376:F378)</f>
        <v>0</v>
      </c>
      <c r="N376" s="57">
        <f>SUM(I376:I378)+1</f>
        <v>1</v>
      </c>
      <c r="O376" s="59" t="str">
        <f>if ( isblank (E376), E376, E376 + F376*'Control PanelOur Matches'!$K$2 + G376*5 + H376*(1/3) + I376*'Control PanelOur Matches'!$M$2 + J376*50)</f>
        <v/>
      </c>
      <c r="P376" s="59" t="str">
        <f t="shared" si="2"/>
        <v/>
      </c>
      <c r="Q376" s="60" t="str">
        <f t="shared" si="3"/>
        <v>no</v>
      </c>
      <c r="R376" s="60" t="str">
        <f t="shared" si="4"/>
        <v/>
      </c>
    </row>
    <row r="377" ht="15.0" customHeight="1">
      <c r="A377" s="49">
        <v>374.0</v>
      </c>
      <c r="B377" s="50">
        <v>63.0</v>
      </c>
      <c r="C377" s="52" t="s">
        <v>40</v>
      </c>
      <c r="D377" s="53">
        <f t="array" ref="D377">index('Match Sched'!$C$3:$H753,match(B377,'Match Sched'!$A$3:$A753,0),if(mod(A377,6)=0,6,mod(A377,6)),0)</f>
        <v>4255</v>
      </c>
      <c r="E377" s="54"/>
      <c r="F377" s="55"/>
      <c r="G377" s="54"/>
      <c r="H377" s="54"/>
      <c r="I377" s="54"/>
      <c r="J377" s="54"/>
      <c r="K377" s="54"/>
      <c r="L377" s="54"/>
      <c r="M377" s="61">
        <f t="shared" ref="M377:N377" si="252">M376</f>
        <v>0</v>
      </c>
      <c r="N377" s="57">
        <f t="shared" si="252"/>
        <v>1</v>
      </c>
      <c r="O377" s="59" t="str">
        <f>if ( isblank (E377), E377, E377 + F377*'Control PanelOur Matches'!$K$2 + G377*5 + H377*(1/3) + I377*'Control PanelOur Matches'!$M$2 + J377*50)</f>
        <v/>
      </c>
      <c r="P377" s="59" t="str">
        <f t="shared" si="2"/>
        <v/>
      </c>
      <c r="Q377" s="60" t="str">
        <f t="shared" si="3"/>
        <v>no</v>
      </c>
      <c r="R377" s="60" t="str">
        <f t="shared" si="4"/>
        <v/>
      </c>
    </row>
    <row r="378" ht="15.0" customHeight="1">
      <c r="A378" s="49">
        <v>375.0</v>
      </c>
      <c r="B378" s="50">
        <v>63.0</v>
      </c>
      <c r="C378" s="52" t="s">
        <v>41</v>
      </c>
      <c r="D378" s="53">
        <f t="array" ref="D378">index('Match Sched'!$C$3:$H753,match(B378,'Match Sched'!$A$3:$A753,0),if(mod(A378,6)=0,6,mod(A378,6)),0)</f>
        <v>2085</v>
      </c>
      <c r="E378" s="54"/>
      <c r="F378" s="55"/>
      <c r="G378" s="54"/>
      <c r="H378" s="54"/>
      <c r="I378" s="54"/>
      <c r="J378" s="54"/>
      <c r="K378" s="54"/>
      <c r="L378" s="54"/>
      <c r="M378" s="62">
        <f t="shared" ref="M378:N378" si="253">M376</f>
        <v>0</v>
      </c>
      <c r="N378" s="57">
        <f t="shared" si="253"/>
        <v>1</v>
      </c>
      <c r="O378" s="59" t="str">
        <f>if ( isblank (E378), E378, E378 + F378*'Control PanelOur Matches'!$K$2 + G378*5 + H378*(1/3) + I378*'Control PanelOur Matches'!$M$2 + J378*50)</f>
        <v/>
      </c>
      <c r="P378" s="59" t="str">
        <f t="shared" si="2"/>
        <v/>
      </c>
      <c r="Q378" s="60" t="str">
        <f t="shared" si="3"/>
        <v>no</v>
      </c>
      <c r="R378" s="60" t="str">
        <f t="shared" si="4"/>
        <v/>
      </c>
    </row>
    <row r="379" ht="15.0" customHeight="1">
      <c r="A379" s="49">
        <v>376.0</v>
      </c>
      <c r="B379" s="50">
        <v>63.0</v>
      </c>
      <c r="C379" s="52" t="s">
        <v>42</v>
      </c>
      <c r="D379" s="53">
        <f t="array" ref="D379">index('Match Sched'!$C$3:$H753,match(B379,'Match Sched'!$A$3:$A753,0),if(mod(A379,6)=0,6,mod(A379,6)),0)</f>
        <v>2813</v>
      </c>
      <c r="E379" s="54"/>
      <c r="F379" s="55"/>
      <c r="G379" s="54"/>
      <c r="H379" s="54"/>
      <c r="I379" s="54"/>
      <c r="J379" s="54"/>
      <c r="K379" s="54"/>
      <c r="L379" s="54"/>
      <c r="M379" s="57">
        <f>SUM(F379:F381)</f>
        <v>0</v>
      </c>
      <c r="N379" s="57">
        <f>SUM(I379:I381)+1</f>
        <v>1</v>
      </c>
      <c r="O379" s="59" t="str">
        <f>if ( isblank (E379), E379, E379 + F379*'Control PanelOur Matches'!$K$2 + G379*5 + H379*(1/3) + I379*'Control PanelOur Matches'!$M$2 + J379*50)</f>
        <v/>
      </c>
      <c r="P379" s="59" t="str">
        <f t="shared" si="2"/>
        <v/>
      </c>
      <c r="Q379" s="60" t="str">
        <f t="shared" si="3"/>
        <v>no</v>
      </c>
      <c r="R379" s="60" t="str">
        <f t="shared" si="4"/>
        <v/>
      </c>
    </row>
    <row r="380" ht="15.0" customHeight="1">
      <c r="A380" s="49">
        <v>377.0</v>
      </c>
      <c r="B380" s="50">
        <v>63.0</v>
      </c>
      <c r="C380" s="52" t="s">
        <v>43</v>
      </c>
      <c r="D380" s="53">
        <f t="array" ref="D380">index('Match Sched'!$C$3:$H753,match(B380,'Match Sched'!$A$3:$A753,0),if(mod(A380,6)=0,6,mod(A380,6)),0)</f>
        <v>1388</v>
      </c>
      <c r="E380" s="54"/>
      <c r="F380" s="55"/>
      <c r="G380" s="54"/>
      <c r="H380" s="54"/>
      <c r="I380" s="54"/>
      <c r="J380" s="54"/>
      <c r="K380" s="54"/>
      <c r="L380" s="54"/>
      <c r="M380" s="61">
        <f t="shared" ref="M380:N380" si="254">M379</f>
        <v>0</v>
      </c>
      <c r="N380" s="57">
        <f t="shared" si="254"/>
        <v>1</v>
      </c>
      <c r="O380" s="59" t="str">
        <f>if ( isblank (E380), E380, E380 + F380*'Control PanelOur Matches'!$K$2 + G380*5 + H380*(1/3) + I380*'Control PanelOur Matches'!$M$2 + J380*50)</f>
        <v/>
      </c>
      <c r="P380" s="59" t="str">
        <f t="shared" si="2"/>
        <v/>
      </c>
      <c r="Q380" s="60" t="str">
        <f t="shared" si="3"/>
        <v>no</v>
      </c>
      <c r="R380" s="60" t="str">
        <f t="shared" si="4"/>
        <v/>
      </c>
    </row>
    <row r="381" ht="15.0" customHeight="1">
      <c r="A381" s="49">
        <v>378.0</v>
      </c>
      <c r="B381" s="50">
        <v>63.0</v>
      </c>
      <c r="C381" s="52" t="s">
        <v>44</v>
      </c>
      <c r="D381" s="53">
        <f t="array" ref="D381">index('Match Sched'!$C$3:$H753,match(B381,'Match Sched'!$A$3:$A753,0),if(mod(A381,6)=0,6,mod(A381,6)),0)</f>
        <v>3189</v>
      </c>
      <c r="E381" s="54"/>
      <c r="F381" s="55"/>
      <c r="G381" s="54"/>
      <c r="H381" s="54"/>
      <c r="I381" s="54"/>
      <c r="J381" s="54"/>
      <c r="K381" s="54"/>
      <c r="L381" s="54"/>
      <c r="M381" s="62">
        <f t="shared" ref="M381:N381" si="255">M379</f>
        <v>0</v>
      </c>
      <c r="N381" s="57">
        <f t="shared" si="255"/>
        <v>1</v>
      </c>
      <c r="O381" s="59" t="str">
        <f>if ( isblank (E381), E381, E381 + F381*'Control PanelOur Matches'!$K$2 + G381*5 + H381*(1/3) + I381*'Control PanelOur Matches'!$M$2 + J381*50)</f>
        <v/>
      </c>
      <c r="P381" s="59" t="str">
        <f t="shared" si="2"/>
        <v/>
      </c>
      <c r="Q381" s="60" t="str">
        <f t="shared" si="3"/>
        <v>no</v>
      </c>
      <c r="R381" s="60" t="str">
        <f t="shared" si="4"/>
        <v/>
      </c>
    </row>
    <row r="382" ht="15.0" customHeight="1">
      <c r="A382" s="65">
        <v>379.0</v>
      </c>
      <c r="B382" s="66">
        <v>64.0</v>
      </c>
      <c r="C382" s="52" t="s">
        <v>39</v>
      </c>
      <c r="D382" s="53">
        <f t="array" ref="D382">index('Match Sched'!$C$3:$H753,match(B382,'Match Sched'!$A$3:$A753,0),if(mod(A382,6)=0,6,mod(A382,6)),0)</f>
        <v>4643</v>
      </c>
      <c r="E382" s="54"/>
      <c r="F382" s="55"/>
      <c r="G382" s="67"/>
      <c r="H382" s="67"/>
      <c r="I382" s="67"/>
      <c r="J382" s="67"/>
      <c r="K382" s="67"/>
      <c r="L382" s="67"/>
      <c r="M382" s="57">
        <f>SUM(F382:F384)</f>
        <v>0</v>
      </c>
      <c r="N382" s="57">
        <f>SUM(I382:I384)+1</f>
        <v>1</v>
      </c>
      <c r="O382" s="59" t="str">
        <f>if ( isblank (E382), E382, E382 + F382*'Control PanelOur Matches'!$K$2 + G382*5 + H382*(1/3) + I382*'Control PanelOur Matches'!$M$2 + J382*50)</f>
        <v/>
      </c>
      <c r="P382" s="59" t="str">
        <f t="shared" si="2"/>
        <v/>
      </c>
      <c r="Q382" s="60" t="str">
        <f t="shared" si="3"/>
        <v>no</v>
      </c>
      <c r="R382" s="60" t="str">
        <f t="shared" si="4"/>
        <v/>
      </c>
    </row>
    <row r="383" ht="15.0" customHeight="1">
      <c r="A383" s="65">
        <v>380.0</v>
      </c>
      <c r="B383" s="66">
        <v>64.0</v>
      </c>
      <c r="C383" s="69" t="s">
        <v>40</v>
      </c>
      <c r="D383" s="53">
        <f t="array" ref="D383">index('Match Sched'!$C$3:$H753,match(B383,'Match Sched'!$A$3:$A753,0),if(mod(A383,6)=0,6,mod(A383,6)),0)</f>
        <v>2643</v>
      </c>
      <c r="E383" s="54"/>
      <c r="F383" s="55"/>
      <c r="G383" s="67"/>
      <c r="H383" s="67"/>
      <c r="I383" s="67"/>
      <c r="J383" s="67"/>
      <c r="K383" s="67"/>
      <c r="L383" s="67"/>
      <c r="M383" s="61">
        <f t="shared" ref="M383:N383" si="256">M382</f>
        <v>0</v>
      </c>
      <c r="N383" s="57">
        <f t="shared" si="256"/>
        <v>1</v>
      </c>
      <c r="O383" s="59" t="str">
        <f>if ( isblank (E383), E383, E383 + F383*'Control PanelOur Matches'!$K$2 + G383*5 + H383*(1/3) + I383*'Control PanelOur Matches'!$M$2 + J383*50)</f>
        <v/>
      </c>
      <c r="P383" s="59" t="str">
        <f t="shared" si="2"/>
        <v/>
      </c>
      <c r="Q383" s="60" t="str">
        <f t="shared" si="3"/>
        <v>no</v>
      </c>
      <c r="R383" s="60" t="str">
        <f t="shared" si="4"/>
        <v/>
      </c>
    </row>
    <row r="384" ht="15.0" customHeight="1">
      <c r="A384" s="65">
        <v>381.0</v>
      </c>
      <c r="B384" s="66">
        <v>64.0</v>
      </c>
      <c r="C384" s="52" t="s">
        <v>41</v>
      </c>
      <c r="D384" s="53">
        <f t="array" ref="D384">index('Match Sched'!$C$3:$H753,match(B384,'Match Sched'!$A$3:$A753,0),if(mod(A384,6)=0,6,mod(A384,6)),0)</f>
        <v>1422</v>
      </c>
      <c r="E384" s="54"/>
      <c r="F384" s="55"/>
      <c r="G384" s="67"/>
      <c r="H384" s="67"/>
      <c r="I384" s="67"/>
      <c r="J384" s="67"/>
      <c r="K384" s="67"/>
      <c r="L384" s="67"/>
      <c r="M384" s="62">
        <f t="shared" ref="M384:N384" si="257">M382</f>
        <v>0</v>
      </c>
      <c r="N384" s="57">
        <f t="shared" si="257"/>
        <v>1</v>
      </c>
      <c r="O384" s="59" t="str">
        <f>if ( isblank (E384), E384, E384 + F384*'Control PanelOur Matches'!$K$2 + G384*5 + H384*(1/3) + I384*'Control PanelOur Matches'!$M$2 + J384*50)</f>
        <v/>
      </c>
      <c r="P384" s="59" t="str">
        <f t="shared" si="2"/>
        <v/>
      </c>
      <c r="Q384" s="60" t="str">
        <f t="shared" si="3"/>
        <v>no</v>
      </c>
      <c r="R384" s="60" t="str">
        <f t="shared" si="4"/>
        <v/>
      </c>
    </row>
    <row r="385" ht="15.0" customHeight="1">
      <c r="A385" s="65">
        <v>382.0</v>
      </c>
      <c r="B385" s="66">
        <v>64.0</v>
      </c>
      <c r="C385" s="52" t="s">
        <v>42</v>
      </c>
      <c r="D385" s="53">
        <f t="array" ref="D385">index('Match Sched'!$C$3:$H753,match(B385,'Match Sched'!$A$3:$A753,0),if(mod(A385,6)=0,6,mod(A385,6)),0)</f>
        <v>4543</v>
      </c>
      <c r="E385" s="54"/>
      <c r="F385" s="55"/>
      <c r="G385" s="67"/>
      <c r="H385" s="67"/>
      <c r="I385" s="67"/>
      <c r="J385" s="67"/>
      <c r="K385" s="67"/>
      <c r="L385" s="67"/>
      <c r="M385" s="57">
        <f>SUM(F385:F387)</f>
        <v>0</v>
      </c>
      <c r="N385" s="57">
        <f>SUM(I385:I387)+1</f>
        <v>1</v>
      </c>
      <c r="O385" s="59" t="str">
        <f>if ( isblank (E385), E385, E385 + F385*'Control PanelOur Matches'!$K$2 + G385*5 + H385*(1/3) + I385*'Control PanelOur Matches'!$M$2 + J385*50)</f>
        <v/>
      </c>
      <c r="P385" s="59" t="str">
        <f t="shared" si="2"/>
        <v/>
      </c>
      <c r="Q385" s="60" t="str">
        <f t="shared" si="3"/>
        <v>no</v>
      </c>
      <c r="R385" s="60" t="str">
        <f t="shared" si="4"/>
        <v/>
      </c>
    </row>
    <row r="386" ht="15.0" customHeight="1">
      <c r="A386" s="65">
        <v>383.0</v>
      </c>
      <c r="B386" s="66">
        <v>64.0</v>
      </c>
      <c r="C386" s="52" t="s">
        <v>43</v>
      </c>
      <c r="D386" s="53">
        <f t="array" ref="D386">index('Match Sched'!$C$3:$H753,match(B386,'Match Sched'!$A$3:$A753,0),if(mod(A386,6)=0,6,mod(A386,6)),0)</f>
        <v>1868</v>
      </c>
      <c r="E386" s="54"/>
      <c r="F386" s="55"/>
      <c r="G386" s="67"/>
      <c r="H386" s="67"/>
      <c r="I386" s="67"/>
      <c r="J386" s="67"/>
      <c r="K386" s="67"/>
      <c r="L386" s="67"/>
      <c r="M386" s="61">
        <f t="shared" ref="M386:N386" si="258">M385</f>
        <v>0</v>
      </c>
      <c r="N386" s="57">
        <f t="shared" si="258"/>
        <v>1</v>
      </c>
      <c r="O386" s="59" t="str">
        <f>if ( isblank (E386), E386, E386 + F386*'Control PanelOur Matches'!$K$2 + G386*5 + H386*(1/3) + I386*'Control PanelOur Matches'!$M$2 + J386*50)</f>
        <v/>
      </c>
      <c r="P386" s="59" t="str">
        <f t="shared" si="2"/>
        <v/>
      </c>
      <c r="Q386" s="60" t="str">
        <f t="shared" si="3"/>
        <v>no</v>
      </c>
      <c r="R386" s="60" t="str">
        <f t="shared" si="4"/>
        <v/>
      </c>
    </row>
    <row r="387" ht="15.0" customHeight="1">
      <c r="A387" s="65">
        <v>384.0</v>
      </c>
      <c r="B387" s="66">
        <v>64.0</v>
      </c>
      <c r="C387" s="68" t="s">
        <v>44</v>
      </c>
      <c r="D387" s="53">
        <f t="array" ref="D387">index('Match Sched'!$C$3:$H753,match(B387,'Match Sched'!$A$3:$A753,0),if(mod(A387,6)=0,6,mod(A387,6)),0)</f>
        <v>1323</v>
      </c>
      <c r="E387" s="54"/>
      <c r="F387" s="55"/>
      <c r="G387" s="67"/>
      <c r="H387" s="67"/>
      <c r="I387" s="67"/>
      <c r="J387" s="67"/>
      <c r="K387" s="67"/>
      <c r="L387" s="67"/>
      <c r="M387" s="62">
        <f t="shared" ref="M387:N387" si="259">M385</f>
        <v>0</v>
      </c>
      <c r="N387" s="57">
        <f t="shared" si="259"/>
        <v>1</v>
      </c>
      <c r="O387" s="59" t="str">
        <f>if ( isblank (E387), E387, E387 + F387*'Control PanelOur Matches'!$K$2 + G387*5 + H387*(1/3) + I387*'Control PanelOur Matches'!$M$2 + J387*50)</f>
        <v/>
      </c>
      <c r="P387" s="59" t="str">
        <f t="shared" si="2"/>
        <v/>
      </c>
      <c r="Q387" s="60" t="str">
        <f t="shared" si="3"/>
        <v>no</v>
      </c>
      <c r="R387" s="60" t="str">
        <f t="shared" si="4"/>
        <v/>
      </c>
    </row>
    <row r="388" ht="15.0" customHeight="1">
      <c r="A388" s="49">
        <v>385.0</v>
      </c>
      <c r="B388" s="50">
        <v>65.0</v>
      </c>
      <c r="C388" s="52" t="s">
        <v>39</v>
      </c>
      <c r="D388" s="53">
        <f t="array" ref="D388">index('Match Sched'!$C$3:$H753,match(B388,'Match Sched'!$A$3:$A753,0),if(mod(A388,6)=0,6,mod(A388,6)),0)</f>
        <v>980</v>
      </c>
      <c r="E388" s="54"/>
      <c r="F388" s="55"/>
      <c r="G388" s="54"/>
      <c r="H388" s="54"/>
      <c r="I388" s="54"/>
      <c r="J388" s="54"/>
      <c r="K388" s="54"/>
      <c r="L388" s="54"/>
      <c r="M388" s="57">
        <f>SUM(F388:F390)</f>
        <v>0</v>
      </c>
      <c r="N388" s="57">
        <f>SUM(I388:I390)+1</f>
        <v>1</v>
      </c>
      <c r="O388" s="59" t="str">
        <f>if ( isblank (E388), E388, E388 + F388*'Control PanelOur Matches'!$K$2 + G388*5 + H388*(1/3) + I388*'Control PanelOur Matches'!$M$2 + J388*50)</f>
        <v/>
      </c>
      <c r="P388" s="59" t="str">
        <f t="shared" si="2"/>
        <v/>
      </c>
      <c r="Q388" s="60" t="str">
        <f t="shared" si="3"/>
        <v>no</v>
      </c>
      <c r="R388" s="60" t="str">
        <f t="shared" si="4"/>
        <v/>
      </c>
    </row>
    <row r="389" ht="15.0" customHeight="1">
      <c r="A389" s="49">
        <v>386.0</v>
      </c>
      <c r="B389" s="50">
        <v>65.0</v>
      </c>
      <c r="C389" s="52" t="s">
        <v>40</v>
      </c>
      <c r="D389" s="53">
        <f t="array" ref="D389">index('Match Sched'!$C$3:$H753,match(B389,'Match Sched'!$A$3:$A753,0),if(mod(A389,6)=0,6,mod(A389,6)),0)</f>
        <v>5104</v>
      </c>
      <c r="E389" s="54"/>
      <c r="F389" s="55"/>
      <c r="G389" s="54"/>
      <c r="H389" s="54"/>
      <c r="I389" s="54"/>
      <c r="J389" s="54"/>
      <c r="K389" s="54"/>
      <c r="L389" s="54"/>
      <c r="M389" s="61">
        <f t="shared" ref="M389:N389" si="260">M388</f>
        <v>0</v>
      </c>
      <c r="N389" s="57">
        <f t="shared" si="260"/>
        <v>1</v>
      </c>
      <c r="O389" s="59" t="str">
        <f>if ( isblank (E389), E389, E389 + F389*'Control PanelOur Matches'!$K$2 + G389*5 + H389*(1/3) + I389*'Control PanelOur Matches'!$M$2 + J389*50)</f>
        <v/>
      </c>
      <c r="P389" s="59" t="str">
        <f t="shared" si="2"/>
        <v/>
      </c>
      <c r="Q389" s="60" t="str">
        <f t="shared" si="3"/>
        <v>no</v>
      </c>
      <c r="R389" s="60" t="str">
        <f t="shared" si="4"/>
        <v/>
      </c>
    </row>
    <row r="390" ht="15.0" customHeight="1">
      <c r="A390" s="49">
        <v>387.0</v>
      </c>
      <c r="B390" s="50">
        <v>65.0</v>
      </c>
      <c r="C390" s="52" t="s">
        <v>41</v>
      </c>
      <c r="D390" s="53">
        <f t="array" ref="D390">index('Match Sched'!$C$3:$H753,match(B390,'Match Sched'!$A$3:$A753,0),if(mod(A390,6)=0,6,mod(A390,6)),0)</f>
        <v>5852</v>
      </c>
      <c r="E390" s="54"/>
      <c r="F390" s="55"/>
      <c r="G390" s="54"/>
      <c r="H390" s="54"/>
      <c r="I390" s="54"/>
      <c r="J390" s="54"/>
      <c r="K390" s="54"/>
      <c r="L390" s="54"/>
      <c r="M390" s="62">
        <f t="shared" ref="M390:N390" si="261">M388</f>
        <v>0</v>
      </c>
      <c r="N390" s="57">
        <f t="shared" si="261"/>
        <v>1</v>
      </c>
      <c r="O390" s="59" t="str">
        <f>if ( isblank (E390), E390, E390 + F390*'Control PanelOur Matches'!$K$2 + G390*5 + H390*(1/3) + I390*'Control PanelOur Matches'!$M$2 + J390*50)</f>
        <v/>
      </c>
      <c r="P390" s="59" t="str">
        <f t="shared" si="2"/>
        <v/>
      </c>
      <c r="Q390" s="60" t="str">
        <f t="shared" si="3"/>
        <v>no</v>
      </c>
      <c r="R390" s="60" t="str">
        <f t="shared" si="4"/>
        <v/>
      </c>
    </row>
    <row r="391" ht="15.0" customHeight="1">
      <c r="A391" s="49">
        <v>388.0</v>
      </c>
      <c r="B391" s="50">
        <v>65.0</v>
      </c>
      <c r="C391" s="52" t="s">
        <v>42</v>
      </c>
      <c r="D391" s="53">
        <f t="array" ref="D391">index('Match Sched'!$C$3:$H753,match(B391,'Match Sched'!$A$3:$A753,0),if(mod(A391,6)=0,6,mod(A391,6)),0)</f>
        <v>1671</v>
      </c>
      <c r="E391" s="54"/>
      <c r="F391" s="55"/>
      <c r="G391" s="54"/>
      <c r="H391" s="54"/>
      <c r="I391" s="54"/>
      <c r="J391" s="54"/>
      <c r="K391" s="54"/>
      <c r="L391" s="54"/>
      <c r="M391" s="57">
        <f>SUM(F391:F393)</f>
        <v>0</v>
      </c>
      <c r="N391" s="57">
        <f>SUM(I391:I393)+1</f>
        <v>1</v>
      </c>
      <c r="O391" s="59" t="str">
        <f>if ( isblank (E391), E391, E391 + F391*'Control PanelOur Matches'!$K$2 + G391*5 + H391*(1/3) + I391*'Control PanelOur Matches'!$M$2 + J391*50)</f>
        <v/>
      </c>
      <c r="P391" s="59" t="str">
        <f t="shared" si="2"/>
        <v/>
      </c>
      <c r="Q391" s="60" t="str">
        <f t="shared" si="3"/>
        <v>no</v>
      </c>
      <c r="R391" s="60" t="str">
        <f t="shared" si="4"/>
        <v/>
      </c>
    </row>
    <row r="392" ht="15.0" customHeight="1">
      <c r="A392" s="49">
        <v>389.0</v>
      </c>
      <c r="B392" s="50">
        <v>65.0</v>
      </c>
      <c r="C392" s="52" t="s">
        <v>43</v>
      </c>
      <c r="D392" s="53">
        <f t="array" ref="D392">index('Match Sched'!$C$3:$H753,match(B392,'Match Sched'!$A$3:$A753,0),if(mod(A392,6)=0,6,mod(A392,6)),0)</f>
        <v>973</v>
      </c>
      <c r="E392" s="54"/>
      <c r="F392" s="55"/>
      <c r="G392" s="54"/>
      <c r="H392" s="54"/>
      <c r="I392" s="54"/>
      <c r="J392" s="54"/>
      <c r="K392" s="54"/>
      <c r="L392" s="54"/>
      <c r="M392" s="61">
        <f t="shared" ref="M392:N392" si="262">M391</f>
        <v>0</v>
      </c>
      <c r="N392" s="57">
        <f t="shared" si="262"/>
        <v>1</v>
      </c>
      <c r="O392" s="59" t="str">
        <f>if ( isblank (E392), E392, E392 + F392*'Control PanelOur Matches'!$K$2 + G392*5 + H392*(1/3) + I392*'Control PanelOur Matches'!$M$2 + J392*50)</f>
        <v/>
      </c>
      <c r="P392" s="59" t="str">
        <f t="shared" si="2"/>
        <v/>
      </c>
      <c r="Q392" s="60" t="str">
        <f t="shared" si="3"/>
        <v>no</v>
      </c>
      <c r="R392" s="60" t="str">
        <f t="shared" si="4"/>
        <v/>
      </c>
    </row>
    <row r="393" ht="15.0" customHeight="1">
      <c r="A393" s="49">
        <v>390.0</v>
      </c>
      <c r="B393" s="50">
        <v>65.0</v>
      </c>
      <c r="C393" s="52" t="s">
        <v>44</v>
      </c>
      <c r="D393" s="53">
        <f t="array" ref="D393">index('Match Sched'!$C$3:$H753,match(B393,'Match Sched'!$A$3:$A753,0),if(mod(A393,6)=0,6,mod(A393,6)),0)</f>
        <v>6657</v>
      </c>
      <c r="E393" s="54"/>
      <c r="F393" s="55"/>
      <c r="G393" s="54"/>
      <c r="H393" s="54"/>
      <c r="I393" s="54"/>
      <c r="J393" s="54"/>
      <c r="K393" s="54"/>
      <c r="L393" s="54"/>
      <c r="M393" s="62">
        <f t="shared" ref="M393:N393" si="263">M391</f>
        <v>0</v>
      </c>
      <c r="N393" s="57">
        <f t="shared" si="263"/>
        <v>1</v>
      </c>
      <c r="O393" s="59" t="str">
        <f>if ( isblank (E393), E393, E393 + F393*'Control PanelOur Matches'!$K$2 + G393*5 + H393*(1/3) + I393*'Control PanelOur Matches'!$M$2 + J393*50)</f>
        <v/>
      </c>
      <c r="P393" s="59" t="str">
        <f t="shared" si="2"/>
        <v/>
      </c>
      <c r="Q393" s="60" t="str">
        <f t="shared" si="3"/>
        <v>no</v>
      </c>
      <c r="R393" s="60" t="str">
        <f t="shared" si="4"/>
        <v/>
      </c>
    </row>
    <row r="394" ht="15.0" customHeight="1">
      <c r="A394" s="65">
        <v>391.0</v>
      </c>
      <c r="B394" s="66">
        <v>66.0</v>
      </c>
      <c r="C394" s="52" t="s">
        <v>39</v>
      </c>
      <c r="D394" s="53">
        <f t="array" ref="D394">index('Match Sched'!$C$3:$H753,match(B394,'Match Sched'!$A$3:$A753,0),if(mod(A394,6)=0,6,mod(A394,6)),0)</f>
        <v>3256</v>
      </c>
      <c r="E394" s="54"/>
      <c r="F394" s="55"/>
      <c r="G394" s="67"/>
      <c r="H394" s="67"/>
      <c r="I394" s="67"/>
      <c r="J394" s="67"/>
      <c r="K394" s="67"/>
      <c r="L394" s="67"/>
      <c r="M394" s="57">
        <f>SUM(F394:F396)</f>
        <v>0</v>
      </c>
      <c r="N394" s="57">
        <f>SUM(I394:I396)+1</f>
        <v>1</v>
      </c>
      <c r="O394" s="59" t="str">
        <f>if ( isblank (E394), E394, E394 + F394*'Control PanelOur Matches'!$K$2 + G394*5 + H394*(1/3) + I394*'Control PanelOur Matches'!$M$2 + J394*50)</f>
        <v/>
      </c>
      <c r="P394" s="59" t="str">
        <f t="shared" si="2"/>
        <v/>
      </c>
      <c r="Q394" s="60" t="str">
        <f t="shared" si="3"/>
        <v>no</v>
      </c>
      <c r="R394" s="60" t="str">
        <f t="shared" si="4"/>
        <v/>
      </c>
    </row>
    <row r="395" ht="15.0" customHeight="1">
      <c r="A395" s="65">
        <v>392.0</v>
      </c>
      <c r="B395" s="66">
        <v>66.0</v>
      </c>
      <c r="C395" s="52" t="s">
        <v>40</v>
      </c>
      <c r="D395" s="53">
        <f t="array" ref="D395">index('Match Sched'!$C$3:$H753,match(B395,'Match Sched'!$A$3:$A753,0),if(mod(A395,6)=0,6,mod(A395,6)),0)</f>
        <v>2761</v>
      </c>
      <c r="E395" s="54"/>
      <c r="F395" s="55"/>
      <c r="G395" s="67"/>
      <c r="H395" s="67"/>
      <c r="I395" s="67"/>
      <c r="J395" s="67"/>
      <c r="K395" s="67"/>
      <c r="L395" s="67"/>
      <c r="M395" s="61">
        <f t="shared" ref="M395:N395" si="264">M394</f>
        <v>0</v>
      </c>
      <c r="N395" s="57">
        <f t="shared" si="264"/>
        <v>1</v>
      </c>
      <c r="O395" s="59" t="str">
        <f>if ( isblank (E395), E395, E395 + F395*'Control PanelOur Matches'!$K$2 + G395*5 + H395*(1/3) + I395*'Control PanelOur Matches'!$M$2 + J395*50)</f>
        <v/>
      </c>
      <c r="P395" s="59" t="str">
        <f t="shared" si="2"/>
        <v/>
      </c>
      <c r="Q395" s="60" t="str">
        <f t="shared" si="3"/>
        <v>no</v>
      </c>
      <c r="R395" s="60" t="str">
        <f t="shared" si="4"/>
        <v/>
      </c>
    </row>
    <row r="396" ht="15.0" customHeight="1">
      <c r="A396" s="65">
        <v>393.0</v>
      </c>
      <c r="B396" s="66">
        <v>66.0</v>
      </c>
      <c r="C396" s="52" t="s">
        <v>41</v>
      </c>
      <c r="D396" s="53">
        <f t="array" ref="D396">index('Match Sched'!$C$3:$H753,match(B396,'Match Sched'!$A$3:$A753,0),if(mod(A396,6)=0,6,mod(A396,6)),0)</f>
        <v>5134</v>
      </c>
      <c r="E396" s="54"/>
      <c r="F396" s="55"/>
      <c r="G396" s="67"/>
      <c r="H396" s="67"/>
      <c r="I396" s="67"/>
      <c r="J396" s="67"/>
      <c r="K396" s="67"/>
      <c r="L396" s="67"/>
      <c r="M396" s="62">
        <f t="shared" ref="M396:N396" si="265">M394</f>
        <v>0</v>
      </c>
      <c r="N396" s="57">
        <f t="shared" si="265"/>
        <v>1</v>
      </c>
      <c r="O396" s="59" t="str">
        <f>if ( isblank (E396), E396, E396 + F396*'Control PanelOur Matches'!$K$2 + G396*5 + H396*(1/3) + I396*'Control PanelOur Matches'!$M$2 + J396*50)</f>
        <v/>
      </c>
      <c r="P396" s="59" t="str">
        <f t="shared" si="2"/>
        <v/>
      </c>
      <c r="Q396" s="60" t="str">
        <f t="shared" si="3"/>
        <v>no</v>
      </c>
      <c r="R396" s="60" t="str">
        <f t="shared" si="4"/>
        <v/>
      </c>
    </row>
    <row r="397" ht="15.0" customHeight="1">
      <c r="A397" s="65">
        <v>394.0</v>
      </c>
      <c r="B397" s="66">
        <v>66.0</v>
      </c>
      <c r="C397" s="52" t="s">
        <v>42</v>
      </c>
      <c r="D397" s="53">
        <f t="array" ref="D397">index('Match Sched'!$C$3:$H753,match(B397,'Match Sched'!$A$3:$A753,0),if(mod(A397,6)=0,6,mod(A397,6)),0)</f>
        <v>2813</v>
      </c>
      <c r="E397" s="54"/>
      <c r="F397" s="55"/>
      <c r="G397" s="67"/>
      <c r="H397" s="67"/>
      <c r="I397" s="67"/>
      <c r="J397" s="67"/>
      <c r="K397" s="67"/>
      <c r="L397" s="67"/>
      <c r="M397" s="57">
        <f>SUM(F397:F399)</f>
        <v>0</v>
      </c>
      <c r="N397" s="57">
        <f>SUM(I397:I399)+1</f>
        <v>1</v>
      </c>
      <c r="O397" s="59" t="str">
        <f>if ( isblank (E397), E397, E397 + F397*'Control PanelOur Matches'!$K$2 + G397*5 + H397*(1/3) + I397*'Control PanelOur Matches'!$M$2 + J397*50)</f>
        <v/>
      </c>
      <c r="P397" s="59" t="str">
        <f t="shared" si="2"/>
        <v/>
      </c>
      <c r="Q397" s="60" t="str">
        <f t="shared" si="3"/>
        <v>no</v>
      </c>
      <c r="R397" s="60" t="str">
        <f t="shared" si="4"/>
        <v/>
      </c>
    </row>
    <row r="398" ht="15.0" customHeight="1">
      <c r="A398" s="65">
        <v>395.0</v>
      </c>
      <c r="B398" s="66">
        <v>66.0</v>
      </c>
      <c r="C398" s="52" t="s">
        <v>43</v>
      </c>
      <c r="D398" s="53">
        <f t="array" ref="D398">index('Match Sched'!$C$3:$H753,match(B398,'Match Sched'!$A$3:$A753,0),if(mod(A398,6)=0,6,mod(A398,6)),0)</f>
        <v>1662</v>
      </c>
      <c r="E398" s="54"/>
      <c r="F398" s="55"/>
      <c r="G398" s="67"/>
      <c r="H398" s="67"/>
      <c r="I398" s="67"/>
      <c r="J398" s="67"/>
      <c r="K398" s="67"/>
      <c r="L398" s="67"/>
      <c r="M398" s="61">
        <f t="shared" ref="M398:N398" si="266">M397</f>
        <v>0</v>
      </c>
      <c r="N398" s="57">
        <f t="shared" si="266"/>
        <v>1</v>
      </c>
      <c r="O398" s="59" t="str">
        <f>if ( isblank (E398), E398, E398 + F398*'Control PanelOur Matches'!$K$2 + G398*5 + H398*(1/3) + I398*'Control PanelOur Matches'!$M$2 + J398*50)</f>
        <v/>
      </c>
      <c r="P398" s="59" t="str">
        <f t="shared" si="2"/>
        <v/>
      </c>
      <c r="Q398" s="60" t="str">
        <f t="shared" si="3"/>
        <v>no</v>
      </c>
      <c r="R398" s="60" t="str">
        <f t="shared" si="4"/>
        <v/>
      </c>
    </row>
    <row r="399" ht="15.0" customHeight="1">
      <c r="A399" s="65">
        <v>396.0</v>
      </c>
      <c r="B399" s="66">
        <v>66.0</v>
      </c>
      <c r="C399" s="68" t="s">
        <v>44</v>
      </c>
      <c r="D399" s="53">
        <f t="array" ref="D399">index('Match Sched'!$C$3:$H753,match(B399,'Match Sched'!$A$3:$A753,0),if(mod(A399,6)=0,6,mod(A399,6)),0)</f>
        <v>6650</v>
      </c>
      <c r="E399" s="54"/>
      <c r="F399" s="55"/>
      <c r="G399" s="67"/>
      <c r="H399" s="67"/>
      <c r="I399" s="67"/>
      <c r="J399" s="67"/>
      <c r="K399" s="67"/>
      <c r="L399" s="67"/>
      <c r="M399" s="62">
        <f t="shared" ref="M399:N399" si="267">M397</f>
        <v>0</v>
      </c>
      <c r="N399" s="57">
        <f t="shared" si="267"/>
        <v>1</v>
      </c>
      <c r="O399" s="59" t="str">
        <f>if ( isblank (E399), E399, E399 + F399*'Control PanelOur Matches'!$K$2 + G399*5 + H399*(1/3) + I399*'Control PanelOur Matches'!$M$2 + J399*50)</f>
        <v/>
      </c>
      <c r="P399" s="59" t="str">
        <f t="shared" si="2"/>
        <v/>
      </c>
      <c r="Q399" s="60" t="str">
        <f t="shared" si="3"/>
        <v>no</v>
      </c>
      <c r="R399" s="60" t="str">
        <f t="shared" si="4"/>
        <v/>
      </c>
    </row>
    <row r="400" ht="15.0" customHeight="1">
      <c r="A400" s="49">
        <v>397.0</v>
      </c>
      <c r="B400" s="50">
        <v>67.0</v>
      </c>
      <c r="C400" s="52" t="s">
        <v>39</v>
      </c>
      <c r="D400" s="53">
        <f t="array" ref="D400">index('Match Sched'!$C$3:$H753,match(B400,'Match Sched'!$A$3:$A753,0),if(mod(A400,6)=0,6,mod(A400,6)),0)</f>
        <v>3501</v>
      </c>
      <c r="E400" s="54"/>
      <c r="F400" s="55"/>
      <c r="G400" s="54"/>
      <c r="H400" s="54"/>
      <c r="I400" s="54"/>
      <c r="J400" s="54"/>
      <c r="K400" s="54"/>
      <c r="L400" s="54"/>
      <c r="M400" s="57">
        <f>SUM(F400:F402)</f>
        <v>0</v>
      </c>
      <c r="N400" s="57">
        <f>SUM(I400:I402)+1</f>
        <v>1</v>
      </c>
      <c r="O400" s="59" t="str">
        <f>if ( isblank (E400), E400, E400 + F400*'Control PanelOur Matches'!$K$2 + G400*5 + H400*(1/3) + I400*'Control PanelOur Matches'!$M$2 + J400*50)</f>
        <v/>
      </c>
      <c r="P400" s="59" t="str">
        <f t="shared" si="2"/>
        <v/>
      </c>
      <c r="Q400" s="60" t="str">
        <f t="shared" si="3"/>
        <v>no</v>
      </c>
      <c r="R400" s="60" t="str">
        <f t="shared" si="4"/>
        <v/>
      </c>
    </row>
    <row r="401" ht="15.0" customHeight="1">
      <c r="A401" s="49">
        <v>398.0</v>
      </c>
      <c r="B401" s="50">
        <v>67.0</v>
      </c>
      <c r="C401" s="52" t="s">
        <v>40</v>
      </c>
      <c r="D401" s="53">
        <f t="array" ref="D401">index('Match Sched'!$C$3:$H753,match(B401,'Match Sched'!$A$3:$A753,0),if(mod(A401,6)=0,6,mod(A401,6)),0)</f>
        <v>4415</v>
      </c>
      <c r="E401" s="54"/>
      <c r="F401" s="55"/>
      <c r="G401" s="54"/>
      <c r="H401" s="54"/>
      <c r="I401" s="54"/>
      <c r="J401" s="54"/>
      <c r="K401" s="54"/>
      <c r="L401" s="54"/>
      <c r="M401" s="61">
        <f t="shared" ref="M401:N401" si="268">M400</f>
        <v>0</v>
      </c>
      <c r="N401" s="57">
        <f t="shared" si="268"/>
        <v>1</v>
      </c>
      <c r="O401" s="59" t="str">
        <f>if ( isblank (E401), E401, E401 + F401*'Control PanelOur Matches'!$K$2 + G401*5 + H401*(1/3) + I401*'Control PanelOur Matches'!$M$2 + J401*50)</f>
        <v/>
      </c>
      <c r="P401" s="59" t="str">
        <f t="shared" si="2"/>
        <v/>
      </c>
      <c r="Q401" s="60" t="str">
        <f t="shared" si="3"/>
        <v>no</v>
      </c>
      <c r="R401" s="60" t="str">
        <f t="shared" si="4"/>
        <v/>
      </c>
    </row>
    <row r="402" ht="15.0" customHeight="1">
      <c r="A402" s="49">
        <v>399.0</v>
      </c>
      <c r="B402" s="50">
        <v>67.0</v>
      </c>
      <c r="C402" s="52" t="s">
        <v>41</v>
      </c>
      <c r="D402" s="53">
        <f t="array" ref="D402">index('Match Sched'!$C$3:$H753,match(B402,'Match Sched'!$A$3:$A753,0),if(mod(A402,6)=0,6,mod(A402,6)),0)</f>
        <v>6711</v>
      </c>
      <c r="E402" s="54"/>
      <c r="F402" s="55"/>
      <c r="G402" s="54"/>
      <c r="H402" s="54"/>
      <c r="I402" s="54"/>
      <c r="J402" s="54"/>
      <c r="K402" s="54"/>
      <c r="L402" s="54"/>
      <c r="M402" s="62">
        <f t="shared" ref="M402:N402" si="269">M400</f>
        <v>0</v>
      </c>
      <c r="N402" s="57">
        <f t="shared" si="269"/>
        <v>1</v>
      </c>
      <c r="O402" s="59" t="str">
        <f>if ( isblank (E402), E402, E402 + F402*'Control PanelOur Matches'!$K$2 + G402*5 + H402*(1/3) + I402*'Control PanelOur Matches'!$M$2 + J402*50)</f>
        <v/>
      </c>
      <c r="P402" s="59" t="str">
        <f t="shared" si="2"/>
        <v/>
      </c>
      <c r="Q402" s="60" t="str">
        <f t="shared" si="3"/>
        <v>no</v>
      </c>
      <c r="R402" s="60" t="str">
        <f t="shared" si="4"/>
        <v/>
      </c>
    </row>
    <row r="403" ht="15.0" customHeight="1">
      <c r="A403" s="49">
        <v>400.0</v>
      </c>
      <c r="B403" s="50">
        <v>67.0</v>
      </c>
      <c r="C403" s="52" t="s">
        <v>42</v>
      </c>
      <c r="D403" s="53">
        <f t="array" ref="D403">index('Match Sched'!$C$3:$H753,match(B403,'Match Sched'!$A$3:$A753,0),if(mod(A403,6)=0,6,mod(A403,6)),0)</f>
        <v>1072</v>
      </c>
      <c r="E403" s="54"/>
      <c r="F403" s="55"/>
      <c r="G403" s="54"/>
      <c r="H403" s="54"/>
      <c r="I403" s="54"/>
      <c r="J403" s="54"/>
      <c r="K403" s="54"/>
      <c r="L403" s="54"/>
      <c r="M403" s="57">
        <f>SUM(F403:F405)</f>
        <v>0</v>
      </c>
      <c r="N403" s="57">
        <f>SUM(I403:I405)+1</f>
        <v>1</v>
      </c>
      <c r="O403" s="59" t="str">
        <f>if ( isblank (E403), E403, E403 + F403*'Control PanelOur Matches'!$K$2 + G403*5 + H403*(1/3) + I403*'Control PanelOur Matches'!$M$2 + J403*50)</f>
        <v/>
      </c>
      <c r="P403" s="59" t="str">
        <f t="shared" si="2"/>
        <v/>
      </c>
      <c r="Q403" s="60" t="str">
        <f t="shared" si="3"/>
        <v>no</v>
      </c>
      <c r="R403" s="60" t="str">
        <f t="shared" si="4"/>
        <v/>
      </c>
    </row>
    <row r="404" ht="15.0" customHeight="1">
      <c r="A404" s="49">
        <v>401.0</v>
      </c>
      <c r="B404" s="50">
        <v>67.0</v>
      </c>
      <c r="C404" s="52" t="s">
        <v>43</v>
      </c>
      <c r="D404" s="53">
        <f t="array" ref="D404">index('Match Sched'!$C$3:$H753,match(B404,'Match Sched'!$A$3:$A753,0),if(mod(A404,6)=0,6,mod(A404,6)),0)</f>
        <v>3045</v>
      </c>
      <c r="E404" s="54"/>
      <c r="F404" s="55"/>
      <c r="G404" s="54"/>
      <c r="H404" s="54"/>
      <c r="I404" s="54"/>
      <c r="J404" s="54"/>
      <c r="K404" s="54"/>
      <c r="L404" s="54"/>
      <c r="M404" s="61">
        <f t="shared" ref="M404:N404" si="270">M403</f>
        <v>0</v>
      </c>
      <c r="N404" s="57">
        <f t="shared" si="270"/>
        <v>1</v>
      </c>
      <c r="O404" s="59" t="str">
        <f>if ( isblank (E404), E404, E404 + F404*'Control PanelOur Matches'!$K$2 + G404*5 + H404*(1/3) + I404*'Control PanelOur Matches'!$M$2 + J404*50)</f>
        <v/>
      </c>
      <c r="P404" s="59" t="str">
        <f t="shared" si="2"/>
        <v/>
      </c>
      <c r="Q404" s="60" t="str">
        <f t="shared" si="3"/>
        <v>no</v>
      </c>
      <c r="R404" s="60" t="str">
        <f t="shared" si="4"/>
        <v/>
      </c>
    </row>
    <row r="405" ht="15.0" customHeight="1">
      <c r="A405" s="49">
        <v>402.0</v>
      </c>
      <c r="B405" s="50">
        <v>67.0</v>
      </c>
      <c r="C405" s="52" t="s">
        <v>44</v>
      </c>
      <c r="D405" s="53">
        <f t="array" ref="D405">index('Match Sched'!$C$3:$H753,match(B405,'Match Sched'!$A$3:$A753,0),if(mod(A405,6)=0,6,mod(A405,6)),0)</f>
        <v>294</v>
      </c>
      <c r="E405" s="54"/>
      <c r="F405" s="55"/>
      <c r="G405" s="54"/>
      <c r="H405" s="54"/>
      <c r="I405" s="54"/>
      <c r="J405" s="54"/>
      <c r="K405" s="54"/>
      <c r="L405" s="54"/>
      <c r="M405" s="62">
        <f t="shared" ref="M405:N405" si="271">M403</f>
        <v>0</v>
      </c>
      <c r="N405" s="57">
        <f t="shared" si="271"/>
        <v>1</v>
      </c>
      <c r="O405" s="59" t="str">
        <f>if ( isblank (E405), E405, E405 + F405*'Control PanelOur Matches'!$K$2 + G405*5 + H405*(1/3) + I405*'Control PanelOur Matches'!$M$2 + J405*50)</f>
        <v/>
      </c>
      <c r="P405" s="59" t="str">
        <f t="shared" si="2"/>
        <v/>
      </c>
      <c r="Q405" s="60" t="str">
        <f t="shared" si="3"/>
        <v>no</v>
      </c>
      <c r="R405" s="60" t="str">
        <f t="shared" si="4"/>
        <v/>
      </c>
    </row>
    <row r="406" ht="15.0" customHeight="1">
      <c r="A406" s="65">
        <v>403.0</v>
      </c>
      <c r="B406" s="66">
        <v>68.0</v>
      </c>
      <c r="C406" s="52" t="s">
        <v>39</v>
      </c>
      <c r="D406" s="53">
        <f t="array" ref="D406">index('Match Sched'!$C$3:$H753,match(B406,'Match Sched'!$A$3:$A753,0),if(mod(A406,6)=0,6,mod(A406,6)),0)</f>
        <v>2135</v>
      </c>
      <c r="E406" s="54"/>
      <c r="F406" s="55"/>
      <c r="G406" s="67"/>
      <c r="H406" s="67"/>
      <c r="I406" s="67"/>
      <c r="J406" s="67"/>
      <c r="K406" s="67"/>
      <c r="L406" s="67"/>
      <c r="M406" s="57">
        <f>SUM(F406:F408)</f>
        <v>0</v>
      </c>
      <c r="N406" s="57">
        <f>SUM(I406:I408)+1</f>
        <v>1</v>
      </c>
      <c r="O406" s="59" t="str">
        <f>if ( isblank (E406), E406, E406 + F406*'Control PanelOur Matches'!$K$2 + G406*5 + H406*(1/3) + I406*'Control PanelOur Matches'!$M$2 + J406*50)</f>
        <v/>
      </c>
      <c r="P406" s="59" t="str">
        <f t="shared" si="2"/>
        <v/>
      </c>
      <c r="Q406" s="60" t="str">
        <f t="shared" si="3"/>
        <v>no</v>
      </c>
      <c r="R406" s="60" t="str">
        <f t="shared" si="4"/>
        <v/>
      </c>
    </row>
    <row r="407" ht="15.0" customHeight="1">
      <c r="A407" s="65">
        <v>404.0</v>
      </c>
      <c r="B407" s="66">
        <v>68.0</v>
      </c>
      <c r="C407" s="69" t="s">
        <v>40</v>
      </c>
      <c r="D407" s="53">
        <f t="array" ref="D407">index('Match Sched'!$C$3:$H753,match(B407,'Match Sched'!$A$3:$A753,0),if(mod(A407,6)=0,6,mod(A407,6)),0)</f>
        <v>6699</v>
      </c>
      <c r="E407" s="54"/>
      <c r="F407" s="55"/>
      <c r="G407" s="67"/>
      <c r="H407" s="67"/>
      <c r="I407" s="67"/>
      <c r="J407" s="67"/>
      <c r="K407" s="67"/>
      <c r="L407" s="67"/>
      <c r="M407" s="61">
        <f t="shared" ref="M407:N407" si="272">M406</f>
        <v>0</v>
      </c>
      <c r="N407" s="57">
        <f t="shared" si="272"/>
        <v>1</v>
      </c>
      <c r="O407" s="59" t="str">
        <f>if ( isblank (E407), E407, E407 + F407*'Control PanelOur Matches'!$K$2 + G407*5 + H407*(1/3) + I407*'Control PanelOur Matches'!$M$2 + J407*50)</f>
        <v/>
      </c>
      <c r="P407" s="59" t="str">
        <f t="shared" si="2"/>
        <v/>
      </c>
      <c r="Q407" s="60" t="str">
        <f t="shared" si="3"/>
        <v>no</v>
      </c>
      <c r="R407" s="60" t="str">
        <f t="shared" si="4"/>
        <v/>
      </c>
    </row>
    <row r="408" ht="15.0" customHeight="1">
      <c r="A408" s="65">
        <v>405.0</v>
      </c>
      <c r="B408" s="66">
        <v>68.0</v>
      </c>
      <c r="C408" s="52" t="s">
        <v>41</v>
      </c>
      <c r="D408" s="53">
        <f t="array" ref="D408">index('Match Sched'!$C$3:$H753,match(B408,'Match Sched'!$A$3:$A753,0),if(mod(A408,6)=0,6,mod(A408,6)),0)</f>
        <v>5817</v>
      </c>
      <c r="E408" s="54"/>
      <c r="F408" s="55"/>
      <c r="G408" s="67"/>
      <c r="H408" s="67"/>
      <c r="I408" s="67"/>
      <c r="J408" s="67"/>
      <c r="K408" s="67"/>
      <c r="L408" s="67"/>
      <c r="M408" s="62">
        <f t="shared" ref="M408:N408" si="273">M406</f>
        <v>0</v>
      </c>
      <c r="N408" s="57">
        <f t="shared" si="273"/>
        <v>1</v>
      </c>
      <c r="O408" s="59" t="str">
        <f>if ( isblank (E408), E408, E408 + F408*'Control PanelOur Matches'!$K$2 + G408*5 + H408*(1/3) + I408*'Control PanelOur Matches'!$M$2 + J408*50)</f>
        <v/>
      </c>
      <c r="P408" s="59" t="str">
        <f t="shared" si="2"/>
        <v/>
      </c>
      <c r="Q408" s="60" t="str">
        <f t="shared" si="3"/>
        <v>no</v>
      </c>
      <c r="R408" s="60" t="str">
        <f t="shared" si="4"/>
        <v/>
      </c>
    </row>
    <row r="409" ht="15.0" customHeight="1">
      <c r="A409" s="65">
        <v>406.0</v>
      </c>
      <c r="B409" s="66">
        <v>68.0</v>
      </c>
      <c r="C409" s="52" t="s">
        <v>42</v>
      </c>
      <c r="D409" s="53">
        <f t="array" ref="D409">index('Match Sched'!$C$3:$H753,match(B409,'Match Sched'!$A$3:$A753,0),if(mod(A409,6)=0,6,mod(A409,6)),0)</f>
        <v>5677</v>
      </c>
      <c r="E409" s="54"/>
      <c r="F409" s="55"/>
      <c r="G409" s="67"/>
      <c r="H409" s="67"/>
      <c r="I409" s="67"/>
      <c r="J409" s="67"/>
      <c r="K409" s="67"/>
      <c r="L409" s="67"/>
      <c r="M409" s="57">
        <f>SUM(F409:F411)</f>
        <v>0</v>
      </c>
      <c r="N409" s="57">
        <f>SUM(I409:I411)+1</f>
        <v>1</v>
      </c>
      <c r="O409" s="59" t="str">
        <f>if ( isblank (E409), E409, E409 + F409*'Control PanelOur Matches'!$K$2 + G409*5 + H409*(1/3) + I409*'Control PanelOur Matches'!$M$2 + J409*50)</f>
        <v/>
      </c>
      <c r="P409" s="59" t="str">
        <f t="shared" si="2"/>
        <v/>
      </c>
      <c r="Q409" s="60" t="str">
        <f t="shared" si="3"/>
        <v>no</v>
      </c>
      <c r="R409" s="60" t="str">
        <f t="shared" si="4"/>
        <v/>
      </c>
    </row>
    <row r="410" ht="15.0" customHeight="1">
      <c r="A410" s="65">
        <v>407.0</v>
      </c>
      <c r="B410" s="66">
        <v>68.0</v>
      </c>
      <c r="C410" s="52" t="s">
        <v>43</v>
      </c>
      <c r="D410" s="53">
        <f t="array" ref="D410">index('Match Sched'!$C$3:$H753,match(B410,'Match Sched'!$A$3:$A753,0),if(mod(A410,6)=0,6,mod(A410,6)),0)</f>
        <v>2493</v>
      </c>
      <c r="E410" s="54"/>
      <c r="F410" s="55"/>
      <c r="G410" s="67"/>
      <c r="H410" s="67"/>
      <c r="I410" s="67"/>
      <c r="J410" s="67"/>
      <c r="K410" s="67"/>
      <c r="L410" s="67"/>
      <c r="M410" s="61">
        <f t="shared" ref="M410:N410" si="274">M409</f>
        <v>0</v>
      </c>
      <c r="N410" s="57">
        <f t="shared" si="274"/>
        <v>1</v>
      </c>
      <c r="O410" s="59" t="str">
        <f>if ( isblank (E410), E410, E410 + F410*'Control PanelOur Matches'!$K$2 + G410*5 + H410*(1/3) + I410*'Control PanelOur Matches'!$M$2 + J410*50)</f>
        <v/>
      </c>
      <c r="P410" s="59" t="str">
        <f t="shared" si="2"/>
        <v/>
      </c>
      <c r="Q410" s="60" t="str">
        <f t="shared" si="3"/>
        <v>no</v>
      </c>
      <c r="R410" s="60" t="str">
        <f t="shared" si="4"/>
        <v/>
      </c>
    </row>
    <row r="411" ht="15.0" customHeight="1">
      <c r="A411" s="65">
        <v>408.0</v>
      </c>
      <c r="B411" s="66">
        <v>68.0</v>
      </c>
      <c r="C411" s="68" t="s">
        <v>44</v>
      </c>
      <c r="D411" s="53">
        <f t="array" ref="D411">index('Match Sched'!$C$3:$H753,match(B411,'Match Sched'!$A$3:$A753,0),if(mod(A411,6)=0,6,mod(A411,6)),0)</f>
        <v>3970</v>
      </c>
      <c r="E411" s="54"/>
      <c r="F411" s="55"/>
      <c r="G411" s="67"/>
      <c r="H411" s="67"/>
      <c r="I411" s="67"/>
      <c r="J411" s="67"/>
      <c r="K411" s="67"/>
      <c r="L411" s="67"/>
      <c r="M411" s="62">
        <f t="shared" ref="M411:N411" si="275">M409</f>
        <v>0</v>
      </c>
      <c r="N411" s="57">
        <f t="shared" si="275"/>
        <v>1</v>
      </c>
      <c r="O411" s="59" t="str">
        <f>if ( isblank (E411), E411, E411 + F411*'Control PanelOur Matches'!$K$2 + G411*5 + H411*(1/3) + I411*'Control PanelOur Matches'!$M$2 + J411*50)</f>
        <v/>
      </c>
      <c r="P411" s="59" t="str">
        <f t="shared" si="2"/>
        <v/>
      </c>
      <c r="Q411" s="60" t="str">
        <f t="shared" si="3"/>
        <v>no</v>
      </c>
      <c r="R411" s="60" t="str">
        <f t="shared" si="4"/>
        <v/>
      </c>
    </row>
    <row r="412" ht="15.0" customHeight="1">
      <c r="A412" s="49">
        <v>409.0</v>
      </c>
      <c r="B412" s="50">
        <v>69.0</v>
      </c>
      <c r="C412" s="52" t="s">
        <v>39</v>
      </c>
      <c r="D412" s="53">
        <f t="array" ref="D412">index('Match Sched'!$C$3:$H753,match(B412,'Match Sched'!$A$3:$A753,0),if(mod(A412,6)=0,6,mod(A412,6)),0)</f>
        <v>852</v>
      </c>
      <c r="E412" s="54"/>
      <c r="F412" s="55"/>
      <c r="G412" s="54"/>
      <c r="H412" s="54"/>
      <c r="I412" s="54"/>
      <c r="J412" s="54"/>
      <c r="K412" s="54"/>
      <c r="L412" s="54"/>
      <c r="M412" s="57">
        <f>SUM(F412:F414)</f>
        <v>0</v>
      </c>
      <c r="N412" s="57">
        <f>SUM(I412:I414)+1</f>
        <v>1</v>
      </c>
      <c r="O412" s="59" t="str">
        <f>if ( isblank (E412), E412, E412 + F412*'Control PanelOur Matches'!$K$2 + G412*5 + H412*(1/3) + I412*'Control PanelOur Matches'!$M$2 + J412*50)</f>
        <v/>
      </c>
      <c r="P412" s="59" t="str">
        <f t="shared" si="2"/>
        <v/>
      </c>
      <c r="Q412" s="60" t="str">
        <f t="shared" si="3"/>
        <v>no</v>
      </c>
      <c r="R412" s="60" t="str">
        <f t="shared" si="4"/>
        <v/>
      </c>
    </row>
    <row r="413" ht="15.0" customHeight="1">
      <c r="A413" s="49">
        <v>410.0</v>
      </c>
      <c r="B413" s="50">
        <v>69.0</v>
      </c>
      <c r="C413" s="52" t="s">
        <v>40</v>
      </c>
      <c r="D413" s="53">
        <f t="array" ref="D413">index('Match Sched'!$C$3:$H753,match(B413,'Match Sched'!$A$3:$A753,0),if(mod(A413,6)=0,6,mod(A413,6)),0)</f>
        <v>687</v>
      </c>
      <c r="E413" s="54"/>
      <c r="F413" s="55"/>
      <c r="G413" s="54"/>
      <c r="H413" s="54"/>
      <c r="I413" s="54"/>
      <c r="J413" s="54"/>
      <c r="K413" s="54"/>
      <c r="L413" s="54"/>
      <c r="M413" s="61">
        <f t="shared" ref="M413:N413" si="276">M412</f>
        <v>0</v>
      </c>
      <c r="N413" s="57">
        <f t="shared" si="276"/>
        <v>1</v>
      </c>
      <c r="O413" s="59" t="str">
        <f>if ( isblank (E413), E413, E413 + F413*'Control PanelOur Matches'!$K$2 + G413*5 + H413*(1/3) + I413*'Control PanelOur Matches'!$M$2 + J413*50)</f>
        <v/>
      </c>
      <c r="P413" s="59" t="str">
        <f t="shared" si="2"/>
        <v/>
      </c>
      <c r="Q413" s="60" t="str">
        <f t="shared" si="3"/>
        <v>no</v>
      </c>
      <c r="R413" s="60" t="str">
        <f t="shared" si="4"/>
        <v/>
      </c>
    </row>
    <row r="414" ht="15.0" customHeight="1">
      <c r="A414" s="49">
        <v>411.0</v>
      </c>
      <c r="B414" s="50">
        <v>69.0</v>
      </c>
      <c r="C414" s="52" t="s">
        <v>41</v>
      </c>
      <c r="D414" s="53">
        <f t="array" ref="D414">index('Match Sched'!$C$3:$H753,match(B414,'Match Sched'!$A$3:$A753,0),if(mod(A414,6)=0,6,mod(A414,6)),0)</f>
        <v>6619</v>
      </c>
      <c r="E414" s="54"/>
      <c r="F414" s="55"/>
      <c r="G414" s="54"/>
      <c r="H414" s="54"/>
      <c r="I414" s="54"/>
      <c r="J414" s="54"/>
      <c r="K414" s="54"/>
      <c r="L414" s="54"/>
      <c r="M414" s="62">
        <f t="shared" ref="M414:N414" si="277">M412</f>
        <v>0</v>
      </c>
      <c r="N414" s="57">
        <f t="shared" si="277"/>
        <v>1</v>
      </c>
      <c r="O414" s="59" t="str">
        <f>if ( isblank (E414), E414, E414 + F414*'Control PanelOur Matches'!$K$2 + G414*5 + H414*(1/3) + I414*'Control PanelOur Matches'!$M$2 + J414*50)</f>
        <v/>
      </c>
      <c r="P414" s="59" t="str">
        <f t="shared" si="2"/>
        <v/>
      </c>
      <c r="Q414" s="60" t="str">
        <f t="shared" si="3"/>
        <v>no</v>
      </c>
      <c r="R414" s="60" t="str">
        <f t="shared" si="4"/>
        <v/>
      </c>
    </row>
    <row r="415" ht="15.0" customHeight="1">
      <c r="A415" s="49">
        <v>412.0</v>
      </c>
      <c r="B415" s="50">
        <v>69.0</v>
      </c>
      <c r="C415" s="52" t="s">
        <v>42</v>
      </c>
      <c r="D415" s="53">
        <f t="array" ref="D415">index('Match Sched'!$C$3:$H753,match(B415,'Match Sched'!$A$3:$A753,0),if(mod(A415,6)=0,6,mod(A415,6)),0)</f>
        <v>670</v>
      </c>
      <c r="E415" s="54"/>
      <c r="F415" s="55"/>
      <c r="G415" s="54"/>
      <c r="H415" s="54"/>
      <c r="I415" s="54"/>
      <c r="J415" s="54"/>
      <c r="K415" s="54"/>
      <c r="L415" s="54"/>
      <c r="M415" s="57">
        <f>SUM(F415:F417)</f>
        <v>0</v>
      </c>
      <c r="N415" s="57">
        <f>SUM(I415:I417)+1</f>
        <v>1</v>
      </c>
      <c r="O415" s="59" t="str">
        <f>if ( isblank (E415), E415, E415 + F415*'Control PanelOur Matches'!$K$2 + G415*5 + H415*(1/3) + I415*'Control PanelOur Matches'!$M$2 + J415*50)</f>
        <v/>
      </c>
      <c r="P415" s="59" t="str">
        <f t="shared" si="2"/>
        <v/>
      </c>
      <c r="Q415" s="60" t="str">
        <f t="shared" si="3"/>
        <v>no</v>
      </c>
      <c r="R415" s="60" t="str">
        <f t="shared" si="4"/>
        <v/>
      </c>
    </row>
    <row r="416" ht="15.0" customHeight="1">
      <c r="A416" s="49">
        <v>413.0</v>
      </c>
      <c r="B416" s="50">
        <v>69.0</v>
      </c>
      <c r="C416" s="52" t="s">
        <v>43</v>
      </c>
      <c r="D416" s="53">
        <f t="array" ref="D416">index('Match Sched'!$C$3:$H753,match(B416,'Match Sched'!$A$3:$A753,0),if(mod(A416,6)=0,6,mod(A416,6)),0)</f>
        <v>1388</v>
      </c>
      <c r="E416" s="54"/>
      <c r="F416" s="55"/>
      <c r="G416" s="54"/>
      <c r="H416" s="54"/>
      <c r="I416" s="54"/>
      <c r="J416" s="54"/>
      <c r="K416" s="54"/>
      <c r="L416" s="54"/>
      <c r="M416" s="61">
        <f t="shared" ref="M416:N416" si="278">M415</f>
        <v>0</v>
      </c>
      <c r="N416" s="57">
        <f t="shared" si="278"/>
        <v>1</v>
      </c>
      <c r="O416" s="59" t="str">
        <f>if ( isblank (E416), E416, E416 + F416*'Control PanelOur Matches'!$K$2 + G416*5 + H416*(1/3) + I416*'Control PanelOur Matches'!$M$2 + J416*50)</f>
        <v/>
      </c>
      <c r="P416" s="59" t="str">
        <f t="shared" si="2"/>
        <v/>
      </c>
      <c r="Q416" s="60" t="str">
        <f t="shared" si="3"/>
        <v>no</v>
      </c>
      <c r="R416" s="60" t="str">
        <f t="shared" si="4"/>
        <v/>
      </c>
    </row>
    <row r="417" ht="15.0" customHeight="1">
      <c r="A417" s="49">
        <v>414.0</v>
      </c>
      <c r="B417" s="50">
        <v>69.0</v>
      </c>
      <c r="C417" s="52" t="s">
        <v>44</v>
      </c>
      <c r="D417" s="53">
        <f t="array" ref="D417">index('Match Sched'!$C$3:$H753,match(B417,'Match Sched'!$A$3:$A753,0),if(mod(A417,6)=0,6,mod(A417,6)),0)</f>
        <v>4255</v>
      </c>
      <c r="E417" s="54"/>
      <c r="F417" s="55"/>
      <c r="G417" s="54"/>
      <c r="H417" s="54"/>
      <c r="I417" s="54"/>
      <c r="J417" s="54"/>
      <c r="K417" s="54"/>
      <c r="L417" s="54"/>
      <c r="M417" s="62">
        <f t="shared" ref="M417:N417" si="279">M415</f>
        <v>0</v>
      </c>
      <c r="N417" s="57">
        <f t="shared" si="279"/>
        <v>1</v>
      </c>
      <c r="O417" s="59" t="str">
        <f>if ( isblank (E417), E417, E417 + F417*'Control PanelOur Matches'!$K$2 + G417*5 + H417*(1/3) + I417*'Control PanelOur Matches'!$M$2 + J417*50)</f>
        <v/>
      </c>
      <c r="P417" s="59" t="str">
        <f t="shared" si="2"/>
        <v/>
      </c>
      <c r="Q417" s="60" t="str">
        <f t="shared" si="3"/>
        <v>no</v>
      </c>
      <c r="R417" s="60" t="str">
        <f t="shared" si="4"/>
        <v/>
      </c>
    </row>
    <row r="418" ht="15.0" customHeight="1">
      <c r="A418" s="65">
        <v>415.0</v>
      </c>
      <c r="B418" s="66">
        <v>70.0</v>
      </c>
      <c r="C418" s="52" t="s">
        <v>39</v>
      </c>
      <c r="D418" s="53">
        <f t="array" ref="D418">index('Match Sched'!$C$3:$H753,match(B418,'Match Sched'!$A$3:$A753,0),if(mod(A418,6)=0,6,mod(A418,6)),0)</f>
        <v>6059</v>
      </c>
      <c r="E418" s="54"/>
      <c r="F418" s="55"/>
      <c r="G418" s="67"/>
      <c r="H418" s="67"/>
      <c r="I418" s="67"/>
      <c r="J418" s="67"/>
      <c r="K418" s="67"/>
      <c r="L418" s="67"/>
      <c r="M418" s="57">
        <f>SUM(F418:F420)</f>
        <v>0</v>
      </c>
      <c r="N418" s="57">
        <f>SUM(I418:I420)+1</f>
        <v>1</v>
      </c>
      <c r="O418" s="59" t="str">
        <f>if ( isblank (E418), E418, E418 + F418*'Control PanelOur Matches'!$K$2 + G418*5 + H418*(1/3) + I418*'Control PanelOur Matches'!$M$2 + J418*50)</f>
        <v/>
      </c>
      <c r="P418" s="59" t="str">
        <f t="shared" si="2"/>
        <v/>
      </c>
      <c r="Q418" s="60" t="str">
        <f t="shared" si="3"/>
        <v>no</v>
      </c>
      <c r="R418" s="60" t="str">
        <f t="shared" si="4"/>
        <v/>
      </c>
    </row>
    <row r="419" ht="15.0" customHeight="1">
      <c r="A419" s="65">
        <v>416.0</v>
      </c>
      <c r="B419" s="66">
        <v>70.0</v>
      </c>
      <c r="C419" s="52" t="s">
        <v>40</v>
      </c>
      <c r="D419" s="53">
        <f t="array" ref="D419">index('Match Sched'!$C$3:$H753,match(B419,'Match Sched'!$A$3:$A753,0),if(mod(A419,6)=0,6,mod(A419,6)),0)</f>
        <v>3495</v>
      </c>
      <c r="E419" s="54"/>
      <c r="F419" s="55"/>
      <c r="G419" s="67"/>
      <c r="H419" s="67"/>
      <c r="I419" s="67"/>
      <c r="J419" s="67"/>
      <c r="K419" s="67"/>
      <c r="L419" s="67"/>
      <c r="M419" s="61">
        <f t="shared" ref="M419:N419" si="280">M418</f>
        <v>0</v>
      </c>
      <c r="N419" s="57">
        <f t="shared" si="280"/>
        <v>1</v>
      </c>
      <c r="O419" s="59" t="str">
        <f>if ( isblank (E419), E419, E419 + F419*'Control PanelOur Matches'!$K$2 + G419*5 + H419*(1/3) + I419*'Control PanelOur Matches'!$M$2 + J419*50)</f>
        <v/>
      </c>
      <c r="P419" s="59" t="str">
        <f t="shared" si="2"/>
        <v/>
      </c>
      <c r="Q419" s="60" t="str">
        <f t="shared" si="3"/>
        <v>no</v>
      </c>
      <c r="R419" s="60" t="str">
        <f t="shared" si="4"/>
        <v/>
      </c>
    </row>
    <row r="420" ht="15.0" customHeight="1">
      <c r="A420" s="65">
        <v>417.0</v>
      </c>
      <c r="B420" s="66">
        <v>70.0</v>
      </c>
      <c r="C420" s="52" t="s">
        <v>41</v>
      </c>
      <c r="D420" s="53">
        <f t="array" ref="D420">index('Match Sched'!$C$3:$H753,match(B420,'Match Sched'!$A$3:$A753,0),if(mod(A420,6)=0,6,mod(A420,6)),0)</f>
        <v>3303</v>
      </c>
      <c r="E420" s="54"/>
      <c r="F420" s="55"/>
      <c r="G420" s="67"/>
      <c r="H420" s="67"/>
      <c r="I420" s="67"/>
      <c r="J420" s="67"/>
      <c r="K420" s="67"/>
      <c r="L420" s="67"/>
      <c r="M420" s="62">
        <f t="shared" ref="M420:N420" si="281">M418</f>
        <v>0</v>
      </c>
      <c r="N420" s="57">
        <f t="shared" si="281"/>
        <v>1</v>
      </c>
      <c r="O420" s="59" t="str">
        <f>if ( isblank (E420), E420, E420 + F420*'Control PanelOur Matches'!$K$2 + G420*5 + H420*(1/3) + I420*'Control PanelOur Matches'!$M$2 + J420*50)</f>
        <v/>
      </c>
      <c r="P420" s="59" t="str">
        <f t="shared" si="2"/>
        <v/>
      </c>
      <c r="Q420" s="60" t="str">
        <f t="shared" si="3"/>
        <v>no</v>
      </c>
      <c r="R420" s="60" t="str">
        <f t="shared" si="4"/>
        <v/>
      </c>
    </row>
    <row r="421" ht="15.0" customHeight="1">
      <c r="A421" s="65">
        <v>418.0</v>
      </c>
      <c r="B421" s="66">
        <v>70.0</v>
      </c>
      <c r="C421" s="52" t="s">
        <v>42</v>
      </c>
      <c r="D421" s="53">
        <f t="array" ref="D421">index('Match Sched'!$C$3:$H753,match(B421,'Match Sched'!$A$3:$A753,0),if(mod(A421,6)=0,6,mod(A421,6)),0)</f>
        <v>1678</v>
      </c>
      <c r="E421" s="54"/>
      <c r="F421" s="55"/>
      <c r="G421" s="67"/>
      <c r="H421" s="67"/>
      <c r="I421" s="67"/>
      <c r="J421" s="67"/>
      <c r="K421" s="67"/>
      <c r="L421" s="67"/>
      <c r="M421" s="57">
        <f>SUM(F421:F423)</f>
        <v>0</v>
      </c>
      <c r="N421" s="57">
        <f>SUM(I421:I423)+1</f>
        <v>1</v>
      </c>
      <c r="O421" s="59" t="str">
        <f>if ( isblank (E421), E421, E421 + F421*'Control PanelOur Matches'!$K$2 + G421*5 + H421*(1/3) + I421*'Control PanelOur Matches'!$M$2 + J421*50)</f>
        <v/>
      </c>
      <c r="P421" s="59" t="str">
        <f t="shared" si="2"/>
        <v/>
      </c>
      <c r="Q421" s="60" t="str">
        <f t="shared" si="3"/>
        <v>no</v>
      </c>
      <c r="R421" s="60" t="str">
        <f t="shared" si="4"/>
        <v/>
      </c>
    </row>
    <row r="422" ht="15.0" customHeight="1">
      <c r="A422" s="65">
        <v>419.0</v>
      </c>
      <c r="B422" s="66">
        <v>70.0</v>
      </c>
      <c r="C422" s="52" t="s">
        <v>43</v>
      </c>
      <c r="D422" s="53">
        <f t="array" ref="D422">index('Match Sched'!$C$3:$H753,match(B422,'Match Sched'!$A$3:$A753,0),if(mod(A422,6)=0,6,mod(A422,6)),0)</f>
        <v>751</v>
      </c>
      <c r="E422" s="54"/>
      <c r="F422" s="55"/>
      <c r="G422" s="67"/>
      <c r="H422" s="67"/>
      <c r="I422" s="67"/>
      <c r="J422" s="67"/>
      <c r="K422" s="67"/>
      <c r="L422" s="67"/>
      <c r="M422" s="61">
        <f t="shared" ref="M422:N422" si="282">M421</f>
        <v>0</v>
      </c>
      <c r="N422" s="57">
        <f t="shared" si="282"/>
        <v>1</v>
      </c>
      <c r="O422" s="59" t="str">
        <f>if ( isblank (E422), E422, E422 + F422*'Control PanelOur Matches'!$K$2 + G422*5 + H422*(1/3) + I422*'Control PanelOur Matches'!$M$2 + J422*50)</f>
        <v/>
      </c>
      <c r="P422" s="59" t="str">
        <f t="shared" si="2"/>
        <v/>
      </c>
      <c r="Q422" s="60" t="str">
        <f t="shared" si="3"/>
        <v>no</v>
      </c>
      <c r="R422" s="60" t="str">
        <f t="shared" si="4"/>
        <v/>
      </c>
    </row>
    <row r="423" ht="15.0" customHeight="1">
      <c r="A423" s="65">
        <v>420.0</v>
      </c>
      <c r="B423" s="66">
        <v>70.0</v>
      </c>
      <c r="C423" s="68" t="s">
        <v>44</v>
      </c>
      <c r="D423" s="53">
        <f t="array" ref="D423">index('Match Sched'!$C$3:$H753,match(B423,'Match Sched'!$A$3:$A753,0),if(mod(A423,6)=0,6,mod(A423,6)),0)</f>
        <v>2367</v>
      </c>
      <c r="E423" s="54"/>
      <c r="F423" s="55"/>
      <c r="G423" s="67"/>
      <c r="H423" s="67"/>
      <c r="I423" s="67"/>
      <c r="J423" s="67"/>
      <c r="K423" s="67"/>
      <c r="L423" s="67"/>
      <c r="M423" s="62">
        <f t="shared" ref="M423:N423" si="283">M421</f>
        <v>0</v>
      </c>
      <c r="N423" s="57">
        <f t="shared" si="283"/>
        <v>1</v>
      </c>
      <c r="O423" s="59" t="str">
        <f>if ( isblank (E423), E423, E423 + F423*'Control PanelOur Matches'!$K$2 + G423*5 + H423*(1/3) + I423*'Control PanelOur Matches'!$M$2 + J423*50)</f>
        <v/>
      </c>
      <c r="P423" s="59" t="str">
        <f t="shared" si="2"/>
        <v/>
      </c>
      <c r="Q423" s="60" t="str">
        <f t="shared" si="3"/>
        <v>no</v>
      </c>
      <c r="R423" s="60" t="str">
        <f t="shared" si="4"/>
        <v/>
      </c>
    </row>
    <row r="424" ht="15.0" customHeight="1">
      <c r="A424" s="49">
        <v>421.0</v>
      </c>
      <c r="B424" s="50">
        <v>71.0</v>
      </c>
      <c r="C424" s="52" t="s">
        <v>39</v>
      </c>
      <c r="D424" s="53">
        <f t="array" ref="D424">index('Match Sched'!$C$3:$H753,match(B424,'Match Sched'!$A$3:$A753,0),if(mod(A424,6)=0,6,mod(A424,6)),0)</f>
        <v>4276</v>
      </c>
      <c r="E424" s="54"/>
      <c r="F424" s="55"/>
      <c r="G424" s="54"/>
      <c r="H424" s="54"/>
      <c r="I424" s="54"/>
      <c r="J424" s="54"/>
      <c r="K424" s="54"/>
      <c r="L424" s="54"/>
      <c r="M424" s="57">
        <f>SUM(F424:F426)</f>
        <v>0</v>
      </c>
      <c r="N424" s="57">
        <f>SUM(I424:I426)+1</f>
        <v>1</v>
      </c>
      <c r="O424" s="59" t="str">
        <f>if ( isblank (E424), E424, E424 + F424*'Control PanelOur Matches'!$K$2 + G424*5 + H424*(1/3) + I424*'Control PanelOur Matches'!$M$2 + J424*50)</f>
        <v/>
      </c>
      <c r="P424" s="59" t="str">
        <f t="shared" si="2"/>
        <v/>
      </c>
      <c r="Q424" s="60" t="str">
        <f t="shared" si="3"/>
        <v>no</v>
      </c>
      <c r="R424" s="60" t="str">
        <f t="shared" si="4"/>
        <v/>
      </c>
    </row>
    <row r="425" ht="15.0" customHeight="1">
      <c r="A425" s="49">
        <v>422.0</v>
      </c>
      <c r="B425" s="50">
        <v>71.0</v>
      </c>
      <c r="C425" s="52" t="s">
        <v>40</v>
      </c>
      <c r="D425" s="53">
        <f t="array" ref="D425">index('Match Sched'!$C$3:$H753,match(B425,'Match Sched'!$A$3:$A753,0),if(mod(A425,6)=0,6,mod(A425,6)),0)</f>
        <v>6305</v>
      </c>
      <c r="E425" s="54"/>
      <c r="F425" s="55"/>
      <c r="G425" s="54"/>
      <c r="H425" s="54"/>
      <c r="I425" s="54"/>
      <c r="J425" s="54"/>
      <c r="K425" s="54"/>
      <c r="L425" s="54"/>
      <c r="M425" s="61">
        <f t="shared" ref="M425:N425" si="284">M424</f>
        <v>0</v>
      </c>
      <c r="N425" s="57">
        <f t="shared" si="284"/>
        <v>1</v>
      </c>
      <c r="O425" s="59" t="str">
        <f>if ( isblank (E425), E425, E425 + F425*'Control PanelOur Matches'!$K$2 + G425*5 + H425*(1/3) + I425*'Control PanelOur Matches'!$M$2 + J425*50)</f>
        <v/>
      </c>
      <c r="P425" s="59" t="str">
        <f t="shared" si="2"/>
        <v/>
      </c>
      <c r="Q425" s="60" t="str">
        <f t="shared" si="3"/>
        <v>no</v>
      </c>
      <c r="R425" s="60" t="str">
        <f t="shared" si="4"/>
        <v/>
      </c>
    </row>
    <row r="426" ht="15.0" customHeight="1">
      <c r="A426" s="49">
        <v>423.0</v>
      </c>
      <c r="B426" s="50">
        <v>71.0</v>
      </c>
      <c r="C426" s="52" t="s">
        <v>41</v>
      </c>
      <c r="D426" s="53">
        <f t="array" ref="D426">index('Match Sched'!$C$3:$H753,match(B426,'Match Sched'!$A$3:$A753,0),if(mod(A426,6)=0,6,mod(A426,6)),0)</f>
        <v>2135</v>
      </c>
      <c r="E426" s="54"/>
      <c r="F426" s="55"/>
      <c r="G426" s="54"/>
      <c r="H426" s="54"/>
      <c r="I426" s="54"/>
      <c r="J426" s="54"/>
      <c r="K426" s="54"/>
      <c r="L426" s="54"/>
      <c r="M426" s="62">
        <f t="shared" ref="M426:N426" si="285">M424</f>
        <v>0</v>
      </c>
      <c r="N426" s="57">
        <f t="shared" si="285"/>
        <v>1</v>
      </c>
      <c r="O426" s="59" t="str">
        <f>if ( isblank (E426), E426, E426 + F426*'Control PanelOur Matches'!$K$2 + G426*5 + H426*(1/3) + I426*'Control PanelOur Matches'!$M$2 + J426*50)</f>
        <v/>
      </c>
      <c r="P426" s="59" t="str">
        <f t="shared" si="2"/>
        <v/>
      </c>
      <c r="Q426" s="60" t="str">
        <f t="shared" si="3"/>
        <v>no</v>
      </c>
      <c r="R426" s="60" t="str">
        <f t="shared" si="4"/>
        <v/>
      </c>
    </row>
    <row r="427" ht="15.0" customHeight="1">
      <c r="A427" s="49">
        <v>424.0</v>
      </c>
      <c r="B427" s="50">
        <v>71.0</v>
      </c>
      <c r="C427" s="52" t="s">
        <v>42</v>
      </c>
      <c r="D427" s="53">
        <f t="array" ref="D427">index('Match Sched'!$C$3:$H753,match(B427,'Match Sched'!$A$3:$A753,0),if(mod(A427,6)=0,6,mod(A427,6)),0)</f>
        <v>972</v>
      </c>
      <c r="E427" s="54"/>
      <c r="F427" s="55"/>
      <c r="G427" s="54"/>
      <c r="H427" s="54"/>
      <c r="I427" s="54"/>
      <c r="J427" s="54"/>
      <c r="K427" s="54"/>
      <c r="L427" s="54"/>
      <c r="M427" s="57">
        <f>SUM(F427:F429)</f>
        <v>0</v>
      </c>
      <c r="N427" s="57">
        <f>SUM(I427:I429)+1</f>
        <v>1</v>
      </c>
      <c r="O427" s="59" t="str">
        <f>if ( isblank (E427), E427, E427 + F427*'Control PanelOur Matches'!$K$2 + G427*5 + H427*(1/3) + I427*'Control PanelOur Matches'!$M$2 + J427*50)</f>
        <v/>
      </c>
      <c r="P427" s="59" t="str">
        <f t="shared" si="2"/>
        <v/>
      </c>
      <c r="Q427" s="60" t="str">
        <f t="shared" si="3"/>
        <v>no</v>
      </c>
      <c r="R427" s="60" t="str">
        <f t="shared" si="4"/>
        <v/>
      </c>
    </row>
    <row r="428" ht="15.0" customHeight="1">
      <c r="A428" s="49">
        <v>425.0</v>
      </c>
      <c r="B428" s="50">
        <v>71.0</v>
      </c>
      <c r="C428" s="52" t="s">
        <v>43</v>
      </c>
      <c r="D428" s="53">
        <f t="array" ref="D428">index('Match Sched'!$C$3:$H753,match(B428,'Match Sched'!$A$3:$A753,0),if(mod(A428,6)=0,6,mod(A428,6)),0)</f>
        <v>2643</v>
      </c>
      <c r="E428" s="54"/>
      <c r="F428" s="55"/>
      <c r="G428" s="54"/>
      <c r="H428" s="54"/>
      <c r="I428" s="54"/>
      <c r="J428" s="54"/>
      <c r="K428" s="54"/>
      <c r="L428" s="54"/>
      <c r="M428" s="61">
        <f t="shared" ref="M428:N428" si="286">M427</f>
        <v>0</v>
      </c>
      <c r="N428" s="57">
        <f t="shared" si="286"/>
        <v>1</v>
      </c>
      <c r="O428" s="59" t="str">
        <f>if ( isblank (E428), E428, E428 + F428*'Control PanelOur Matches'!$K$2 + G428*5 + H428*(1/3) + I428*'Control PanelOur Matches'!$M$2 + J428*50)</f>
        <v/>
      </c>
      <c r="P428" s="59" t="str">
        <f t="shared" si="2"/>
        <v/>
      </c>
      <c r="Q428" s="60" t="str">
        <f t="shared" si="3"/>
        <v>no</v>
      </c>
      <c r="R428" s="60" t="str">
        <f t="shared" si="4"/>
        <v/>
      </c>
    </row>
    <row r="429" ht="15.0" customHeight="1">
      <c r="A429" s="49">
        <v>426.0</v>
      </c>
      <c r="B429" s="50">
        <v>71.0</v>
      </c>
      <c r="C429" s="52" t="s">
        <v>44</v>
      </c>
      <c r="D429" s="53">
        <f t="array" ref="D429">index('Match Sched'!$C$3:$H753,match(B429,'Match Sched'!$A$3:$A753,0),if(mod(A429,6)=0,6,mod(A429,6)),0)</f>
        <v>1671</v>
      </c>
      <c r="E429" s="54"/>
      <c r="F429" s="55"/>
      <c r="G429" s="54"/>
      <c r="H429" s="54"/>
      <c r="I429" s="54"/>
      <c r="J429" s="54"/>
      <c r="K429" s="54"/>
      <c r="L429" s="54"/>
      <c r="M429" s="62">
        <f t="shared" ref="M429:N429" si="287">M427</f>
        <v>0</v>
      </c>
      <c r="N429" s="57">
        <f t="shared" si="287"/>
        <v>1</v>
      </c>
      <c r="O429" s="59" t="str">
        <f>if ( isblank (E429), E429, E429 + F429*'Control PanelOur Matches'!$K$2 + G429*5 + H429*(1/3) + I429*'Control PanelOur Matches'!$M$2 + J429*50)</f>
        <v/>
      </c>
      <c r="P429" s="59" t="str">
        <f t="shared" si="2"/>
        <v/>
      </c>
      <c r="Q429" s="60" t="str">
        <f t="shared" si="3"/>
        <v>no</v>
      </c>
      <c r="R429" s="60" t="str">
        <f t="shared" si="4"/>
        <v/>
      </c>
    </row>
    <row r="430" ht="15.0" customHeight="1">
      <c r="A430" s="65">
        <v>427.0</v>
      </c>
      <c r="B430" s="66">
        <v>72.0</v>
      </c>
      <c r="C430" s="52" t="s">
        <v>39</v>
      </c>
      <c r="D430" s="53" t="str">
        <f t="array" ref="D430">index('Match Sched'!$C$3:$H753,match(B430,'Match Sched'!$A$3:$A753,0),if(mod(A430,6)=0,6,mod(A430,6)),0)</f>
        <v/>
      </c>
      <c r="E430" s="54"/>
      <c r="F430" s="55"/>
      <c r="G430" s="67"/>
      <c r="H430" s="67"/>
      <c r="I430" s="67"/>
      <c r="J430" s="67"/>
      <c r="K430" s="67"/>
      <c r="L430" s="67"/>
      <c r="M430" s="57">
        <f>SUM(F430:F432)</f>
        <v>0</v>
      </c>
      <c r="N430" s="57">
        <f>SUM(I430:I432)+1</f>
        <v>1</v>
      </c>
      <c r="O430" s="59" t="str">
        <f>if ( isblank (E430), E430, E430 + F430*'Control PanelOur Matches'!$K$2 + G430*5 + H430*(1/3) + I430*'Control PanelOur Matches'!$M$2 + J430*50)</f>
        <v/>
      </c>
      <c r="P430" s="59" t="str">
        <f t="shared" si="2"/>
        <v/>
      </c>
      <c r="Q430" s="60" t="str">
        <f t="shared" si="3"/>
        <v>no</v>
      </c>
      <c r="R430" s="60" t="str">
        <f t="shared" si="4"/>
        <v/>
      </c>
    </row>
    <row r="431" ht="15.0" customHeight="1">
      <c r="A431" s="65">
        <v>428.0</v>
      </c>
      <c r="B431" s="66">
        <v>72.0</v>
      </c>
      <c r="C431" s="69" t="s">
        <v>40</v>
      </c>
      <c r="D431" s="53" t="str">
        <f t="array" ref="D431">index('Match Sched'!$C$3:$H753,match(B431,'Match Sched'!$A$3:$A753,0),if(mod(A431,6)=0,6,mod(A431,6)),0)</f>
        <v/>
      </c>
      <c r="E431" s="54"/>
      <c r="F431" s="55"/>
      <c r="G431" s="67"/>
      <c r="H431" s="67"/>
      <c r="I431" s="67"/>
      <c r="J431" s="67"/>
      <c r="K431" s="67"/>
      <c r="L431" s="67"/>
      <c r="M431" s="61">
        <f t="shared" ref="M431:N431" si="288">M430</f>
        <v>0</v>
      </c>
      <c r="N431" s="57">
        <f t="shared" si="288"/>
        <v>1</v>
      </c>
      <c r="O431" s="59" t="str">
        <f>if ( isblank (E431), E431, E431 + F431*'Control PanelOur Matches'!$K$2 + G431*5 + H431*(1/3) + I431*'Control PanelOur Matches'!$M$2 + J431*50)</f>
        <v/>
      </c>
      <c r="P431" s="59" t="str">
        <f t="shared" si="2"/>
        <v/>
      </c>
      <c r="Q431" s="60" t="str">
        <f t="shared" si="3"/>
        <v>no</v>
      </c>
      <c r="R431" s="60" t="str">
        <f t="shared" si="4"/>
        <v/>
      </c>
    </row>
    <row r="432" ht="15.0" customHeight="1">
      <c r="A432" s="65">
        <v>429.0</v>
      </c>
      <c r="B432" s="66">
        <v>72.0</v>
      </c>
      <c r="C432" s="52" t="s">
        <v>41</v>
      </c>
      <c r="D432" s="53" t="str">
        <f t="array" ref="D432">index('Match Sched'!$C$3:$H753,match(B432,'Match Sched'!$A$3:$A753,0),if(mod(A432,6)=0,6,mod(A432,6)),0)</f>
        <v/>
      </c>
      <c r="E432" s="54"/>
      <c r="F432" s="55"/>
      <c r="G432" s="67"/>
      <c r="H432" s="67"/>
      <c r="I432" s="67"/>
      <c r="J432" s="67"/>
      <c r="K432" s="67"/>
      <c r="L432" s="67"/>
      <c r="M432" s="62">
        <f t="shared" ref="M432:N432" si="289">M430</f>
        <v>0</v>
      </c>
      <c r="N432" s="57">
        <f t="shared" si="289"/>
        <v>1</v>
      </c>
      <c r="O432" s="59" t="str">
        <f>if ( isblank (E432), E432, E432 + F432*'Control PanelOur Matches'!$K$2 + G432*5 + H432*(1/3) + I432*'Control PanelOur Matches'!$M$2 + J432*50)</f>
        <v/>
      </c>
      <c r="P432" s="59" t="str">
        <f t="shared" si="2"/>
        <v/>
      </c>
      <c r="Q432" s="60" t="str">
        <f t="shared" si="3"/>
        <v>no</v>
      </c>
      <c r="R432" s="60" t="str">
        <f t="shared" si="4"/>
        <v/>
      </c>
    </row>
    <row r="433" ht="15.0" customHeight="1">
      <c r="A433" s="65">
        <v>430.0</v>
      </c>
      <c r="B433" s="66">
        <v>72.0</v>
      </c>
      <c r="C433" s="52" t="s">
        <v>42</v>
      </c>
      <c r="D433" s="53" t="str">
        <f t="array" ref="D433">index('Match Sched'!$C$3:$H753,match(B433,'Match Sched'!$A$3:$A753,0),if(mod(A433,6)=0,6,mod(A433,6)),0)</f>
        <v/>
      </c>
      <c r="E433" s="54"/>
      <c r="F433" s="55"/>
      <c r="G433" s="67"/>
      <c r="H433" s="67"/>
      <c r="I433" s="67"/>
      <c r="J433" s="67"/>
      <c r="K433" s="67"/>
      <c r="L433" s="67"/>
      <c r="M433" s="57">
        <f>SUM(F433:F435)</f>
        <v>0</v>
      </c>
      <c r="N433" s="57">
        <f>SUM(I433:I435)+1</f>
        <v>1</v>
      </c>
      <c r="O433" s="59" t="str">
        <f>if ( isblank (E433), E433, E433 + F433*'Control PanelOur Matches'!$K$2 + G433*5 + H433*(1/3) + I433*'Control PanelOur Matches'!$M$2 + J433*50)</f>
        <v/>
      </c>
      <c r="P433" s="59" t="str">
        <f t="shared" si="2"/>
        <v/>
      </c>
      <c r="Q433" s="60" t="str">
        <f t="shared" si="3"/>
        <v>no</v>
      </c>
      <c r="R433" s="60" t="str">
        <f t="shared" si="4"/>
        <v/>
      </c>
    </row>
    <row r="434" ht="15.0" customHeight="1">
      <c r="A434" s="65">
        <v>431.0</v>
      </c>
      <c r="B434" s="66">
        <v>72.0</v>
      </c>
      <c r="C434" s="52" t="s">
        <v>43</v>
      </c>
      <c r="D434" s="53" t="str">
        <f t="array" ref="D434">index('Match Sched'!$C$3:$H753,match(B434,'Match Sched'!$A$3:$A753,0),if(mod(A434,6)=0,6,mod(A434,6)),0)</f>
        <v/>
      </c>
      <c r="E434" s="54"/>
      <c r="F434" s="55"/>
      <c r="G434" s="67"/>
      <c r="H434" s="67"/>
      <c r="I434" s="67"/>
      <c r="J434" s="67"/>
      <c r="K434" s="67"/>
      <c r="L434" s="67"/>
      <c r="M434" s="61">
        <f t="shared" ref="M434:N434" si="290">M433</f>
        <v>0</v>
      </c>
      <c r="N434" s="57">
        <f t="shared" si="290"/>
        <v>1</v>
      </c>
      <c r="O434" s="59" t="str">
        <f>if ( isblank (E434), E434, E434 + F434*'Control PanelOur Matches'!$K$2 + G434*5 + H434*(1/3) + I434*'Control PanelOur Matches'!$M$2 + J434*50)</f>
        <v/>
      </c>
      <c r="P434" s="59" t="str">
        <f t="shared" si="2"/>
        <v/>
      </c>
      <c r="Q434" s="60" t="str">
        <f t="shared" si="3"/>
        <v>no</v>
      </c>
      <c r="R434" s="60" t="str">
        <f t="shared" si="4"/>
        <v/>
      </c>
    </row>
    <row r="435" ht="15.0" customHeight="1">
      <c r="A435" s="65">
        <v>432.0</v>
      </c>
      <c r="B435" s="66">
        <v>72.0</v>
      </c>
      <c r="C435" s="68" t="s">
        <v>44</v>
      </c>
      <c r="D435" s="53" t="str">
        <f t="array" ref="D435">index('Match Sched'!$C$3:$H753,match(B435,'Match Sched'!$A$3:$A753,0),if(mod(A435,6)=0,6,mod(A435,6)),0)</f>
        <v/>
      </c>
      <c r="E435" s="54"/>
      <c r="F435" s="55"/>
      <c r="G435" s="67"/>
      <c r="H435" s="67"/>
      <c r="I435" s="67"/>
      <c r="J435" s="67"/>
      <c r="K435" s="67"/>
      <c r="L435" s="67"/>
      <c r="M435" s="62">
        <f t="shared" ref="M435:N435" si="291">M433</f>
        <v>0</v>
      </c>
      <c r="N435" s="57">
        <f t="shared" si="291"/>
        <v>1</v>
      </c>
      <c r="O435" s="59" t="str">
        <f>if ( isblank (E435), E435, E435 + F435*'Control PanelOur Matches'!$K$2 + G435*5 + H435*(1/3) + I435*'Control PanelOur Matches'!$M$2 + J435*50)</f>
        <v/>
      </c>
      <c r="P435" s="59" t="str">
        <f t="shared" si="2"/>
        <v/>
      </c>
      <c r="Q435" s="60" t="str">
        <f t="shared" si="3"/>
        <v>no</v>
      </c>
      <c r="R435" s="60" t="str">
        <f t="shared" si="4"/>
        <v/>
      </c>
    </row>
    <row r="436" ht="15.0" customHeight="1">
      <c r="A436" s="49">
        <v>433.0</v>
      </c>
      <c r="B436" s="50">
        <v>73.0</v>
      </c>
      <c r="C436" s="52" t="s">
        <v>39</v>
      </c>
      <c r="D436" s="53" t="str">
        <f t="array" ref="D436">index('Match Sched'!$C$3:$H753,match(B436,'Match Sched'!$A$3:$A753,0),if(mod(A436,6)=0,6,mod(A436,6)),0)</f>
        <v/>
      </c>
      <c r="E436" s="54"/>
      <c r="F436" s="55"/>
      <c r="G436" s="54"/>
      <c r="H436" s="54"/>
      <c r="I436" s="54"/>
      <c r="J436" s="54"/>
      <c r="K436" s="54"/>
      <c r="L436" s="54"/>
      <c r="M436" s="57">
        <f>SUM(F436:F438)</f>
        <v>0</v>
      </c>
      <c r="N436" s="57">
        <f>SUM(I436:I438)+1</f>
        <v>1</v>
      </c>
      <c r="O436" s="59" t="str">
        <f>if ( isblank (E436), E436, E436 + F436*'Control PanelOur Matches'!$K$2 + G436*5 + H436*(1/3) + I436*'Control PanelOur Matches'!$M$2 + J436*50)</f>
        <v/>
      </c>
      <c r="P436" s="59" t="str">
        <f t="shared" si="2"/>
        <v/>
      </c>
      <c r="Q436" s="60" t="str">
        <f t="shared" si="3"/>
        <v>no</v>
      </c>
      <c r="R436" s="60" t="str">
        <f t="shared" si="4"/>
        <v/>
      </c>
    </row>
    <row r="437" ht="15.0" customHeight="1">
      <c r="A437" s="49">
        <v>434.0</v>
      </c>
      <c r="B437" s="50">
        <v>73.0</v>
      </c>
      <c r="C437" s="52" t="s">
        <v>40</v>
      </c>
      <c r="D437" s="53" t="str">
        <f t="array" ref="D437">index('Match Sched'!$C$3:$H753,match(B437,'Match Sched'!$A$3:$A753,0),if(mod(A437,6)=0,6,mod(A437,6)),0)</f>
        <v/>
      </c>
      <c r="E437" s="54"/>
      <c r="F437" s="55"/>
      <c r="G437" s="54"/>
      <c r="H437" s="54"/>
      <c r="I437" s="54"/>
      <c r="J437" s="54"/>
      <c r="K437" s="54"/>
      <c r="L437" s="54"/>
      <c r="M437" s="61">
        <f t="shared" ref="M437:N437" si="292">M436</f>
        <v>0</v>
      </c>
      <c r="N437" s="57">
        <f t="shared" si="292"/>
        <v>1</v>
      </c>
      <c r="O437" s="59" t="str">
        <f>if ( isblank (E437), E437, E437 + F437*'Control PanelOur Matches'!$K$2 + G437*5 + H437*(1/3) + I437*'Control PanelOur Matches'!$M$2 + J437*50)</f>
        <v/>
      </c>
      <c r="P437" s="59" t="str">
        <f t="shared" si="2"/>
        <v/>
      </c>
      <c r="Q437" s="60" t="str">
        <f t="shared" si="3"/>
        <v>no</v>
      </c>
      <c r="R437" s="60" t="str">
        <f t="shared" si="4"/>
        <v/>
      </c>
    </row>
    <row r="438" ht="15.0" customHeight="1">
      <c r="A438" s="49">
        <v>435.0</v>
      </c>
      <c r="B438" s="50">
        <v>73.0</v>
      </c>
      <c r="C438" s="52" t="s">
        <v>41</v>
      </c>
      <c r="D438" s="53" t="str">
        <f t="array" ref="D438">index('Match Sched'!$C$3:$H753,match(B438,'Match Sched'!$A$3:$A753,0),if(mod(A438,6)=0,6,mod(A438,6)),0)</f>
        <v/>
      </c>
      <c r="E438" s="54"/>
      <c r="F438" s="55"/>
      <c r="G438" s="54"/>
      <c r="H438" s="54"/>
      <c r="I438" s="54"/>
      <c r="J438" s="54"/>
      <c r="K438" s="54"/>
      <c r="L438" s="54"/>
      <c r="M438" s="62">
        <f t="shared" ref="M438:N438" si="293">M436</f>
        <v>0</v>
      </c>
      <c r="N438" s="57">
        <f t="shared" si="293"/>
        <v>1</v>
      </c>
      <c r="O438" s="59" t="str">
        <f>if ( isblank (E438), E438, E438 + F438*'Control PanelOur Matches'!$K$2 + G438*5 + H438*(1/3) + I438*'Control PanelOur Matches'!$M$2 + J438*50)</f>
        <v/>
      </c>
      <c r="P438" s="59" t="str">
        <f t="shared" si="2"/>
        <v/>
      </c>
      <c r="Q438" s="60" t="str">
        <f t="shared" si="3"/>
        <v>no</v>
      </c>
      <c r="R438" s="60" t="str">
        <f t="shared" si="4"/>
        <v/>
      </c>
    </row>
    <row r="439" ht="15.0" customHeight="1">
      <c r="A439" s="49">
        <v>436.0</v>
      </c>
      <c r="B439" s="50">
        <v>73.0</v>
      </c>
      <c r="C439" s="52" t="s">
        <v>42</v>
      </c>
      <c r="D439" s="53" t="str">
        <f t="array" ref="D439">index('Match Sched'!$C$3:$H753,match(B439,'Match Sched'!$A$3:$A753,0),if(mod(A439,6)=0,6,mod(A439,6)),0)</f>
        <v/>
      </c>
      <c r="E439" s="54"/>
      <c r="F439" s="55"/>
      <c r="G439" s="54"/>
      <c r="H439" s="54"/>
      <c r="I439" s="54"/>
      <c r="J439" s="54"/>
      <c r="K439" s="54"/>
      <c r="L439" s="54"/>
      <c r="M439" s="57">
        <f>SUM(F439:F441)</f>
        <v>0</v>
      </c>
      <c r="N439" s="57">
        <f>SUM(I439:I441)+1</f>
        <v>1</v>
      </c>
      <c r="O439" s="59" t="str">
        <f>if ( isblank (E439), E439, E439 + F439*'Control PanelOur Matches'!$K$2 + G439*5 + H439*(1/3) + I439*'Control PanelOur Matches'!$M$2 + J439*50)</f>
        <v/>
      </c>
      <c r="P439" s="59" t="str">
        <f t="shared" si="2"/>
        <v/>
      </c>
      <c r="Q439" s="60" t="str">
        <f t="shared" si="3"/>
        <v>no</v>
      </c>
      <c r="R439" s="60" t="str">
        <f t="shared" si="4"/>
        <v/>
      </c>
    </row>
    <row r="440" ht="15.0" customHeight="1">
      <c r="A440" s="49">
        <v>437.0</v>
      </c>
      <c r="B440" s="50">
        <v>73.0</v>
      </c>
      <c r="C440" s="52" t="s">
        <v>43</v>
      </c>
      <c r="D440" s="53" t="str">
        <f t="array" ref="D440">index('Match Sched'!$C$3:$H753,match(B440,'Match Sched'!$A$3:$A753,0),if(mod(A440,6)=0,6,mod(A440,6)),0)</f>
        <v/>
      </c>
      <c r="E440" s="54"/>
      <c r="F440" s="55"/>
      <c r="G440" s="54"/>
      <c r="H440" s="54"/>
      <c r="I440" s="54"/>
      <c r="J440" s="54"/>
      <c r="K440" s="54"/>
      <c r="L440" s="54"/>
      <c r="M440" s="61">
        <f t="shared" ref="M440:N440" si="294">M439</f>
        <v>0</v>
      </c>
      <c r="N440" s="57">
        <f t="shared" si="294"/>
        <v>1</v>
      </c>
      <c r="O440" s="59" t="str">
        <f>if ( isblank (E440), E440, E440 + F440*'Control PanelOur Matches'!$K$2 + G440*5 + H440*(1/3) + I440*'Control PanelOur Matches'!$M$2 + J440*50)</f>
        <v/>
      </c>
      <c r="P440" s="59" t="str">
        <f t="shared" si="2"/>
        <v/>
      </c>
      <c r="Q440" s="60" t="str">
        <f t="shared" si="3"/>
        <v>no</v>
      </c>
      <c r="R440" s="60" t="str">
        <f t="shared" si="4"/>
        <v/>
      </c>
    </row>
    <row r="441" ht="15.0" customHeight="1">
      <c r="A441" s="49">
        <v>438.0</v>
      </c>
      <c r="B441" s="50">
        <v>73.0</v>
      </c>
      <c r="C441" s="52" t="s">
        <v>44</v>
      </c>
      <c r="D441" s="53" t="str">
        <f t="array" ref="D441">index('Match Sched'!$C$3:$H753,match(B441,'Match Sched'!$A$3:$A753,0),if(mod(A441,6)=0,6,mod(A441,6)),0)</f>
        <v/>
      </c>
      <c r="E441" s="54"/>
      <c r="F441" s="55"/>
      <c r="G441" s="54"/>
      <c r="H441" s="54"/>
      <c r="I441" s="54"/>
      <c r="J441" s="54"/>
      <c r="K441" s="54"/>
      <c r="L441" s="54"/>
      <c r="M441" s="62">
        <f t="shared" ref="M441:N441" si="295">M439</f>
        <v>0</v>
      </c>
      <c r="N441" s="57">
        <f t="shared" si="295"/>
        <v>1</v>
      </c>
      <c r="O441" s="59" t="str">
        <f>if ( isblank (E441), E441, E441 + F441*'Control PanelOur Matches'!$K$2 + G441*5 + H441*(1/3) + I441*'Control PanelOur Matches'!$M$2 + J441*50)</f>
        <v/>
      </c>
      <c r="P441" s="59" t="str">
        <f t="shared" si="2"/>
        <v/>
      </c>
      <c r="Q441" s="60" t="str">
        <f t="shared" si="3"/>
        <v>no</v>
      </c>
      <c r="R441" s="60" t="str">
        <f t="shared" si="4"/>
        <v/>
      </c>
    </row>
    <row r="442" ht="15.0" customHeight="1">
      <c r="A442" s="65">
        <v>439.0</v>
      </c>
      <c r="B442" s="66">
        <v>74.0</v>
      </c>
      <c r="C442" s="52" t="s">
        <v>39</v>
      </c>
      <c r="D442" s="53" t="str">
        <f t="array" ref="D442">index('Match Sched'!$C$3:$H753,match(B442,'Match Sched'!$A$3:$A753,0),if(mod(A442,6)=0,6,mod(A442,6)),0)</f>
        <v/>
      </c>
      <c r="E442" s="54"/>
      <c r="F442" s="55"/>
      <c r="G442" s="67"/>
      <c r="H442" s="67"/>
      <c r="I442" s="67"/>
      <c r="J442" s="67"/>
      <c r="K442" s="67"/>
      <c r="L442" s="67"/>
      <c r="M442" s="57">
        <f>SUM(F442:F444)</f>
        <v>0</v>
      </c>
      <c r="N442" s="57">
        <f>SUM(I442:I444)+1</f>
        <v>1</v>
      </c>
      <c r="O442" s="59" t="str">
        <f>if ( isblank (E442), E442, E442 + F442*'Control PanelOur Matches'!$K$2 + G442*5 + H442*(1/3) + I442*'Control PanelOur Matches'!$M$2 + J442*50)</f>
        <v/>
      </c>
      <c r="P442" s="59" t="str">
        <f t="shared" si="2"/>
        <v/>
      </c>
      <c r="Q442" s="60" t="str">
        <f t="shared" si="3"/>
        <v>no</v>
      </c>
      <c r="R442" s="60" t="str">
        <f t="shared" si="4"/>
        <v/>
      </c>
    </row>
    <row r="443" ht="15.0" customHeight="1">
      <c r="A443" s="65">
        <v>440.0</v>
      </c>
      <c r="B443" s="66">
        <v>74.0</v>
      </c>
      <c r="C443" s="52" t="s">
        <v>40</v>
      </c>
      <c r="D443" s="53" t="str">
        <f t="array" ref="D443">index('Match Sched'!$C$3:$H753,match(B443,'Match Sched'!$A$3:$A753,0),if(mod(A443,6)=0,6,mod(A443,6)),0)</f>
        <v/>
      </c>
      <c r="E443" s="54"/>
      <c r="F443" s="55"/>
      <c r="G443" s="67"/>
      <c r="H443" s="67"/>
      <c r="I443" s="67"/>
      <c r="J443" s="67"/>
      <c r="K443" s="67"/>
      <c r="L443" s="67"/>
      <c r="M443" s="61">
        <f t="shared" ref="M443:N443" si="296">M442</f>
        <v>0</v>
      </c>
      <c r="N443" s="57">
        <f t="shared" si="296"/>
        <v>1</v>
      </c>
      <c r="O443" s="59" t="str">
        <f>if ( isblank (E443), E443, E443 + F443*'Control PanelOur Matches'!$K$2 + G443*5 + H443*(1/3) + I443*'Control PanelOur Matches'!$M$2 + J443*50)</f>
        <v/>
      </c>
      <c r="P443" s="59" t="str">
        <f t="shared" si="2"/>
        <v/>
      </c>
      <c r="Q443" s="60" t="str">
        <f t="shared" si="3"/>
        <v>no</v>
      </c>
      <c r="R443" s="60" t="str">
        <f t="shared" si="4"/>
        <v/>
      </c>
    </row>
    <row r="444" ht="15.0" customHeight="1">
      <c r="A444" s="65">
        <v>441.0</v>
      </c>
      <c r="B444" s="66">
        <v>74.0</v>
      </c>
      <c r="C444" s="52" t="s">
        <v>41</v>
      </c>
      <c r="D444" s="53" t="str">
        <f t="array" ref="D444">index('Match Sched'!$C$3:$H753,match(B444,'Match Sched'!$A$3:$A753,0),if(mod(A444,6)=0,6,mod(A444,6)),0)</f>
        <v/>
      </c>
      <c r="E444" s="54"/>
      <c r="F444" s="55"/>
      <c r="G444" s="67"/>
      <c r="H444" s="67"/>
      <c r="I444" s="67"/>
      <c r="J444" s="67"/>
      <c r="K444" s="67"/>
      <c r="L444" s="67"/>
      <c r="M444" s="62">
        <f t="shared" ref="M444:N444" si="297">M442</f>
        <v>0</v>
      </c>
      <c r="N444" s="57">
        <f t="shared" si="297"/>
        <v>1</v>
      </c>
      <c r="O444" s="59" t="str">
        <f>if ( isblank (E444), E444, E444 + F444*'Control PanelOur Matches'!$K$2 + G444*5 + H444*(1/3) + I444*'Control PanelOur Matches'!$M$2 + J444*50)</f>
        <v/>
      </c>
      <c r="P444" s="59" t="str">
        <f t="shared" si="2"/>
        <v/>
      </c>
      <c r="Q444" s="60" t="str">
        <f t="shared" si="3"/>
        <v>no</v>
      </c>
      <c r="R444" s="60" t="str">
        <f t="shared" si="4"/>
        <v/>
      </c>
    </row>
    <row r="445" ht="15.0" customHeight="1">
      <c r="A445" s="65">
        <v>442.0</v>
      </c>
      <c r="B445" s="66">
        <v>74.0</v>
      </c>
      <c r="C445" s="52" t="s">
        <v>42</v>
      </c>
      <c r="D445" s="53" t="str">
        <f t="array" ref="D445">index('Match Sched'!$C$3:$H753,match(B445,'Match Sched'!$A$3:$A753,0),if(mod(A445,6)=0,6,mod(A445,6)),0)</f>
        <v/>
      </c>
      <c r="E445" s="54"/>
      <c r="F445" s="55"/>
      <c r="G445" s="67"/>
      <c r="H445" s="67"/>
      <c r="I445" s="67"/>
      <c r="J445" s="67"/>
      <c r="K445" s="67"/>
      <c r="L445" s="67"/>
      <c r="M445" s="57">
        <f>SUM(F445:F447)</f>
        <v>0</v>
      </c>
      <c r="N445" s="57">
        <f>SUM(I445:I447)+1</f>
        <v>1</v>
      </c>
      <c r="O445" s="59" t="str">
        <f>if ( isblank (E445), E445, E445 + F445*'Control PanelOur Matches'!$K$2 + G445*5 + H445*(1/3) + I445*'Control PanelOur Matches'!$M$2 + J445*50)</f>
        <v/>
      </c>
      <c r="P445" s="59" t="str">
        <f t="shared" si="2"/>
        <v/>
      </c>
      <c r="Q445" s="60" t="str">
        <f t="shared" si="3"/>
        <v>no</v>
      </c>
      <c r="R445" s="60" t="str">
        <f t="shared" si="4"/>
        <v/>
      </c>
    </row>
    <row r="446" ht="15.0" customHeight="1">
      <c r="A446" s="65">
        <v>443.0</v>
      </c>
      <c r="B446" s="66">
        <v>74.0</v>
      </c>
      <c r="C446" s="52" t="s">
        <v>43</v>
      </c>
      <c r="D446" s="53" t="str">
        <f t="array" ref="D446">index('Match Sched'!$C$3:$H753,match(B446,'Match Sched'!$A$3:$A753,0),if(mod(A446,6)=0,6,mod(A446,6)),0)</f>
        <v/>
      </c>
      <c r="E446" s="54"/>
      <c r="F446" s="55"/>
      <c r="G446" s="67"/>
      <c r="H446" s="67"/>
      <c r="I446" s="67"/>
      <c r="J446" s="67"/>
      <c r="K446" s="67"/>
      <c r="L446" s="67"/>
      <c r="M446" s="61">
        <f t="shared" ref="M446:N446" si="298">M445</f>
        <v>0</v>
      </c>
      <c r="N446" s="57">
        <f t="shared" si="298"/>
        <v>1</v>
      </c>
      <c r="O446" s="59" t="str">
        <f>if ( isblank (E446), E446, E446 + F446*'Control PanelOur Matches'!$K$2 + G446*5 + H446*(1/3) + I446*'Control PanelOur Matches'!$M$2 + J446*50)</f>
        <v/>
      </c>
      <c r="P446" s="59" t="str">
        <f t="shared" si="2"/>
        <v/>
      </c>
      <c r="Q446" s="60" t="str">
        <f t="shared" si="3"/>
        <v>no</v>
      </c>
      <c r="R446" s="60" t="str">
        <f t="shared" si="4"/>
        <v/>
      </c>
    </row>
    <row r="447" ht="15.0" customHeight="1">
      <c r="A447" s="65">
        <v>444.0</v>
      </c>
      <c r="B447" s="66">
        <v>74.0</v>
      </c>
      <c r="C447" s="68" t="s">
        <v>44</v>
      </c>
      <c r="D447" s="53" t="str">
        <f t="array" ref="D447">index('Match Sched'!$C$3:$H753,match(B447,'Match Sched'!$A$3:$A753,0),if(mod(A447,6)=0,6,mod(A447,6)),0)</f>
        <v/>
      </c>
      <c r="E447" s="54"/>
      <c r="F447" s="55"/>
      <c r="G447" s="67"/>
      <c r="H447" s="67"/>
      <c r="I447" s="67"/>
      <c r="J447" s="67"/>
      <c r="K447" s="67"/>
      <c r="L447" s="67"/>
      <c r="M447" s="62">
        <f t="shared" ref="M447:N447" si="299">M445</f>
        <v>0</v>
      </c>
      <c r="N447" s="57">
        <f t="shared" si="299"/>
        <v>1</v>
      </c>
      <c r="O447" s="59" t="str">
        <f>if ( isblank (E447), E447, E447 + F447*'Control PanelOur Matches'!$K$2 + G447*5 + H447*(1/3) + I447*'Control PanelOur Matches'!$M$2 + J447*50)</f>
        <v/>
      </c>
      <c r="P447" s="59" t="str">
        <f t="shared" si="2"/>
        <v/>
      </c>
      <c r="Q447" s="60" t="str">
        <f t="shared" si="3"/>
        <v>no</v>
      </c>
      <c r="R447" s="60" t="str">
        <f t="shared" si="4"/>
        <v/>
      </c>
    </row>
    <row r="448" ht="15.0" customHeight="1">
      <c r="A448" s="49">
        <v>445.0</v>
      </c>
      <c r="B448" s="50">
        <v>75.0</v>
      </c>
      <c r="C448" s="52" t="s">
        <v>39</v>
      </c>
      <c r="D448" s="53" t="str">
        <f t="array" ref="D448">index('Match Sched'!$C$3:$H753,match(B448,'Match Sched'!$A$3:$A753,0),if(mod(A448,6)=0,6,mod(A448,6)),0)</f>
        <v/>
      </c>
      <c r="E448" s="54"/>
      <c r="F448" s="55"/>
      <c r="G448" s="54"/>
      <c r="H448" s="54"/>
      <c r="I448" s="54"/>
      <c r="J448" s="54"/>
      <c r="K448" s="54"/>
      <c r="L448" s="54"/>
      <c r="M448" s="57">
        <f>SUM(F448:F450)</f>
        <v>0</v>
      </c>
      <c r="N448" s="57">
        <f>SUM(I448:I450)+1</f>
        <v>1</v>
      </c>
      <c r="O448" s="59" t="str">
        <f>if ( isblank (E448), E448, E448 + F448*'Control PanelOur Matches'!$K$2 + G448*5 + H448*(1/3) + I448*'Control PanelOur Matches'!$M$2 + J448*50)</f>
        <v/>
      </c>
      <c r="P448" s="59" t="str">
        <f t="shared" si="2"/>
        <v/>
      </c>
      <c r="Q448" s="60" t="str">
        <f t="shared" si="3"/>
        <v>no</v>
      </c>
      <c r="R448" s="60" t="str">
        <f t="shared" si="4"/>
        <v/>
      </c>
    </row>
    <row r="449" ht="15.0" customHeight="1">
      <c r="A449" s="49">
        <v>446.0</v>
      </c>
      <c r="B449" s="50">
        <v>75.0</v>
      </c>
      <c r="C449" s="52" t="s">
        <v>40</v>
      </c>
      <c r="D449" s="53" t="str">
        <f t="array" ref="D449">index('Match Sched'!$C$3:$H753,match(B449,'Match Sched'!$A$3:$A753,0),if(mod(A449,6)=0,6,mod(A449,6)),0)</f>
        <v/>
      </c>
      <c r="E449" s="54"/>
      <c r="F449" s="55"/>
      <c r="G449" s="54"/>
      <c r="H449" s="54"/>
      <c r="I449" s="54"/>
      <c r="J449" s="54"/>
      <c r="K449" s="54"/>
      <c r="L449" s="54"/>
      <c r="M449" s="61">
        <f t="shared" ref="M449:N449" si="300">M448</f>
        <v>0</v>
      </c>
      <c r="N449" s="57">
        <f t="shared" si="300"/>
        <v>1</v>
      </c>
      <c r="O449" s="59" t="str">
        <f>if ( isblank (E449), E449, E449 + F449*'Control PanelOur Matches'!$K$2 + G449*5 + H449*(1/3) + I449*'Control PanelOur Matches'!$M$2 + J449*50)</f>
        <v/>
      </c>
      <c r="P449" s="59" t="str">
        <f t="shared" si="2"/>
        <v/>
      </c>
      <c r="Q449" s="60" t="str">
        <f t="shared" si="3"/>
        <v>no</v>
      </c>
      <c r="R449" s="60" t="str">
        <f t="shared" si="4"/>
        <v/>
      </c>
    </row>
    <row r="450" ht="15.0" customHeight="1">
      <c r="A450" s="49">
        <v>447.0</v>
      </c>
      <c r="B450" s="50">
        <v>75.0</v>
      </c>
      <c r="C450" s="52" t="s">
        <v>41</v>
      </c>
      <c r="D450" s="53" t="str">
        <f t="array" ref="D450">index('Match Sched'!$C$3:$H753,match(B450,'Match Sched'!$A$3:$A753,0),if(mod(A450,6)=0,6,mod(A450,6)),0)</f>
        <v/>
      </c>
      <c r="E450" s="54"/>
      <c r="F450" s="55"/>
      <c r="G450" s="54"/>
      <c r="H450" s="54"/>
      <c r="I450" s="54"/>
      <c r="J450" s="54"/>
      <c r="K450" s="54"/>
      <c r="L450" s="54"/>
      <c r="M450" s="62">
        <f t="shared" ref="M450:N450" si="301">M448</f>
        <v>0</v>
      </c>
      <c r="N450" s="57">
        <f t="shared" si="301"/>
        <v>1</v>
      </c>
      <c r="O450" s="59" t="str">
        <f>if ( isblank (E450), E450, E450 + F450*'Control PanelOur Matches'!$K$2 + G450*5 + H450*(1/3) + I450*'Control PanelOur Matches'!$M$2 + J450*50)</f>
        <v/>
      </c>
      <c r="P450" s="59" t="str">
        <f t="shared" si="2"/>
        <v/>
      </c>
      <c r="Q450" s="60" t="str">
        <f t="shared" si="3"/>
        <v>no</v>
      </c>
      <c r="R450" s="60" t="str">
        <f t="shared" si="4"/>
        <v/>
      </c>
    </row>
    <row r="451" ht="15.0" customHeight="1">
      <c r="A451" s="49">
        <v>448.0</v>
      </c>
      <c r="B451" s="50">
        <v>75.0</v>
      </c>
      <c r="C451" s="52" t="s">
        <v>42</v>
      </c>
      <c r="D451" s="53" t="str">
        <f t="array" ref="D451">index('Match Sched'!$C$3:$H753,match(B451,'Match Sched'!$A$3:$A753,0),if(mod(A451,6)=0,6,mod(A451,6)),0)</f>
        <v/>
      </c>
      <c r="E451" s="54"/>
      <c r="F451" s="55"/>
      <c r="G451" s="54"/>
      <c r="H451" s="54"/>
      <c r="I451" s="54"/>
      <c r="J451" s="54"/>
      <c r="K451" s="54"/>
      <c r="L451" s="54"/>
      <c r="M451" s="57">
        <f>SUM(F451:F453)</f>
        <v>0</v>
      </c>
      <c r="N451" s="57">
        <f>SUM(I451:I453)+1</f>
        <v>1</v>
      </c>
      <c r="O451" s="59" t="str">
        <f>if ( isblank (E451), E451, E451 + F451*'Control PanelOur Matches'!$K$2 + G451*5 + H451*(1/3) + I451*'Control PanelOur Matches'!$M$2 + J451*50)</f>
        <v/>
      </c>
      <c r="P451" s="59" t="str">
        <f t="shared" si="2"/>
        <v/>
      </c>
      <c r="Q451" s="60" t="str">
        <f t="shared" si="3"/>
        <v>no</v>
      </c>
      <c r="R451" s="60" t="str">
        <f t="shared" si="4"/>
        <v/>
      </c>
    </row>
    <row r="452" ht="15.0" customHeight="1">
      <c r="A452" s="49">
        <v>449.0</v>
      </c>
      <c r="B452" s="50">
        <v>75.0</v>
      </c>
      <c r="C452" s="52" t="s">
        <v>43</v>
      </c>
      <c r="D452" s="53" t="str">
        <f t="array" ref="D452">index('Match Sched'!$C$3:$H753,match(B452,'Match Sched'!$A$3:$A753,0),if(mod(A452,6)=0,6,mod(A452,6)),0)</f>
        <v/>
      </c>
      <c r="E452" s="54"/>
      <c r="F452" s="55"/>
      <c r="G452" s="54"/>
      <c r="H452" s="54"/>
      <c r="I452" s="54"/>
      <c r="J452" s="54"/>
      <c r="K452" s="54"/>
      <c r="L452" s="54"/>
      <c r="M452" s="61">
        <f t="shared" ref="M452:N452" si="302">M451</f>
        <v>0</v>
      </c>
      <c r="N452" s="57">
        <f t="shared" si="302"/>
        <v>1</v>
      </c>
      <c r="O452" s="59" t="str">
        <f>if ( isblank (E452), E452, E452 + F452*'Control PanelOur Matches'!$K$2 + G452*5 + H452*(1/3) + I452*'Control PanelOur Matches'!$M$2 + J452*50)</f>
        <v/>
      </c>
      <c r="P452" s="59" t="str">
        <f t="shared" si="2"/>
        <v/>
      </c>
      <c r="Q452" s="60" t="str">
        <f t="shared" si="3"/>
        <v>no</v>
      </c>
      <c r="R452" s="60" t="str">
        <f t="shared" si="4"/>
        <v/>
      </c>
    </row>
    <row r="453" ht="15.0" customHeight="1">
      <c r="A453" s="49">
        <v>450.0</v>
      </c>
      <c r="B453" s="50">
        <v>75.0</v>
      </c>
      <c r="C453" s="52" t="s">
        <v>44</v>
      </c>
      <c r="D453" s="53" t="str">
        <f t="array" ref="D453">index('Match Sched'!$C$3:$H753,match(B453,'Match Sched'!$A$3:$A753,0),if(mod(A453,6)=0,6,mod(A453,6)),0)</f>
        <v/>
      </c>
      <c r="E453" s="54"/>
      <c r="F453" s="55"/>
      <c r="G453" s="54"/>
      <c r="H453" s="54"/>
      <c r="I453" s="54"/>
      <c r="J453" s="54"/>
      <c r="K453" s="54"/>
      <c r="L453" s="54"/>
      <c r="M453" s="62">
        <f t="shared" ref="M453:N453" si="303">M451</f>
        <v>0</v>
      </c>
      <c r="N453" s="57">
        <f t="shared" si="303"/>
        <v>1</v>
      </c>
      <c r="O453" s="59" t="str">
        <f>if ( isblank (E453), E453, E453 + F453*'Control PanelOur Matches'!$K$2 + G453*5 + H453*(1/3) + I453*'Control PanelOur Matches'!$M$2 + J453*50)</f>
        <v/>
      </c>
      <c r="P453" s="59" t="str">
        <f t="shared" si="2"/>
        <v/>
      </c>
      <c r="Q453" s="60" t="str">
        <f t="shared" si="3"/>
        <v>no</v>
      </c>
      <c r="R453" s="60" t="str">
        <f t="shared" si="4"/>
        <v/>
      </c>
    </row>
    <row r="454" ht="15.0" customHeight="1">
      <c r="A454" s="65">
        <v>451.0</v>
      </c>
      <c r="B454" s="66">
        <v>76.0</v>
      </c>
      <c r="C454" s="52" t="s">
        <v>39</v>
      </c>
      <c r="D454" s="53" t="str">
        <f t="array" ref="D454">index('Match Sched'!$C$3:$H753,match(B454,'Match Sched'!$A$3:$A753,0),if(mod(A454,6)=0,6,mod(A454,6)),0)</f>
        <v/>
      </c>
      <c r="E454" s="54"/>
      <c r="F454" s="55"/>
      <c r="G454" s="67"/>
      <c r="H454" s="67"/>
      <c r="I454" s="67"/>
      <c r="J454" s="67"/>
      <c r="K454" s="67"/>
      <c r="L454" s="67"/>
      <c r="M454" s="57">
        <f>SUM(F454:F456)</f>
        <v>0</v>
      </c>
      <c r="N454" s="57">
        <f>SUM(I454:I456)+1</f>
        <v>1</v>
      </c>
      <c r="O454" s="59" t="str">
        <f>if ( isblank (E454), E454, E454 + F454*'Control PanelOur Matches'!$K$2 + G454*5 + H454*(1/3) + I454*'Control PanelOur Matches'!$M$2 + J454*50)</f>
        <v/>
      </c>
      <c r="P454" s="59" t="str">
        <f t="shared" si="2"/>
        <v/>
      </c>
      <c r="Q454" s="60" t="str">
        <f t="shared" si="3"/>
        <v>no</v>
      </c>
      <c r="R454" s="60" t="str">
        <f t="shared" si="4"/>
        <v/>
      </c>
    </row>
    <row r="455" ht="15.0" customHeight="1">
      <c r="A455" s="65">
        <v>452.0</v>
      </c>
      <c r="B455" s="66">
        <v>76.0</v>
      </c>
      <c r="C455" s="69" t="s">
        <v>40</v>
      </c>
      <c r="D455" s="53" t="str">
        <f t="array" ref="D455">index('Match Sched'!$C$3:$H753,match(B455,'Match Sched'!$A$3:$A753,0),if(mod(A455,6)=0,6,mod(A455,6)),0)</f>
        <v/>
      </c>
      <c r="E455" s="54"/>
      <c r="F455" s="55"/>
      <c r="G455" s="67"/>
      <c r="H455" s="67"/>
      <c r="I455" s="67"/>
      <c r="J455" s="67"/>
      <c r="K455" s="67"/>
      <c r="L455" s="67"/>
      <c r="M455" s="61">
        <f t="shared" ref="M455:N455" si="304">M454</f>
        <v>0</v>
      </c>
      <c r="N455" s="57">
        <f t="shared" si="304"/>
        <v>1</v>
      </c>
      <c r="O455" s="59" t="str">
        <f>if ( isblank (E455), E455, E455 + F455*'Control PanelOur Matches'!$K$2 + G455*5 + H455*(1/3) + I455*'Control PanelOur Matches'!$M$2 + J455*50)</f>
        <v/>
      </c>
      <c r="P455" s="59" t="str">
        <f t="shared" si="2"/>
        <v/>
      </c>
      <c r="Q455" s="60" t="str">
        <f t="shared" si="3"/>
        <v>no</v>
      </c>
      <c r="R455" s="60" t="str">
        <f t="shared" si="4"/>
        <v/>
      </c>
    </row>
    <row r="456" ht="15.0" customHeight="1">
      <c r="A456" s="65">
        <v>453.0</v>
      </c>
      <c r="B456" s="66">
        <v>76.0</v>
      </c>
      <c r="C456" s="52" t="s">
        <v>41</v>
      </c>
      <c r="D456" s="53" t="str">
        <f t="array" ref="D456">index('Match Sched'!$C$3:$H753,match(B456,'Match Sched'!$A$3:$A753,0),if(mod(A456,6)=0,6,mod(A456,6)),0)</f>
        <v/>
      </c>
      <c r="E456" s="54"/>
      <c r="F456" s="55"/>
      <c r="G456" s="67"/>
      <c r="H456" s="67"/>
      <c r="I456" s="67"/>
      <c r="J456" s="67"/>
      <c r="K456" s="67"/>
      <c r="L456" s="67"/>
      <c r="M456" s="62">
        <f t="shared" ref="M456:N456" si="305">M454</f>
        <v>0</v>
      </c>
      <c r="N456" s="57">
        <f t="shared" si="305"/>
        <v>1</v>
      </c>
      <c r="O456" s="59" t="str">
        <f>if ( isblank (E456), E456, E456 + F456*'Control PanelOur Matches'!$K$2 + G456*5 + H456*(1/3) + I456*'Control PanelOur Matches'!$M$2 + J456*50)</f>
        <v/>
      </c>
      <c r="P456" s="59" t="str">
        <f t="shared" si="2"/>
        <v/>
      </c>
      <c r="Q456" s="60" t="str">
        <f t="shared" si="3"/>
        <v>no</v>
      </c>
      <c r="R456" s="60" t="str">
        <f t="shared" si="4"/>
        <v/>
      </c>
    </row>
    <row r="457" ht="15.0" customHeight="1">
      <c r="A457" s="65">
        <v>454.0</v>
      </c>
      <c r="B457" s="66">
        <v>76.0</v>
      </c>
      <c r="C457" s="52" t="s">
        <v>42</v>
      </c>
      <c r="D457" s="53" t="str">
        <f t="array" ref="D457">index('Match Sched'!$C$3:$H753,match(B457,'Match Sched'!$A$3:$A753,0),if(mod(A457,6)=0,6,mod(A457,6)),0)</f>
        <v/>
      </c>
      <c r="E457" s="54"/>
      <c r="F457" s="55"/>
      <c r="G457" s="67"/>
      <c r="H457" s="67"/>
      <c r="I457" s="67"/>
      <c r="J457" s="67"/>
      <c r="K457" s="67"/>
      <c r="L457" s="67"/>
      <c r="M457" s="57">
        <f>SUM(F457:F459)</f>
        <v>0</v>
      </c>
      <c r="N457" s="57">
        <f>SUM(I457:I459)+1</f>
        <v>1</v>
      </c>
      <c r="O457" s="59" t="str">
        <f>if ( isblank (E457), E457, E457 + F457*'Control PanelOur Matches'!$K$2 + G457*5 + H457*(1/3) + I457*'Control PanelOur Matches'!$M$2 + J457*50)</f>
        <v/>
      </c>
      <c r="P457" s="59" t="str">
        <f t="shared" si="2"/>
        <v/>
      </c>
      <c r="Q457" s="60" t="str">
        <f t="shared" si="3"/>
        <v>no</v>
      </c>
      <c r="R457" s="60" t="str">
        <f t="shared" si="4"/>
        <v/>
      </c>
    </row>
    <row r="458" ht="15.0" customHeight="1">
      <c r="A458" s="65">
        <v>455.0</v>
      </c>
      <c r="B458" s="66">
        <v>76.0</v>
      </c>
      <c r="C458" s="52" t="s">
        <v>43</v>
      </c>
      <c r="D458" s="53" t="str">
        <f t="array" ref="D458">index('Match Sched'!$C$3:$H753,match(B458,'Match Sched'!$A$3:$A753,0),if(mod(A458,6)=0,6,mod(A458,6)),0)</f>
        <v/>
      </c>
      <c r="E458" s="54"/>
      <c r="F458" s="55"/>
      <c r="G458" s="67"/>
      <c r="H458" s="67"/>
      <c r="I458" s="67"/>
      <c r="J458" s="67"/>
      <c r="K458" s="67"/>
      <c r="L458" s="67"/>
      <c r="M458" s="61">
        <f t="shared" ref="M458:N458" si="306">M457</f>
        <v>0</v>
      </c>
      <c r="N458" s="57">
        <f t="shared" si="306"/>
        <v>1</v>
      </c>
      <c r="O458" s="59" t="str">
        <f>if ( isblank (E458), E458, E458 + F458*'Control PanelOur Matches'!$K$2 + G458*5 + H458*(1/3) + I458*'Control PanelOur Matches'!$M$2 + J458*50)</f>
        <v/>
      </c>
      <c r="P458" s="59" t="str">
        <f t="shared" si="2"/>
        <v/>
      </c>
      <c r="Q458" s="60" t="str">
        <f t="shared" si="3"/>
        <v>no</v>
      </c>
      <c r="R458" s="60" t="str">
        <f t="shared" si="4"/>
        <v/>
      </c>
    </row>
    <row r="459" ht="15.0" customHeight="1">
      <c r="A459" s="65">
        <v>456.0</v>
      </c>
      <c r="B459" s="66">
        <v>76.0</v>
      </c>
      <c r="C459" s="68" t="s">
        <v>44</v>
      </c>
      <c r="D459" s="53" t="str">
        <f t="array" ref="D459">index('Match Sched'!$C$3:$H753,match(B459,'Match Sched'!$A$3:$A753,0),if(mod(A459,6)=0,6,mod(A459,6)),0)</f>
        <v/>
      </c>
      <c r="E459" s="54"/>
      <c r="F459" s="55"/>
      <c r="G459" s="67"/>
      <c r="H459" s="67"/>
      <c r="I459" s="67"/>
      <c r="J459" s="67"/>
      <c r="K459" s="67"/>
      <c r="L459" s="67"/>
      <c r="M459" s="62">
        <f t="shared" ref="M459:N459" si="307">M457</f>
        <v>0</v>
      </c>
      <c r="N459" s="57">
        <f t="shared" si="307"/>
        <v>1</v>
      </c>
      <c r="O459" s="59" t="str">
        <f>if ( isblank (E459), E459, E459 + F459*'Control PanelOur Matches'!$K$2 + G459*5 + H459*(1/3) + I459*'Control PanelOur Matches'!$M$2 + J459*50)</f>
        <v/>
      </c>
      <c r="P459" s="59" t="str">
        <f t="shared" si="2"/>
        <v/>
      </c>
      <c r="Q459" s="60" t="str">
        <f t="shared" si="3"/>
        <v>no</v>
      </c>
      <c r="R459" s="60" t="str">
        <f t="shared" si="4"/>
        <v/>
      </c>
    </row>
    <row r="460" ht="15.0" customHeight="1">
      <c r="A460" s="49">
        <v>457.0</v>
      </c>
      <c r="B460" s="50">
        <v>77.0</v>
      </c>
      <c r="C460" s="52" t="s">
        <v>39</v>
      </c>
      <c r="D460" s="53" t="str">
        <f t="array" ref="D460">index('Match Sched'!$C$3:$H753,match(B460,'Match Sched'!$A$3:$A753,0),if(mod(A460,6)=0,6,mod(A460,6)),0)</f>
        <v/>
      </c>
      <c r="E460" s="54"/>
      <c r="F460" s="55"/>
      <c r="G460" s="54"/>
      <c r="H460" s="54"/>
      <c r="I460" s="54"/>
      <c r="J460" s="54"/>
      <c r="K460" s="54"/>
      <c r="L460" s="54"/>
      <c r="M460" s="57">
        <f>SUM(F460:F462)</f>
        <v>0</v>
      </c>
      <c r="N460" s="57">
        <f>SUM(I460:I462)+1</f>
        <v>1</v>
      </c>
      <c r="O460" s="59" t="str">
        <f>if ( isblank (E460), E460, E460 + F460*'Control PanelOur Matches'!$K$2 + G460*5 + H460*(1/3) + I460*'Control PanelOur Matches'!$M$2 + J460*50)</f>
        <v/>
      </c>
      <c r="P460" s="59" t="str">
        <f t="shared" si="2"/>
        <v/>
      </c>
      <c r="Q460" s="60" t="str">
        <f t="shared" si="3"/>
        <v>no</v>
      </c>
      <c r="R460" s="60" t="str">
        <f t="shared" si="4"/>
        <v/>
      </c>
    </row>
    <row r="461" ht="15.0" customHeight="1">
      <c r="A461" s="49">
        <v>458.0</v>
      </c>
      <c r="B461" s="50">
        <v>77.0</v>
      </c>
      <c r="C461" s="52" t="s">
        <v>40</v>
      </c>
      <c r="D461" s="53" t="str">
        <f t="array" ref="D461">index('Match Sched'!$C$3:$H753,match(B461,'Match Sched'!$A$3:$A753,0),if(mod(A461,6)=0,6,mod(A461,6)),0)</f>
        <v/>
      </c>
      <c r="E461" s="54"/>
      <c r="F461" s="55"/>
      <c r="G461" s="54"/>
      <c r="H461" s="54"/>
      <c r="I461" s="54"/>
      <c r="J461" s="54"/>
      <c r="K461" s="54"/>
      <c r="L461" s="54"/>
      <c r="M461" s="61">
        <f t="shared" ref="M461:N461" si="308">M460</f>
        <v>0</v>
      </c>
      <c r="N461" s="57">
        <f t="shared" si="308"/>
        <v>1</v>
      </c>
      <c r="O461" s="59" t="str">
        <f>if ( isblank (E461), E461, E461 + F461*'Control PanelOur Matches'!$K$2 + G461*5 + H461*(1/3) + I461*'Control PanelOur Matches'!$M$2 + J461*50)</f>
        <v/>
      </c>
      <c r="P461" s="59" t="str">
        <f t="shared" si="2"/>
        <v/>
      </c>
      <c r="Q461" s="60" t="str">
        <f t="shared" si="3"/>
        <v>no</v>
      </c>
      <c r="R461" s="60" t="str">
        <f t="shared" si="4"/>
        <v/>
      </c>
    </row>
    <row r="462" ht="15.0" customHeight="1">
      <c r="A462" s="49">
        <v>459.0</v>
      </c>
      <c r="B462" s="50">
        <v>77.0</v>
      </c>
      <c r="C462" s="52" t="s">
        <v>41</v>
      </c>
      <c r="D462" s="53" t="str">
        <f t="array" ref="D462">index('Match Sched'!$C$3:$H753,match(B462,'Match Sched'!$A$3:$A753,0),if(mod(A462,6)=0,6,mod(A462,6)),0)</f>
        <v/>
      </c>
      <c r="E462" s="54"/>
      <c r="F462" s="55"/>
      <c r="G462" s="54"/>
      <c r="H462" s="54"/>
      <c r="I462" s="54"/>
      <c r="J462" s="54"/>
      <c r="K462" s="54"/>
      <c r="L462" s="54"/>
      <c r="M462" s="62">
        <f t="shared" ref="M462:N462" si="309">M460</f>
        <v>0</v>
      </c>
      <c r="N462" s="57">
        <f t="shared" si="309"/>
        <v>1</v>
      </c>
      <c r="O462" s="59" t="str">
        <f>if ( isblank (E462), E462, E462 + F462*'Control PanelOur Matches'!$K$2 + G462*5 + H462*(1/3) + I462*'Control PanelOur Matches'!$M$2 + J462*50)</f>
        <v/>
      </c>
      <c r="P462" s="59" t="str">
        <f t="shared" si="2"/>
        <v/>
      </c>
      <c r="Q462" s="60" t="str">
        <f t="shared" si="3"/>
        <v>no</v>
      </c>
      <c r="R462" s="60" t="str">
        <f t="shared" si="4"/>
        <v/>
      </c>
    </row>
    <row r="463" ht="15.0" customHeight="1">
      <c r="A463" s="49">
        <v>460.0</v>
      </c>
      <c r="B463" s="50">
        <v>77.0</v>
      </c>
      <c r="C463" s="52" t="s">
        <v>42</v>
      </c>
      <c r="D463" s="53" t="str">
        <f t="array" ref="D463">index('Match Sched'!$C$3:$H753,match(B463,'Match Sched'!$A$3:$A753,0),if(mod(A463,6)=0,6,mod(A463,6)),0)</f>
        <v/>
      </c>
      <c r="E463" s="54"/>
      <c r="F463" s="55"/>
      <c r="G463" s="54"/>
      <c r="H463" s="54"/>
      <c r="I463" s="54"/>
      <c r="J463" s="54"/>
      <c r="K463" s="54"/>
      <c r="L463" s="54"/>
      <c r="M463" s="57">
        <f>SUM(F463:F465)</f>
        <v>0</v>
      </c>
      <c r="N463" s="57">
        <f>SUM(I463:I465)+1</f>
        <v>1</v>
      </c>
      <c r="O463" s="59" t="str">
        <f>if ( isblank (E463), E463, E463 + F463*'Control PanelOur Matches'!$K$2 + G463*5 + H463*(1/3) + I463*'Control PanelOur Matches'!$M$2 + J463*50)</f>
        <v/>
      </c>
      <c r="P463" s="59" t="str">
        <f t="shared" si="2"/>
        <v/>
      </c>
      <c r="Q463" s="60" t="str">
        <f t="shared" si="3"/>
        <v>no</v>
      </c>
      <c r="R463" s="60" t="str">
        <f t="shared" si="4"/>
        <v/>
      </c>
    </row>
    <row r="464" ht="15.0" customHeight="1">
      <c r="A464" s="49">
        <v>461.0</v>
      </c>
      <c r="B464" s="50">
        <v>77.0</v>
      </c>
      <c r="C464" s="52" t="s">
        <v>43</v>
      </c>
      <c r="D464" s="53" t="str">
        <f t="array" ref="D464">index('Match Sched'!$C$3:$H753,match(B464,'Match Sched'!$A$3:$A753,0),if(mod(A464,6)=0,6,mod(A464,6)),0)</f>
        <v/>
      </c>
      <c r="E464" s="54"/>
      <c r="F464" s="55"/>
      <c r="G464" s="54"/>
      <c r="H464" s="54"/>
      <c r="I464" s="54"/>
      <c r="J464" s="54"/>
      <c r="K464" s="54"/>
      <c r="L464" s="54"/>
      <c r="M464" s="61">
        <f t="shared" ref="M464:N464" si="310">M463</f>
        <v>0</v>
      </c>
      <c r="N464" s="57">
        <f t="shared" si="310"/>
        <v>1</v>
      </c>
      <c r="O464" s="59" t="str">
        <f>if ( isblank (E464), E464, E464 + F464*'Control PanelOur Matches'!$K$2 + G464*5 + H464*(1/3) + I464*'Control PanelOur Matches'!$M$2 + J464*50)</f>
        <v/>
      </c>
      <c r="P464" s="59" t="str">
        <f t="shared" si="2"/>
        <v/>
      </c>
      <c r="Q464" s="60" t="str">
        <f t="shared" si="3"/>
        <v>no</v>
      </c>
      <c r="R464" s="60" t="str">
        <f t="shared" si="4"/>
        <v/>
      </c>
    </row>
    <row r="465" ht="15.0" customHeight="1">
      <c r="A465" s="49">
        <v>462.0</v>
      </c>
      <c r="B465" s="50">
        <v>77.0</v>
      </c>
      <c r="C465" s="52" t="s">
        <v>44</v>
      </c>
      <c r="D465" s="53" t="str">
        <f t="array" ref="D465">index('Match Sched'!$C$3:$H753,match(B465,'Match Sched'!$A$3:$A753,0),if(mod(A465,6)=0,6,mod(A465,6)),0)</f>
        <v/>
      </c>
      <c r="E465" s="54"/>
      <c r="F465" s="55"/>
      <c r="G465" s="54"/>
      <c r="H465" s="54"/>
      <c r="I465" s="54"/>
      <c r="J465" s="54"/>
      <c r="K465" s="54"/>
      <c r="L465" s="54"/>
      <c r="M465" s="62">
        <f t="shared" ref="M465:N465" si="311">M463</f>
        <v>0</v>
      </c>
      <c r="N465" s="57">
        <f t="shared" si="311"/>
        <v>1</v>
      </c>
      <c r="O465" s="59" t="str">
        <f>if ( isblank (E465), E465, E465 + F465*'Control PanelOur Matches'!$K$2 + G465*5 + H465*(1/3) + I465*'Control PanelOur Matches'!$M$2 + J465*50)</f>
        <v/>
      </c>
      <c r="P465" s="59" t="str">
        <f t="shared" si="2"/>
        <v/>
      </c>
      <c r="Q465" s="60" t="str">
        <f t="shared" si="3"/>
        <v>no</v>
      </c>
      <c r="R465" s="60" t="str">
        <f t="shared" si="4"/>
        <v/>
      </c>
    </row>
    <row r="466" ht="15.0" customHeight="1">
      <c r="A466" s="65">
        <v>463.0</v>
      </c>
      <c r="B466" s="66">
        <v>78.0</v>
      </c>
      <c r="C466" s="52" t="s">
        <v>39</v>
      </c>
      <c r="D466" s="53" t="str">
        <f t="array" ref="D466">index('Match Sched'!$C$3:$H753,match(B466,'Match Sched'!$A$3:$A753,0),if(mod(A466,6)=0,6,mod(A466,6)),0)</f>
        <v/>
      </c>
      <c r="E466" s="54"/>
      <c r="F466" s="55"/>
      <c r="G466" s="67"/>
      <c r="H466" s="67"/>
      <c r="I466" s="67"/>
      <c r="J466" s="67"/>
      <c r="K466" s="67"/>
      <c r="L466" s="67"/>
      <c r="M466" s="57">
        <f>SUM(F466:F468)</f>
        <v>0</v>
      </c>
      <c r="N466" s="57">
        <f>SUM(I466:I468)+1</f>
        <v>1</v>
      </c>
      <c r="O466" s="59" t="str">
        <f>if ( isblank (E466), E466, E466 + F466*'Control PanelOur Matches'!$K$2 + G466*5 + H466*(1/3) + I466*'Control PanelOur Matches'!$M$2 + J466*50)</f>
        <v/>
      </c>
      <c r="P466" s="59" t="str">
        <f t="shared" si="2"/>
        <v/>
      </c>
      <c r="Q466" s="60" t="str">
        <f t="shared" si="3"/>
        <v>no</v>
      </c>
      <c r="R466" s="60" t="str">
        <f t="shared" si="4"/>
        <v/>
      </c>
    </row>
    <row r="467" ht="15.0" customHeight="1">
      <c r="A467" s="65">
        <v>464.0</v>
      </c>
      <c r="B467" s="66">
        <v>78.0</v>
      </c>
      <c r="C467" s="52" t="s">
        <v>40</v>
      </c>
      <c r="D467" s="53" t="str">
        <f t="array" ref="D467">index('Match Sched'!$C$3:$H753,match(B467,'Match Sched'!$A$3:$A753,0),if(mod(A467,6)=0,6,mod(A467,6)),0)</f>
        <v/>
      </c>
      <c r="E467" s="54"/>
      <c r="F467" s="55"/>
      <c r="G467" s="67"/>
      <c r="H467" s="67"/>
      <c r="I467" s="67"/>
      <c r="J467" s="67"/>
      <c r="K467" s="67"/>
      <c r="L467" s="67"/>
      <c r="M467" s="61">
        <f t="shared" ref="M467:N467" si="312">M466</f>
        <v>0</v>
      </c>
      <c r="N467" s="57">
        <f t="shared" si="312"/>
        <v>1</v>
      </c>
      <c r="O467" s="59" t="str">
        <f>if ( isblank (E467), E467, E467 + F467*'Control PanelOur Matches'!$K$2 + G467*5 + H467*(1/3) + I467*'Control PanelOur Matches'!$M$2 + J467*50)</f>
        <v/>
      </c>
      <c r="P467" s="59" t="str">
        <f t="shared" si="2"/>
        <v/>
      </c>
      <c r="Q467" s="60" t="str">
        <f t="shared" si="3"/>
        <v>no</v>
      </c>
      <c r="R467" s="60" t="str">
        <f t="shared" si="4"/>
        <v/>
      </c>
    </row>
    <row r="468" ht="15.0" customHeight="1">
      <c r="A468" s="65">
        <v>465.0</v>
      </c>
      <c r="B468" s="66">
        <v>78.0</v>
      </c>
      <c r="C468" s="52" t="s">
        <v>41</v>
      </c>
      <c r="D468" s="53" t="str">
        <f t="array" ref="D468">index('Match Sched'!$C$3:$H753,match(B468,'Match Sched'!$A$3:$A753,0),if(mod(A468,6)=0,6,mod(A468,6)),0)</f>
        <v/>
      </c>
      <c r="E468" s="54"/>
      <c r="F468" s="55"/>
      <c r="G468" s="67"/>
      <c r="H468" s="67"/>
      <c r="I468" s="67"/>
      <c r="J468" s="67"/>
      <c r="K468" s="67"/>
      <c r="L468" s="67"/>
      <c r="M468" s="62">
        <f t="shared" ref="M468:N468" si="313">M466</f>
        <v>0</v>
      </c>
      <c r="N468" s="57">
        <f t="shared" si="313"/>
        <v>1</v>
      </c>
      <c r="O468" s="59" t="str">
        <f>if ( isblank (E468), E468, E468 + F468*'Control PanelOur Matches'!$K$2 + G468*5 + H468*(1/3) + I468*'Control PanelOur Matches'!$M$2 + J468*50)</f>
        <v/>
      </c>
      <c r="P468" s="59" t="str">
        <f t="shared" si="2"/>
        <v/>
      </c>
      <c r="Q468" s="60" t="str">
        <f t="shared" si="3"/>
        <v>no</v>
      </c>
      <c r="R468" s="60" t="str">
        <f t="shared" si="4"/>
        <v/>
      </c>
    </row>
    <row r="469" ht="15.0" customHeight="1">
      <c r="A469" s="65">
        <v>466.0</v>
      </c>
      <c r="B469" s="66">
        <v>78.0</v>
      </c>
      <c r="C469" s="52" t="s">
        <v>42</v>
      </c>
      <c r="D469" s="53" t="str">
        <f t="array" ref="D469">index('Match Sched'!$C$3:$H753,match(B469,'Match Sched'!$A$3:$A753,0),if(mod(A469,6)=0,6,mod(A469,6)),0)</f>
        <v/>
      </c>
      <c r="E469" s="54"/>
      <c r="F469" s="55"/>
      <c r="G469" s="67"/>
      <c r="H469" s="67"/>
      <c r="I469" s="67"/>
      <c r="J469" s="67"/>
      <c r="K469" s="67"/>
      <c r="L469" s="67"/>
      <c r="M469" s="57">
        <f>SUM(F469:F471)</f>
        <v>0</v>
      </c>
      <c r="N469" s="57">
        <f>SUM(I469:I471)+1</f>
        <v>1</v>
      </c>
      <c r="O469" s="59" t="str">
        <f>if ( isblank (E469), E469, E469 + F469*'Control PanelOur Matches'!$K$2 + G469*5 + H469*(1/3) + I469*'Control PanelOur Matches'!$M$2 + J469*50)</f>
        <v/>
      </c>
      <c r="P469" s="59" t="str">
        <f t="shared" si="2"/>
        <v/>
      </c>
      <c r="Q469" s="60" t="str">
        <f t="shared" si="3"/>
        <v>no</v>
      </c>
      <c r="R469" s="60" t="str">
        <f t="shared" si="4"/>
        <v/>
      </c>
    </row>
    <row r="470" ht="15.0" customHeight="1">
      <c r="A470" s="65">
        <v>467.0</v>
      </c>
      <c r="B470" s="66">
        <v>78.0</v>
      </c>
      <c r="C470" s="52" t="s">
        <v>43</v>
      </c>
      <c r="D470" s="53" t="str">
        <f t="array" ref="D470">index('Match Sched'!$C$3:$H753,match(B470,'Match Sched'!$A$3:$A753,0),if(mod(A470,6)=0,6,mod(A470,6)),0)</f>
        <v/>
      </c>
      <c r="E470" s="54"/>
      <c r="F470" s="55"/>
      <c r="G470" s="67"/>
      <c r="H470" s="67"/>
      <c r="I470" s="67"/>
      <c r="J470" s="67"/>
      <c r="K470" s="67"/>
      <c r="L470" s="67"/>
      <c r="M470" s="61">
        <f t="shared" ref="M470:N470" si="314">M469</f>
        <v>0</v>
      </c>
      <c r="N470" s="57">
        <f t="shared" si="314"/>
        <v>1</v>
      </c>
      <c r="O470" s="59" t="str">
        <f>if ( isblank (E470), E470, E470 + F470*'Control PanelOur Matches'!$K$2 + G470*5 + H470*(1/3) + I470*'Control PanelOur Matches'!$M$2 + J470*50)</f>
        <v/>
      </c>
      <c r="P470" s="59" t="str">
        <f t="shared" si="2"/>
        <v/>
      </c>
      <c r="Q470" s="60" t="str">
        <f t="shared" si="3"/>
        <v>no</v>
      </c>
      <c r="R470" s="60" t="str">
        <f t="shared" si="4"/>
        <v/>
      </c>
    </row>
    <row r="471" ht="15.0" customHeight="1">
      <c r="A471" s="65">
        <v>468.0</v>
      </c>
      <c r="B471" s="66">
        <v>78.0</v>
      </c>
      <c r="C471" s="68" t="s">
        <v>44</v>
      </c>
      <c r="D471" s="53" t="str">
        <f t="array" ref="D471">index('Match Sched'!$C$3:$H753,match(B471,'Match Sched'!$A$3:$A753,0),if(mod(A471,6)=0,6,mod(A471,6)),0)</f>
        <v/>
      </c>
      <c r="E471" s="54"/>
      <c r="F471" s="55"/>
      <c r="G471" s="67"/>
      <c r="H471" s="67"/>
      <c r="I471" s="67"/>
      <c r="J471" s="67"/>
      <c r="K471" s="67"/>
      <c r="L471" s="67"/>
      <c r="M471" s="62">
        <f t="shared" ref="M471:N471" si="315">M469</f>
        <v>0</v>
      </c>
      <c r="N471" s="57">
        <f t="shared" si="315"/>
        <v>1</v>
      </c>
      <c r="O471" s="59" t="str">
        <f>if ( isblank (E471), E471, E471 + F471*'Control PanelOur Matches'!$K$2 + G471*5 + H471*(1/3) + I471*'Control PanelOur Matches'!$M$2 + J471*50)</f>
        <v/>
      </c>
      <c r="P471" s="59" t="str">
        <f t="shared" si="2"/>
        <v/>
      </c>
      <c r="Q471" s="60" t="str">
        <f t="shared" si="3"/>
        <v>no</v>
      </c>
      <c r="R471" s="60" t="str">
        <f t="shared" si="4"/>
        <v/>
      </c>
    </row>
    <row r="472" ht="15.0" customHeight="1">
      <c r="A472" s="49">
        <v>469.0</v>
      </c>
      <c r="B472" s="50">
        <v>79.0</v>
      </c>
      <c r="C472" s="52" t="s">
        <v>39</v>
      </c>
      <c r="D472" s="53" t="str">
        <f t="array" ref="D472">index('Match Sched'!$C$3:$H753,match(B472,'Match Sched'!$A$3:$A753,0),if(mod(A472,6)=0,6,mod(A472,6)),0)</f>
        <v/>
      </c>
      <c r="E472" s="54"/>
      <c r="F472" s="55"/>
      <c r="G472" s="54"/>
      <c r="H472" s="54"/>
      <c r="I472" s="54"/>
      <c r="J472" s="54"/>
      <c r="K472" s="54"/>
      <c r="L472" s="54"/>
      <c r="M472" s="57">
        <f>SUM(F472:F474)</f>
        <v>0</v>
      </c>
      <c r="N472" s="57">
        <f>SUM(I472:I474)+1</f>
        <v>1</v>
      </c>
      <c r="O472" s="59" t="str">
        <f>if ( isblank (E472), E472, E472 + F472*'Control PanelOur Matches'!$K$2 + G472*5 + H472*(1/3) + I472*'Control PanelOur Matches'!$M$2 + J472*50)</f>
        <v/>
      </c>
      <c r="P472" s="59" t="str">
        <f t="shared" si="2"/>
        <v/>
      </c>
      <c r="Q472" s="60" t="str">
        <f t="shared" si="3"/>
        <v>no</v>
      </c>
      <c r="R472" s="60" t="str">
        <f t="shared" si="4"/>
        <v/>
      </c>
    </row>
    <row r="473" ht="15.0" customHeight="1">
      <c r="A473" s="49">
        <v>470.0</v>
      </c>
      <c r="B473" s="50">
        <v>79.0</v>
      </c>
      <c r="C473" s="52" t="s">
        <v>40</v>
      </c>
      <c r="D473" s="53" t="str">
        <f t="array" ref="D473">index('Match Sched'!$C$3:$H753,match(B473,'Match Sched'!$A$3:$A753,0),if(mod(A473,6)=0,6,mod(A473,6)),0)</f>
        <v/>
      </c>
      <c r="E473" s="54"/>
      <c r="F473" s="55"/>
      <c r="G473" s="54"/>
      <c r="H473" s="54"/>
      <c r="I473" s="54"/>
      <c r="J473" s="54"/>
      <c r="K473" s="54"/>
      <c r="L473" s="54"/>
      <c r="M473" s="61">
        <f t="shared" ref="M473:N473" si="316">M472</f>
        <v>0</v>
      </c>
      <c r="N473" s="57">
        <f t="shared" si="316"/>
        <v>1</v>
      </c>
      <c r="O473" s="59" t="str">
        <f>if ( isblank (E473), E473, E473 + F473*'Control PanelOur Matches'!$K$2 + G473*5 + H473*(1/3) + I473*'Control PanelOur Matches'!$M$2 + J473*50)</f>
        <v/>
      </c>
      <c r="P473" s="59" t="str">
        <f t="shared" si="2"/>
        <v/>
      </c>
      <c r="Q473" s="60" t="str">
        <f t="shared" si="3"/>
        <v>no</v>
      </c>
      <c r="R473" s="60" t="str">
        <f t="shared" si="4"/>
        <v/>
      </c>
    </row>
    <row r="474" ht="15.0" customHeight="1">
      <c r="A474" s="49">
        <v>471.0</v>
      </c>
      <c r="B474" s="50">
        <v>79.0</v>
      </c>
      <c r="C474" s="52" t="s">
        <v>41</v>
      </c>
      <c r="D474" s="53" t="str">
        <f t="array" ref="D474">index('Match Sched'!$C$3:$H753,match(B474,'Match Sched'!$A$3:$A753,0),if(mod(A474,6)=0,6,mod(A474,6)),0)</f>
        <v/>
      </c>
      <c r="E474" s="54"/>
      <c r="F474" s="55"/>
      <c r="G474" s="54"/>
      <c r="H474" s="54"/>
      <c r="I474" s="54"/>
      <c r="J474" s="54"/>
      <c r="K474" s="54"/>
      <c r="L474" s="54"/>
      <c r="M474" s="62">
        <f t="shared" ref="M474:N474" si="317">M472</f>
        <v>0</v>
      </c>
      <c r="N474" s="57">
        <f t="shared" si="317"/>
        <v>1</v>
      </c>
      <c r="O474" s="59" t="str">
        <f>if ( isblank (E474), E474, E474 + F474*'Control PanelOur Matches'!$K$2 + G474*5 + H474*(1/3) + I474*'Control PanelOur Matches'!$M$2 + J474*50)</f>
        <v/>
      </c>
      <c r="P474" s="59" t="str">
        <f t="shared" si="2"/>
        <v/>
      </c>
      <c r="Q474" s="60" t="str">
        <f t="shared" si="3"/>
        <v>no</v>
      </c>
      <c r="R474" s="60" t="str">
        <f t="shared" si="4"/>
        <v/>
      </c>
    </row>
    <row r="475" ht="15.0" customHeight="1">
      <c r="A475" s="49">
        <v>472.0</v>
      </c>
      <c r="B475" s="50">
        <v>79.0</v>
      </c>
      <c r="C475" s="52" t="s">
        <v>42</v>
      </c>
      <c r="D475" s="53" t="str">
        <f t="array" ref="D475">index('Match Sched'!$C$3:$H753,match(B475,'Match Sched'!$A$3:$A753,0),if(mod(A475,6)=0,6,mod(A475,6)),0)</f>
        <v/>
      </c>
      <c r="E475" s="54"/>
      <c r="F475" s="55"/>
      <c r="G475" s="54"/>
      <c r="H475" s="54"/>
      <c r="I475" s="54"/>
      <c r="J475" s="54"/>
      <c r="K475" s="54"/>
      <c r="L475" s="54"/>
      <c r="M475" s="57">
        <f>SUM(F475:F477)</f>
        <v>0</v>
      </c>
      <c r="N475" s="57">
        <f>SUM(I475:I477)+1</f>
        <v>1</v>
      </c>
      <c r="O475" s="59" t="str">
        <f>if ( isblank (E475), E475, E475 + F475*'Control PanelOur Matches'!$K$2 + G475*5 + H475*(1/3) + I475*'Control PanelOur Matches'!$M$2 + J475*50)</f>
        <v/>
      </c>
      <c r="P475" s="59" t="str">
        <f t="shared" si="2"/>
        <v/>
      </c>
      <c r="Q475" s="60" t="str">
        <f t="shared" si="3"/>
        <v>no</v>
      </c>
      <c r="R475" s="60" t="str">
        <f t="shared" si="4"/>
        <v/>
      </c>
    </row>
    <row r="476" ht="15.0" customHeight="1">
      <c r="A476" s="49">
        <v>473.0</v>
      </c>
      <c r="B476" s="50">
        <v>79.0</v>
      </c>
      <c r="C476" s="52" t="s">
        <v>43</v>
      </c>
      <c r="D476" s="53" t="str">
        <f t="array" ref="D476">index('Match Sched'!$C$3:$H753,match(B476,'Match Sched'!$A$3:$A753,0),if(mod(A476,6)=0,6,mod(A476,6)),0)</f>
        <v/>
      </c>
      <c r="E476" s="54"/>
      <c r="F476" s="55"/>
      <c r="G476" s="54"/>
      <c r="H476" s="54"/>
      <c r="I476" s="54"/>
      <c r="J476" s="54"/>
      <c r="K476" s="54"/>
      <c r="L476" s="54"/>
      <c r="M476" s="61">
        <f t="shared" ref="M476:N476" si="318">M475</f>
        <v>0</v>
      </c>
      <c r="N476" s="57">
        <f t="shared" si="318"/>
        <v>1</v>
      </c>
      <c r="O476" s="59" t="str">
        <f>if ( isblank (E476), E476, E476 + F476*'Control PanelOur Matches'!$K$2 + G476*5 + H476*(1/3) + I476*'Control PanelOur Matches'!$M$2 + J476*50)</f>
        <v/>
      </c>
      <c r="P476" s="59" t="str">
        <f t="shared" si="2"/>
        <v/>
      </c>
      <c r="Q476" s="60" t="str">
        <f t="shared" si="3"/>
        <v>no</v>
      </c>
      <c r="R476" s="60" t="str">
        <f t="shared" si="4"/>
        <v/>
      </c>
    </row>
    <row r="477" ht="15.0" customHeight="1">
      <c r="A477" s="49">
        <v>474.0</v>
      </c>
      <c r="B477" s="50">
        <v>79.0</v>
      </c>
      <c r="C477" s="52" t="s">
        <v>44</v>
      </c>
      <c r="D477" s="53" t="str">
        <f t="array" ref="D477">index('Match Sched'!$C$3:$H753,match(B477,'Match Sched'!$A$3:$A753,0),if(mod(A477,6)=0,6,mod(A477,6)),0)</f>
        <v/>
      </c>
      <c r="E477" s="54"/>
      <c r="F477" s="55"/>
      <c r="G477" s="54"/>
      <c r="H477" s="54"/>
      <c r="I477" s="54"/>
      <c r="J477" s="54"/>
      <c r="K477" s="54"/>
      <c r="L477" s="54"/>
      <c r="M477" s="62">
        <f t="shared" ref="M477:N477" si="319">M475</f>
        <v>0</v>
      </c>
      <c r="N477" s="57">
        <f t="shared" si="319"/>
        <v>1</v>
      </c>
      <c r="O477" s="59" t="str">
        <f>if ( isblank (E477), E477, E477 + F477*'Control PanelOur Matches'!$K$2 + G477*5 + H477*(1/3) + I477*'Control PanelOur Matches'!$M$2 + J477*50)</f>
        <v/>
      </c>
      <c r="P477" s="59" t="str">
        <f t="shared" si="2"/>
        <v/>
      </c>
      <c r="Q477" s="60" t="str">
        <f t="shared" si="3"/>
        <v>no</v>
      </c>
      <c r="R477" s="60" t="str">
        <f t="shared" si="4"/>
        <v/>
      </c>
    </row>
    <row r="478" ht="15.0" customHeight="1">
      <c r="A478" s="65">
        <v>475.0</v>
      </c>
      <c r="B478" s="66">
        <v>80.0</v>
      </c>
      <c r="C478" s="52" t="s">
        <v>39</v>
      </c>
      <c r="D478" s="53" t="str">
        <f t="array" ref="D478">index('Match Sched'!$C$3:$H753,match(B478,'Match Sched'!$A$3:$A753,0),if(mod(A478,6)=0,6,mod(A478,6)),0)</f>
        <v/>
      </c>
      <c r="E478" s="54"/>
      <c r="F478" s="55"/>
      <c r="G478" s="67"/>
      <c r="H478" s="67"/>
      <c r="I478" s="67"/>
      <c r="J478" s="67"/>
      <c r="K478" s="67"/>
      <c r="L478" s="67"/>
      <c r="M478" s="60"/>
      <c r="N478" s="57" t="str">
        <f>if(counta(E478:K478)&gt;0,SUM(I478:I480)+1, )</f>
        <v/>
      </c>
      <c r="O478" s="59" t="str">
        <f>if ( isblank (E478), E478, E478 + F478*'Control PanelOur Matches'!$K$2 + G478*5 + H478*(1/3) + I478*'Control PanelOur Matches'!$M$2 + J478*50)</f>
        <v/>
      </c>
      <c r="P478" s="59" t="str">
        <f t="shared" si="2"/>
        <v/>
      </c>
      <c r="Q478" s="60" t="str">
        <f t="shared" si="3"/>
        <v>no</v>
      </c>
      <c r="R478" s="60" t="str">
        <f t="shared" si="4"/>
        <v/>
      </c>
    </row>
    <row r="479" ht="15.0" customHeight="1">
      <c r="A479" s="65">
        <v>476.0</v>
      </c>
      <c r="B479" s="66">
        <v>80.0</v>
      </c>
      <c r="C479" s="69" t="s">
        <v>40</v>
      </c>
      <c r="D479" s="53" t="str">
        <f t="array" ref="D479">index('Match Sched'!$C$3:$H753,match(B479,'Match Sched'!$A$3:$A753,0),if(mod(A479,6)=0,6,mod(A479,6)),0)</f>
        <v/>
      </c>
      <c r="E479" s="54"/>
      <c r="F479" s="55"/>
      <c r="G479" s="67"/>
      <c r="H479" s="67"/>
      <c r="I479" s="67"/>
      <c r="J479" s="67"/>
      <c r="K479" s="67"/>
      <c r="L479" s="67"/>
      <c r="M479" s="60"/>
      <c r="N479" s="57" t="str">
        <f>N478</f>
        <v/>
      </c>
      <c r="O479" s="59" t="str">
        <f>if ( isblank (E479), E479, E479 + F479*'Control PanelOur Matches'!$K$2 + G479*5 + H479*(1/3) + I479*'Control PanelOur Matches'!$M$2 + J479*50)</f>
        <v/>
      </c>
      <c r="P479" s="59" t="str">
        <f t="shared" si="2"/>
        <v/>
      </c>
      <c r="Q479" s="60" t="str">
        <f t="shared" si="3"/>
        <v>no</v>
      </c>
      <c r="R479" s="60" t="str">
        <f t="shared" si="4"/>
        <v/>
      </c>
    </row>
    <row r="480" ht="15.0" customHeight="1">
      <c r="A480" s="65">
        <v>477.0</v>
      </c>
      <c r="B480" s="66">
        <v>80.0</v>
      </c>
      <c r="C480" s="52" t="s">
        <v>41</v>
      </c>
      <c r="D480" s="53" t="str">
        <f t="array" ref="D480">index('Match Sched'!$C$3:$H753,match(B480,'Match Sched'!$A$3:$A753,0),if(mod(A480,6)=0,6,mod(A480,6)),0)</f>
        <v/>
      </c>
      <c r="E480" s="54"/>
      <c r="F480" s="55"/>
      <c r="G480" s="67"/>
      <c r="H480" s="67"/>
      <c r="I480" s="67"/>
      <c r="J480" s="67"/>
      <c r="K480" s="67"/>
      <c r="L480" s="67"/>
      <c r="M480" s="60"/>
      <c r="N480" s="57" t="str">
        <f>N478</f>
        <v/>
      </c>
      <c r="O480" s="59" t="str">
        <f>if ( isblank (E480), E480, E480 + F480*'Control PanelOur Matches'!$K$2 + G480*5 + H480*(1/3) + I480*'Control PanelOur Matches'!$M$2 + J480*50)</f>
        <v/>
      </c>
      <c r="P480" s="59" t="str">
        <f t="shared" si="2"/>
        <v/>
      </c>
      <c r="Q480" s="60" t="str">
        <f t="shared" si="3"/>
        <v>no</v>
      </c>
      <c r="R480" s="60" t="str">
        <f t="shared" si="4"/>
        <v/>
      </c>
    </row>
    <row r="481" ht="15.0" customHeight="1">
      <c r="A481" s="65">
        <v>478.0</v>
      </c>
      <c r="B481" s="66">
        <v>80.0</v>
      </c>
      <c r="C481" s="52" t="s">
        <v>42</v>
      </c>
      <c r="D481" s="53" t="str">
        <f t="array" ref="D481">index('Match Sched'!$C$3:$H753,match(B481,'Match Sched'!$A$3:$A753,0),if(mod(A481,6)=0,6,mod(A481,6)),0)</f>
        <v/>
      </c>
      <c r="E481" s="54"/>
      <c r="F481" s="55"/>
      <c r="G481" s="67"/>
      <c r="H481" s="67"/>
      <c r="I481" s="67"/>
      <c r="J481" s="67"/>
      <c r="K481" s="67"/>
      <c r="L481" s="67"/>
      <c r="M481" s="60"/>
      <c r="N481" s="57" t="str">
        <f>if(counta(E481:K481)&gt;0,SUM(I481:I483)+1, )</f>
        <v/>
      </c>
      <c r="O481" s="59" t="str">
        <f>if ( isblank (E481), E481, E481 + F481*'Control PanelOur Matches'!$K$2 + G481*5 + H481*(1/3) + I481*'Control PanelOur Matches'!$M$2 + J481*50)</f>
        <v/>
      </c>
      <c r="P481" s="59" t="str">
        <f t="shared" si="2"/>
        <v/>
      </c>
      <c r="Q481" s="60" t="str">
        <f t="shared" si="3"/>
        <v>no</v>
      </c>
      <c r="R481" s="60" t="str">
        <f t="shared" si="4"/>
        <v/>
      </c>
    </row>
    <row r="482" ht="15.0" customHeight="1">
      <c r="A482" s="65">
        <v>479.0</v>
      </c>
      <c r="B482" s="66">
        <v>80.0</v>
      </c>
      <c r="C482" s="52" t="s">
        <v>43</v>
      </c>
      <c r="D482" s="53" t="str">
        <f t="array" ref="D482">index('Match Sched'!$C$3:$H753,match(B482,'Match Sched'!$A$3:$A753,0),if(mod(A482,6)=0,6,mod(A482,6)),0)</f>
        <v/>
      </c>
      <c r="E482" s="54"/>
      <c r="F482" s="55"/>
      <c r="G482" s="67"/>
      <c r="H482" s="67"/>
      <c r="I482" s="67"/>
      <c r="J482" s="67"/>
      <c r="K482" s="67"/>
      <c r="L482" s="67"/>
      <c r="M482" s="60"/>
      <c r="N482" s="57" t="str">
        <f>N481</f>
        <v/>
      </c>
      <c r="O482" s="59" t="str">
        <f>if ( isblank (E482), E482, E482 + F482*'Control PanelOur Matches'!$K$2 + G482*5 + H482*(1/3) + I482*'Control PanelOur Matches'!$M$2 + J482*50)</f>
        <v/>
      </c>
      <c r="P482" s="59" t="str">
        <f t="shared" si="2"/>
        <v/>
      </c>
      <c r="Q482" s="60" t="str">
        <f t="shared" si="3"/>
        <v>no</v>
      </c>
      <c r="R482" s="60" t="str">
        <f t="shared" si="4"/>
        <v/>
      </c>
    </row>
    <row r="483" ht="15.0" customHeight="1">
      <c r="A483" s="65">
        <v>480.0</v>
      </c>
      <c r="B483" s="66">
        <v>80.0</v>
      </c>
      <c r="C483" s="68" t="s">
        <v>44</v>
      </c>
      <c r="D483" s="53" t="str">
        <f t="array" ref="D483">index('Match Sched'!$C$3:$H753,match(B483,'Match Sched'!$A$3:$A753,0),if(mod(A483,6)=0,6,mod(A483,6)),0)</f>
        <v/>
      </c>
      <c r="E483" s="54"/>
      <c r="F483" s="55"/>
      <c r="G483" s="67"/>
      <c r="H483" s="67"/>
      <c r="I483" s="67"/>
      <c r="J483" s="67"/>
      <c r="K483" s="67"/>
      <c r="L483" s="67"/>
      <c r="M483" s="60"/>
      <c r="N483" s="57" t="str">
        <f>N481</f>
        <v/>
      </c>
      <c r="O483" s="59" t="str">
        <f>if ( isblank (E483), E483, E483 + F483*'Control PanelOur Matches'!$K$2 + G483*5 + H483*(1/3) + I483*'Control PanelOur Matches'!$M$2 + J483*50)</f>
        <v/>
      </c>
      <c r="P483" s="59" t="str">
        <f t="shared" si="2"/>
        <v/>
      </c>
      <c r="Q483" s="60" t="str">
        <f t="shared" si="3"/>
        <v>no</v>
      </c>
      <c r="R483" s="60" t="str">
        <f t="shared" si="4"/>
        <v/>
      </c>
    </row>
    <row r="484" ht="15.0" customHeight="1">
      <c r="A484" s="49">
        <v>481.0</v>
      </c>
      <c r="B484" s="50">
        <v>81.0</v>
      </c>
      <c r="C484" s="52" t="s">
        <v>39</v>
      </c>
      <c r="D484" s="53" t="str">
        <f t="array" ref="D484">index('Match Sched'!$C$3:$H753,match(B484,'Match Sched'!$A$3:$A753,0),if(mod(A484,6)=0,6,mod(A484,6)),0)</f>
        <v/>
      </c>
      <c r="E484" s="54"/>
      <c r="F484" s="55"/>
      <c r="G484" s="54"/>
      <c r="H484" s="54"/>
      <c r="I484" s="54"/>
      <c r="J484" s="54"/>
      <c r="K484" s="54"/>
      <c r="L484" s="54"/>
      <c r="M484" s="60"/>
      <c r="N484" s="57" t="str">
        <f>if(counta(E484:K484)&gt;0,SUM(I484:I486)+1, )</f>
        <v/>
      </c>
      <c r="O484" s="59" t="str">
        <f>if ( isblank (E484), E484, E484 + F484*'Control PanelOur Matches'!$K$2 + G484*5 + H484*(1/3) + I484*'Control PanelOur Matches'!$M$2 + J484*50)</f>
        <v/>
      </c>
      <c r="P484" s="59" t="str">
        <f t="shared" si="2"/>
        <v/>
      </c>
      <c r="Q484" s="60" t="str">
        <f t="shared" si="3"/>
        <v>no</v>
      </c>
      <c r="R484" s="60" t="str">
        <f t="shared" si="4"/>
        <v/>
      </c>
    </row>
    <row r="485" ht="15.0" customHeight="1">
      <c r="A485" s="49">
        <v>482.0</v>
      </c>
      <c r="B485" s="50">
        <v>81.0</v>
      </c>
      <c r="C485" s="52" t="s">
        <v>40</v>
      </c>
      <c r="D485" s="53" t="str">
        <f t="array" ref="D485">index('Match Sched'!$C$3:$H753,match(B485,'Match Sched'!$A$3:$A753,0),if(mod(A485,6)=0,6,mod(A485,6)),0)</f>
        <v/>
      </c>
      <c r="E485" s="54"/>
      <c r="F485" s="55"/>
      <c r="G485" s="54"/>
      <c r="H485" s="54"/>
      <c r="I485" s="54"/>
      <c r="J485" s="54"/>
      <c r="K485" s="54"/>
      <c r="L485" s="54"/>
      <c r="M485" s="60"/>
      <c r="N485" s="57" t="str">
        <f>N484</f>
        <v/>
      </c>
      <c r="O485" s="59" t="str">
        <f>if ( isblank (E485), E485, E485 + F485*'Control PanelOur Matches'!$K$2 + G485*5 + H485*(1/3) + I485*'Control PanelOur Matches'!$M$2 + J485*50)</f>
        <v/>
      </c>
      <c r="P485" s="59" t="str">
        <f t="shared" si="2"/>
        <v/>
      </c>
      <c r="Q485" s="60" t="str">
        <f t="shared" si="3"/>
        <v>no</v>
      </c>
      <c r="R485" s="60" t="str">
        <f t="shared" si="4"/>
        <v/>
      </c>
    </row>
    <row r="486" ht="15.0" customHeight="1">
      <c r="A486" s="49">
        <v>483.0</v>
      </c>
      <c r="B486" s="50">
        <v>81.0</v>
      </c>
      <c r="C486" s="52" t="s">
        <v>41</v>
      </c>
      <c r="D486" s="53" t="str">
        <f t="array" ref="D486">index('Match Sched'!$C$3:$H753,match(B486,'Match Sched'!$A$3:$A753,0),if(mod(A486,6)=0,6,mod(A486,6)),0)</f>
        <v/>
      </c>
      <c r="E486" s="54"/>
      <c r="F486" s="55"/>
      <c r="G486" s="54"/>
      <c r="H486" s="54"/>
      <c r="I486" s="54"/>
      <c r="J486" s="54"/>
      <c r="K486" s="54"/>
      <c r="L486" s="54"/>
      <c r="M486" s="60"/>
      <c r="N486" s="57" t="str">
        <f>N484</f>
        <v/>
      </c>
      <c r="O486" s="59" t="str">
        <f>if ( isblank (E486), E486, E486 + F486*'Control PanelOur Matches'!$K$2 + G486*5 + H486*(1/3) + I486*'Control PanelOur Matches'!$M$2 + J486*50)</f>
        <v/>
      </c>
      <c r="P486" s="59" t="str">
        <f t="shared" si="2"/>
        <v/>
      </c>
      <c r="Q486" s="60" t="str">
        <f t="shared" si="3"/>
        <v>no</v>
      </c>
      <c r="R486" s="60" t="str">
        <f t="shared" si="4"/>
        <v/>
      </c>
    </row>
    <row r="487" ht="15.0" customHeight="1">
      <c r="A487" s="49">
        <v>484.0</v>
      </c>
      <c r="B487" s="50">
        <v>81.0</v>
      </c>
      <c r="C487" s="52" t="s">
        <v>42</v>
      </c>
      <c r="D487" s="53" t="str">
        <f t="array" ref="D487">index('Match Sched'!$C$3:$H753,match(B487,'Match Sched'!$A$3:$A753,0),if(mod(A487,6)=0,6,mod(A487,6)),0)</f>
        <v/>
      </c>
      <c r="E487" s="54"/>
      <c r="F487" s="55"/>
      <c r="G487" s="54"/>
      <c r="H487" s="54"/>
      <c r="I487" s="54"/>
      <c r="J487" s="54"/>
      <c r="K487" s="54"/>
      <c r="L487" s="54"/>
      <c r="M487" s="60"/>
      <c r="N487" s="57" t="str">
        <f>if(counta(E487:K487)&gt;0,SUM(I487:I489)+1, )</f>
        <v/>
      </c>
      <c r="O487" s="59" t="str">
        <f>if ( isblank (E487), E487, E487 + F487*'Control PanelOur Matches'!$K$2 + G487*5 + H487*(1/3) + I487*'Control PanelOur Matches'!$M$2 + J487*50)</f>
        <v/>
      </c>
      <c r="P487" s="59" t="str">
        <f t="shared" si="2"/>
        <v/>
      </c>
      <c r="Q487" s="60" t="str">
        <f t="shared" si="3"/>
        <v>no</v>
      </c>
      <c r="R487" s="60" t="str">
        <f t="shared" si="4"/>
        <v/>
      </c>
    </row>
    <row r="488" ht="15.0" customHeight="1">
      <c r="A488" s="49">
        <v>485.0</v>
      </c>
      <c r="B488" s="50">
        <v>81.0</v>
      </c>
      <c r="C488" s="52" t="s">
        <v>43</v>
      </c>
      <c r="D488" s="53" t="str">
        <f t="array" ref="D488">index('Match Sched'!$C$3:$H753,match(B488,'Match Sched'!$A$3:$A753,0),if(mod(A488,6)=0,6,mod(A488,6)),0)</f>
        <v/>
      </c>
      <c r="E488" s="54"/>
      <c r="F488" s="55"/>
      <c r="G488" s="54"/>
      <c r="H488" s="54"/>
      <c r="I488" s="54"/>
      <c r="J488" s="54"/>
      <c r="K488" s="54"/>
      <c r="L488" s="54"/>
      <c r="M488" s="60"/>
      <c r="N488" s="57" t="str">
        <f>N487</f>
        <v/>
      </c>
      <c r="O488" s="59" t="str">
        <f>if ( isblank (E488), E488, E488 + F488*'Control PanelOur Matches'!$K$2 + G488*5 + H488*(1/3) + I488*'Control PanelOur Matches'!$M$2 + J488*50)</f>
        <v/>
      </c>
      <c r="P488" s="59" t="str">
        <f t="shared" si="2"/>
        <v/>
      </c>
      <c r="Q488" s="60" t="str">
        <f t="shared" si="3"/>
        <v>no</v>
      </c>
      <c r="R488" s="60" t="str">
        <f t="shared" si="4"/>
        <v/>
      </c>
    </row>
    <row r="489" ht="15.0" customHeight="1">
      <c r="A489" s="49">
        <v>486.0</v>
      </c>
      <c r="B489" s="50">
        <v>81.0</v>
      </c>
      <c r="C489" s="52" t="s">
        <v>44</v>
      </c>
      <c r="D489" s="53" t="str">
        <f t="array" ref="D489">index('Match Sched'!$C$3:$H753,match(B489,'Match Sched'!$A$3:$A753,0),if(mod(A489,6)=0,6,mod(A489,6)),0)</f>
        <v/>
      </c>
      <c r="E489" s="54"/>
      <c r="F489" s="55"/>
      <c r="G489" s="54"/>
      <c r="H489" s="54"/>
      <c r="I489" s="54"/>
      <c r="J489" s="54"/>
      <c r="K489" s="54"/>
      <c r="L489" s="54"/>
      <c r="M489" s="60"/>
      <c r="N489" s="57" t="str">
        <f>N487</f>
        <v/>
      </c>
      <c r="O489" s="59" t="str">
        <f>if ( isblank (E489), E489, E489 + F489*'Control PanelOur Matches'!$K$2 + G489*5 + H489*(1/3) + I489*'Control PanelOur Matches'!$M$2 + J489*50)</f>
        <v/>
      </c>
      <c r="P489" s="59" t="str">
        <f t="shared" si="2"/>
        <v/>
      </c>
      <c r="Q489" s="60" t="str">
        <f t="shared" si="3"/>
        <v>no</v>
      </c>
      <c r="R489" s="60" t="str">
        <f t="shared" si="4"/>
        <v/>
      </c>
    </row>
    <row r="490" ht="15.0" customHeight="1">
      <c r="A490" s="65">
        <v>487.0</v>
      </c>
      <c r="B490" s="66">
        <v>82.0</v>
      </c>
      <c r="C490" s="52" t="s">
        <v>39</v>
      </c>
      <c r="D490" s="53" t="str">
        <f t="array" ref="D490">index('Match Sched'!$C$3:$H753,match(B490,'Match Sched'!$A$3:$A753,0),if(mod(A490,6)=0,6,mod(A490,6)),0)</f>
        <v/>
      </c>
      <c r="E490" s="54"/>
      <c r="F490" s="55"/>
      <c r="G490" s="67"/>
      <c r="H490" s="67"/>
      <c r="I490" s="67"/>
      <c r="J490" s="67"/>
      <c r="K490" s="67"/>
      <c r="L490" s="67"/>
      <c r="M490" s="60"/>
      <c r="N490" s="57" t="str">
        <f>if(counta(E490:K490)&gt;0,SUM(I490:I492)+1, )</f>
        <v/>
      </c>
      <c r="O490" s="59" t="str">
        <f>if ( isblank (E490), E490, E490 + F490*'Control PanelOur Matches'!$K$2 + G490*5 + H490*(1/3) + I490*'Control PanelOur Matches'!$M$2 + J490*50)</f>
        <v/>
      </c>
      <c r="P490" s="59" t="str">
        <f t="shared" si="2"/>
        <v/>
      </c>
      <c r="Q490" s="60" t="str">
        <f t="shared" si="3"/>
        <v>no</v>
      </c>
      <c r="R490" s="60" t="str">
        <f t="shared" si="4"/>
        <v/>
      </c>
    </row>
    <row r="491" ht="15.0" customHeight="1">
      <c r="A491" s="65">
        <v>488.0</v>
      </c>
      <c r="B491" s="66">
        <v>82.0</v>
      </c>
      <c r="C491" s="52" t="s">
        <v>40</v>
      </c>
      <c r="D491" s="53" t="str">
        <f t="array" ref="D491">index('Match Sched'!$C$3:$H753,match(B491,'Match Sched'!$A$3:$A753,0),if(mod(A491,6)=0,6,mod(A491,6)),0)</f>
        <v/>
      </c>
      <c r="E491" s="54"/>
      <c r="F491" s="55"/>
      <c r="G491" s="67"/>
      <c r="H491" s="67"/>
      <c r="I491" s="67"/>
      <c r="J491" s="67"/>
      <c r="K491" s="67"/>
      <c r="L491" s="67"/>
      <c r="M491" s="60"/>
      <c r="N491" s="57" t="str">
        <f>N490</f>
        <v/>
      </c>
      <c r="O491" s="59" t="str">
        <f>if ( isblank (E491), E491, E491 + F491*'Control PanelOur Matches'!$K$2 + G491*5 + H491*(1/3) + I491*'Control PanelOur Matches'!$M$2 + J491*50)</f>
        <v/>
      </c>
      <c r="P491" s="59" t="str">
        <f t="shared" si="2"/>
        <v/>
      </c>
      <c r="Q491" s="60" t="str">
        <f t="shared" si="3"/>
        <v>no</v>
      </c>
      <c r="R491" s="60" t="str">
        <f t="shared" si="4"/>
        <v/>
      </c>
    </row>
    <row r="492" ht="15.0" customHeight="1">
      <c r="A492" s="65">
        <v>489.0</v>
      </c>
      <c r="B492" s="66">
        <v>82.0</v>
      </c>
      <c r="C492" s="52" t="s">
        <v>41</v>
      </c>
      <c r="D492" s="53" t="str">
        <f t="array" ref="D492">index('Match Sched'!$C$3:$H753,match(B492,'Match Sched'!$A$3:$A753,0),if(mod(A492,6)=0,6,mod(A492,6)),0)</f>
        <v/>
      </c>
      <c r="E492" s="54"/>
      <c r="F492" s="55"/>
      <c r="G492" s="67"/>
      <c r="H492" s="67"/>
      <c r="I492" s="67"/>
      <c r="J492" s="67"/>
      <c r="K492" s="67"/>
      <c r="L492" s="67"/>
      <c r="M492" s="60"/>
      <c r="N492" s="57" t="str">
        <f>N490</f>
        <v/>
      </c>
      <c r="O492" s="59" t="str">
        <f>if ( isblank (E492), E492, E492 + F492*'Control PanelOur Matches'!$K$2 + G492*5 + H492*(1/3) + I492*'Control PanelOur Matches'!$M$2 + J492*50)</f>
        <v/>
      </c>
      <c r="P492" s="59" t="str">
        <f t="shared" si="2"/>
        <v/>
      </c>
      <c r="Q492" s="60" t="str">
        <f t="shared" si="3"/>
        <v>no</v>
      </c>
      <c r="R492" s="60" t="str">
        <f t="shared" si="4"/>
        <v/>
      </c>
    </row>
    <row r="493" ht="15.0" customHeight="1">
      <c r="A493" s="65">
        <v>490.0</v>
      </c>
      <c r="B493" s="66">
        <v>82.0</v>
      </c>
      <c r="C493" s="52" t="s">
        <v>42</v>
      </c>
      <c r="D493" s="53" t="str">
        <f t="array" ref="D493">index('Match Sched'!$C$3:$H753,match(B493,'Match Sched'!$A$3:$A753,0),if(mod(A493,6)=0,6,mod(A493,6)),0)</f>
        <v/>
      </c>
      <c r="E493" s="54"/>
      <c r="F493" s="55"/>
      <c r="G493" s="67"/>
      <c r="H493" s="67"/>
      <c r="I493" s="67"/>
      <c r="J493" s="67"/>
      <c r="K493" s="67"/>
      <c r="L493" s="67"/>
      <c r="M493" s="60"/>
      <c r="N493" s="57" t="str">
        <f>if(counta(E493:K493)&gt;0,SUM(I493:I495)+1, )</f>
        <v/>
      </c>
      <c r="O493" s="59" t="str">
        <f>if ( isblank (E493), E493, E493 + F493*'Control PanelOur Matches'!$K$2 + G493*5 + H493*(1/3) + I493*'Control PanelOur Matches'!$M$2 + J493*50)</f>
        <v/>
      </c>
      <c r="P493" s="59" t="str">
        <f t="shared" si="2"/>
        <v/>
      </c>
      <c r="Q493" s="60" t="str">
        <f t="shared" si="3"/>
        <v>no</v>
      </c>
      <c r="R493" s="60" t="str">
        <f t="shared" si="4"/>
        <v/>
      </c>
    </row>
    <row r="494" ht="15.0" customHeight="1">
      <c r="A494" s="65">
        <v>491.0</v>
      </c>
      <c r="B494" s="66">
        <v>82.0</v>
      </c>
      <c r="C494" s="52" t="s">
        <v>43</v>
      </c>
      <c r="D494" s="53" t="str">
        <f t="array" ref="D494">index('Match Sched'!$C$3:$H753,match(B494,'Match Sched'!$A$3:$A753,0),if(mod(A494,6)=0,6,mod(A494,6)),0)</f>
        <v/>
      </c>
      <c r="E494" s="54"/>
      <c r="F494" s="55"/>
      <c r="G494" s="67"/>
      <c r="H494" s="67"/>
      <c r="I494" s="67"/>
      <c r="J494" s="67"/>
      <c r="K494" s="67"/>
      <c r="L494" s="67"/>
      <c r="M494" s="60"/>
      <c r="N494" s="57" t="str">
        <f>N493</f>
        <v/>
      </c>
      <c r="O494" s="59" t="str">
        <f>if ( isblank (E494), E494, E494 + F494*'Control PanelOur Matches'!$K$2 + G494*5 + H494*(1/3) + I494*'Control PanelOur Matches'!$M$2 + J494*50)</f>
        <v/>
      </c>
      <c r="P494" s="59" t="str">
        <f t="shared" si="2"/>
        <v/>
      </c>
      <c r="Q494" s="60" t="str">
        <f t="shared" si="3"/>
        <v>no</v>
      </c>
      <c r="R494" s="60" t="str">
        <f t="shared" si="4"/>
        <v/>
      </c>
    </row>
    <row r="495" ht="15.0" customHeight="1">
      <c r="A495" s="65">
        <v>492.0</v>
      </c>
      <c r="B495" s="66">
        <v>82.0</v>
      </c>
      <c r="C495" s="68" t="s">
        <v>44</v>
      </c>
      <c r="D495" s="53" t="str">
        <f t="array" ref="D495">index('Match Sched'!$C$3:$H753,match(B495,'Match Sched'!$A$3:$A753,0),if(mod(A495,6)=0,6,mod(A495,6)),0)</f>
        <v/>
      </c>
      <c r="E495" s="54"/>
      <c r="F495" s="55"/>
      <c r="G495" s="67"/>
      <c r="H495" s="67"/>
      <c r="I495" s="67"/>
      <c r="J495" s="67"/>
      <c r="K495" s="67"/>
      <c r="L495" s="67"/>
      <c r="M495" s="60"/>
      <c r="N495" s="57" t="str">
        <f>N493</f>
        <v/>
      </c>
      <c r="O495" s="59" t="str">
        <f>if ( isblank (E495), E495, E495 + F495*'Control PanelOur Matches'!$K$2 + G495*5 + H495*(1/3) + I495*'Control PanelOur Matches'!$M$2 + J495*50)</f>
        <v/>
      </c>
      <c r="P495" s="59" t="str">
        <f t="shared" si="2"/>
        <v/>
      </c>
      <c r="Q495" s="60" t="str">
        <f t="shared" si="3"/>
        <v>no</v>
      </c>
      <c r="R495" s="60" t="str">
        <f t="shared" si="4"/>
        <v/>
      </c>
    </row>
    <row r="496" ht="15.0" customHeight="1">
      <c r="A496" s="49">
        <v>493.0</v>
      </c>
      <c r="B496" s="50">
        <v>83.0</v>
      </c>
      <c r="C496" s="52" t="s">
        <v>39</v>
      </c>
      <c r="D496" s="53" t="str">
        <f t="array" ref="D496">index('Match Sched'!$C$3:$H753,match(B496,'Match Sched'!$A$3:$A753,0),if(mod(A496,6)=0,6,mod(A496,6)),0)</f>
        <v/>
      </c>
      <c r="E496" s="54"/>
      <c r="F496" s="55"/>
      <c r="G496" s="54"/>
      <c r="H496" s="54"/>
      <c r="I496" s="54"/>
      <c r="J496" s="54"/>
      <c r="K496" s="54"/>
      <c r="L496" s="54"/>
      <c r="M496" s="60"/>
      <c r="N496" s="57" t="str">
        <f>if(counta(E496:K496)&gt;0,SUM(I496:I498)+1, )</f>
        <v/>
      </c>
      <c r="O496" s="59" t="str">
        <f>if ( isblank (E496), E496, E496 + F496*'Control PanelOur Matches'!$K$2 + G496*5 + H496*(1/3) + I496*'Control PanelOur Matches'!$M$2 + J496*50)</f>
        <v/>
      </c>
      <c r="P496" s="59" t="str">
        <f t="shared" si="2"/>
        <v/>
      </c>
      <c r="Q496" s="60" t="str">
        <f t="shared" si="3"/>
        <v>no</v>
      </c>
      <c r="R496" s="60" t="str">
        <f t="shared" si="4"/>
        <v/>
      </c>
    </row>
    <row r="497" ht="15.0" customHeight="1">
      <c r="A497" s="49">
        <v>494.0</v>
      </c>
      <c r="B497" s="50">
        <v>83.0</v>
      </c>
      <c r="C497" s="52" t="s">
        <v>40</v>
      </c>
      <c r="D497" s="53" t="str">
        <f t="array" ref="D497">index('Match Sched'!$C$3:$H753,match(B497,'Match Sched'!$A$3:$A753,0),if(mod(A497,6)=0,6,mod(A497,6)),0)</f>
        <v/>
      </c>
      <c r="E497" s="54"/>
      <c r="F497" s="55"/>
      <c r="G497" s="54"/>
      <c r="H497" s="54"/>
      <c r="I497" s="54"/>
      <c r="J497" s="54"/>
      <c r="K497" s="54"/>
      <c r="L497" s="54"/>
      <c r="M497" s="60"/>
      <c r="N497" s="57" t="str">
        <f>N496</f>
        <v/>
      </c>
      <c r="O497" s="59" t="str">
        <f>if ( isblank (E497), E497, E497 + F497*'Control PanelOur Matches'!$K$2 + G497*5 + H497*(1/3) + I497*'Control PanelOur Matches'!$M$2 + J497*50)</f>
        <v/>
      </c>
      <c r="P497" s="59" t="str">
        <f t="shared" si="2"/>
        <v/>
      </c>
      <c r="Q497" s="60" t="str">
        <f t="shared" si="3"/>
        <v>no</v>
      </c>
      <c r="R497" s="60" t="str">
        <f t="shared" si="4"/>
        <v/>
      </c>
    </row>
    <row r="498" ht="15.0" customHeight="1">
      <c r="A498" s="49">
        <v>495.0</v>
      </c>
      <c r="B498" s="50">
        <v>83.0</v>
      </c>
      <c r="C498" s="52" t="s">
        <v>41</v>
      </c>
      <c r="D498" s="53" t="str">
        <f t="array" ref="D498">index('Match Sched'!$C$3:$H753,match(B498,'Match Sched'!$A$3:$A753,0),if(mod(A498,6)=0,6,mod(A498,6)),0)</f>
        <v/>
      </c>
      <c r="E498" s="54"/>
      <c r="F498" s="55"/>
      <c r="G498" s="54"/>
      <c r="H498" s="54"/>
      <c r="I498" s="54"/>
      <c r="J498" s="54"/>
      <c r="K498" s="54"/>
      <c r="L498" s="54"/>
      <c r="M498" s="60"/>
      <c r="N498" s="57" t="str">
        <f>N496</f>
        <v/>
      </c>
      <c r="O498" s="59" t="str">
        <f>if ( isblank (E498), E498, E498 + F498*'Control PanelOur Matches'!$K$2 + G498*5 + H498*(1/3) + I498*'Control PanelOur Matches'!$M$2 + J498*50)</f>
        <v/>
      </c>
      <c r="P498" s="59" t="str">
        <f t="shared" si="2"/>
        <v/>
      </c>
      <c r="Q498" s="60" t="str">
        <f t="shared" si="3"/>
        <v>no</v>
      </c>
      <c r="R498" s="60" t="str">
        <f t="shared" si="4"/>
        <v/>
      </c>
    </row>
    <row r="499" ht="15.0" customHeight="1">
      <c r="A499" s="49">
        <v>496.0</v>
      </c>
      <c r="B499" s="50">
        <v>83.0</v>
      </c>
      <c r="C499" s="52" t="s">
        <v>42</v>
      </c>
      <c r="D499" s="53" t="str">
        <f t="array" ref="D499">index('Match Sched'!$C$3:$H753,match(B499,'Match Sched'!$A$3:$A753,0),if(mod(A499,6)=0,6,mod(A499,6)),0)</f>
        <v/>
      </c>
      <c r="E499" s="54"/>
      <c r="F499" s="55"/>
      <c r="G499" s="54"/>
      <c r="H499" s="54"/>
      <c r="I499" s="54"/>
      <c r="J499" s="54"/>
      <c r="K499" s="54"/>
      <c r="L499" s="54"/>
      <c r="M499" s="60"/>
      <c r="N499" s="57" t="str">
        <f>if(counta(E499:K499)&gt;0,SUM(I499:I501)+1, )</f>
        <v/>
      </c>
      <c r="O499" s="59" t="str">
        <f>if ( isblank (E499), E499, E499 + F499*'Control PanelOur Matches'!$K$2 + G499*5 + H499*(1/3) + I499*'Control PanelOur Matches'!$M$2 + J499*50)</f>
        <v/>
      </c>
      <c r="P499" s="59" t="str">
        <f t="shared" si="2"/>
        <v/>
      </c>
      <c r="Q499" s="60" t="str">
        <f t="shared" si="3"/>
        <v>no</v>
      </c>
      <c r="R499" s="60" t="str">
        <f t="shared" si="4"/>
        <v/>
      </c>
    </row>
    <row r="500" ht="15.0" customHeight="1">
      <c r="A500" s="49">
        <v>497.0</v>
      </c>
      <c r="B500" s="50">
        <v>83.0</v>
      </c>
      <c r="C500" s="52" t="s">
        <v>43</v>
      </c>
      <c r="D500" s="53" t="str">
        <f t="array" ref="D500">index('Match Sched'!$C$3:$H753,match(B500,'Match Sched'!$A$3:$A753,0),if(mod(A500,6)=0,6,mod(A500,6)),0)</f>
        <v/>
      </c>
      <c r="E500" s="54"/>
      <c r="F500" s="55"/>
      <c r="G500" s="54"/>
      <c r="H500" s="54"/>
      <c r="I500" s="54"/>
      <c r="J500" s="54"/>
      <c r="K500" s="54"/>
      <c r="L500" s="54"/>
      <c r="M500" s="60"/>
      <c r="N500" s="57" t="str">
        <f>N499</f>
        <v/>
      </c>
      <c r="O500" s="59" t="str">
        <f>if ( isblank (E500), E500, E500 + F500*'Control PanelOur Matches'!$K$2 + G500*5 + H500*(1/3) + I500*'Control PanelOur Matches'!$M$2 + J500*50)</f>
        <v/>
      </c>
      <c r="P500" s="59" t="str">
        <f t="shared" si="2"/>
        <v/>
      </c>
      <c r="Q500" s="60" t="str">
        <f t="shared" si="3"/>
        <v>no</v>
      </c>
      <c r="R500" s="60" t="str">
        <f t="shared" si="4"/>
        <v/>
      </c>
    </row>
    <row r="501" ht="15.0" customHeight="1">
      <c r="A501" s="49">
        <v>498.0</v>
      </c>
      <c r="B501" s="50">
        <v>83.0</v>
      </c>
      <c r="C501" s="52" t="s">
        <v>44</v>
      </c>
      <c r="D501" s="53" t="str">
        <f t="array" ref="D501">index('Match Sched'!$C$3:$H753,match(B501,'Match Sched'!$A$3:$A753,0),if(mod(A501,6)=0,6,mod(A501,6)),0)</f>
        <v/>
      </c>
      <c r="E501" s="54"/>
      <c r="F501" s="55"/>
      <c r="G501" s="54"/>
      <c r="H501" s="54"/>
      <c r="I501" s="54"/>
      <c r="J501" s="54"/>
      <c r="K501" s="54"/>
      <c r="L501" s="54"/>
      <c r="M501" s="60"/>
      <c r="N501" s="57" t="str">
        <f>N499</f>
        <v/>
      </c>
      <c r="O501" s="59" t="str">
        <f>if ( isblank (E501), E501, E501 + F501*'Control PanelOur Matches'!$K$2 + G501*5 + H501*(1/3) + I501*'Control PanelOur Matches'!$M$2 + J501*50)</f>
        <v/>
      </c>
      <c r="P501" s="59" t="str">
        <f t="shared" si="2"/>
        <v/>
      </c>
      <c r="Q501" s="60" t="str">
        <f t="shared" si="3"/>
        <v>no</v>
      </c>
      <c r="R501" s="60" t="str">
        <f t="shared" si="4"/>
        <v/>
      </c>
    </row>
    <row r="502" ht="15.0" customHeight="1">
      <c r="A502" s="65">
        <v>499.0</v>
      </c>
      <c r="B502" s="66">
        <v>84.0</v>
      </c>
      <c r="C502" s="52" t="s">
        <v>39</v>
      </c>
      <c r="D502" s="53" t="str">
        <f t="array" ref="D502">index('Match Sched'!$C$3:$H753,match(B502,'Match Sched'!$A$3:$A753,0),if(mod(A502,6)=0,6,mod(A502,6)),0)</f>
        <v/>
      </c>
      <c r="E502" s="54"/>
      <c r="F502" s="55"/>
      <c r="G502" s="67"/>
      <c r="H502" s="67"/>
      <c r="I502" s="67"/>
      <c r="J502" s="67"/>
      <c r="K502" s="67"/>
      <c r="L502" s="67"/>
      <c r="M502" s="60"/>
      <c r="N502" s="57" t="str">
        <f>if(counta(E502:K502)&gt;0,SUM(I502:I504)+1, )</f>
        <v/>
      </c>
      <c r="O502" s="59" t="str">
        <f>if ( isblank (E502), E502, E502 + F502*'Control PanelOur Matches'!$K$2 + G502*5 + H502*(1/3) + I502*'Control PanelOur Matches'!$M$2 + J502*50)</f>
        <v/>
      </c>
      <c r="P502" s="59" t="str">
        <f t="shared" si="2"/>
        <v/>
      </c>
      <c r="Q502" s="60" t="str">
        <f t="shared" si="3"/>
        <v>no</v>
      </c>
      <c r="R502" s="60" t="str">
        <f t="shared" si="4"/>
        <v/>
      </c>
    </row>
    <row r="503" ht="15.0" customHeight="1">
      <c r="A503" s="65">
        <v>500.0</v>
      </c>
      <c r="B503" s="66">
        <v>84.0</v>
      </c>
      <c r="C503" s="69" t="s">
        <v>40</v>
      </c>
      <c r="D503" s="53" t="str">
        <f t="array" ref="D503">index('Match Sched'!$C$3:$H753,match(B503,'Match Sched'!$A$3:$A753,0),if(mod(A503,6)=0,6,mod(A503,6)),0)</f>
        <v/>
      </c>
      <c r="E503" s="54"/>
      <c r="F503" s="55"/>
      <c r="G503" s="67"/>
      <c r="H503" s="67"/>
      <c r="I503" s="67"/>
      <c r="J503" s="67"/>
      <c r="K503" s="67"/>
      <c r="L503" s="67"/>
      <c r="M503" s="60"/>
      <c r="N503" s="57" t="str">
        <f>N502</f>
        <v/>
      </c>
      <c r="O503" s="59" t="str">
        <f>if ( isblank (E503), E503, E503 + F503*'Control PanelOur Matches'!$K$2 + G503*5 + H503*(1/3) + I503*'Control PanelOur Matches'!$M$2 + J503*50)</f>
        <v/>
      </c>
      <c r="P503" s="59" t="str">
        <f t="shared" si="2"/>
        <v/>
      </c>
      <c r="Q503" s="60" t="str">
        <f t="shared" si="3"/>
        <v>no</v>
      </c>
      <c r="R503" s="60" t="str">
        <f t="shared" si="4"/>
        <v/>
      </c>
    </row>
    <row r="504" ht="15.0" customHeight="1">
      <c r="A504" s="65">
        <v>501.0</v>
      </c>
      <c r="B504" s="66">
        <v>84.0</v>
      </c>
      <c r="C504" s="52" t="s">
        <v>41</v>
      </c>
      <c r="D504" s="53" t="str">
        <f t="array" ref="D504">index('Match Sched'!$C$3:$H753,match(B504,'Match Sched'!$A$3:$A753,0),if(mod(A504,6)=0,6,mod(A504,6)),0)</f>
        <v/>
      </c>
      <c r="E504" s="54"/>
      <c r="F504" s="55"/>
      <c r="G504" s="67"/>
      <c r="H504" s="67"/>
      <c r="I504" s="67"/>
      <c r="J504" s="67"/>
      <c r="K504" s="67"/>
      <c r="L504" s="67"/>
      <c r="M504" s="60"/>
      <c r="N504" s="57" t="str">
        <f>N502</f>
        <v/>
      </c>
      <c r="O504" s="59" t="str">
        <f>if ( isblank (E504), E504, E504 + F504*'Control PanelOur Matches'!$K$2 + G504*5 + H504*(1/3) + I504*'Control PanelOur Matches'!$M$2 + J504*50)</f>
        <v/>
      </c>
      <c r="P504" s="59" t="str">
        <f t="shared" si="2"/>
        <v/>
      </c>
      <c r="Q504" s="60" t="str">
        <f t="shared" si="3"/>
        <v>no</v>
      </c>
      <c r="R504" s="60" t="str">
        <f t="shared" si="4"/>
        <v/>
      </c>
    </row>
    <row r="505" ht="15.0" customHeight="1">
      <c r="A505" s="65">
        <v>502.0</v>
      </c>
      <c r="B505" s="66">
        <v>84.0</v>
      </c>
      <c r="C505" s="52" t="s">
        <v>42</v>
      </c>
      <c r="D505" s="53" t="str">
        <f t="array" ref="D505">index('Match Sched'!$C$3:$H753,match(B505,'Match Sched'!$A$3:$A753,0),if(mod(A505,6)=0,6,mod(A505,6)),0)</f>
        <v/>
      </c>
      <c r="E505" s="54"/>
      <c r="F505" s="55"/>
      <c r="G505" s="67"/>
      <c r="H505" s="67"/>
      <c r="I505" s="67"/>
      <c r="J505" s="67"/>
      <c r="K505" s="67"/>
      <c r="L505" s="67"/>
      <c r="M505" s="60"/>
      <c r="N505" s="57" t="str">
        <f>if(counta(E505:K505)&gt;0,SUM(I505:I507)+1, )</f>
        <v/>
      </c>
      <c r="O505" s="59" t="str">
        <f>if ( isblank (E505), E505, E505 + F505*'Control PanelOur Matches'!$K$2 + G505*5 + H505*(1/3) + I505*'Control PanelOur Matches'!$M$2 + J505*50)</f>
        <v/>
      </c>
      <c r="P505" s="59" t="str">
        <f t="shared" si="2"/>
        <v/>
      </c>
      <c r="Q505" s="60" t="str">
        <f t="shared" si="3"/>
        <v>no</v>
      </c>
      <c r="R505" s="60" t="str">
        <f t="shared" si="4"/>
        <v/>
      </c>
    </row>
    <row r="506" ht="15.0" customHeight="1">
      <c r="A506" s="65">
        <v>503.0</v>
      </c>
      <c r="B506" s="66">
        <v>84.0</v>
      </c>
      <c r="C506" s="52" t="s">
        <v>43</v>
      </c>
      <c r="D506" s="53" t="str">
        <f t="array" ref="D506">index('Match Sched'!$C$3:$H753,match(B506,'Match Sched'!$A$3:$A753,0),if(mod(A506,6)=0,6,mod(A506,6)),0)</f>
        <v/>
      </c>
      <c r="E506" s="54"/>
      <c r="F506" s="55"/>
      <c r="G506" s="67"/>
      <c r="H506" s="67"/>
      <c r="I506" s="67"/>
      <c r="J506" s="67"/>
      <c r="K506" s="67"/>
      <c r="L506" s="67"/>
      <c r="M506" s="60"/>
      <c r="N506" s="57" t="str">
        <f>N505</f>
        <v/>
      </c>
      <c r="O506" s="59" t="str">
        <f>if ( isblank (E506), E506, E506 + F506*'Control PanelOur Matches'!$K$2 + G506*5 + H506*(1/3) + I506*'Control PanelOur Matches'!$M$2 + J506*50)</f>
        <v/>
      </c>
      <c r="P506" s="59" t="str">
        <f t="shared" si="2"/>
        <v/>
      </c>
      <c r="Q506" s="60" t="str">
        <f t="shared" si="3"/>
        <v>no</v>
      </c>
      <c r="R506" s="60" t="str">
        <f t="shared" si="4"/>
        <v/>
      </c>
    </row>
    <row r="507" ht="15.0" customHeight="1">
      <c r="A507" s="65">
        <v>504.0</v>
      </c>
      <c r="B507" s="66">
        <v>84.0</v>
      </c>
      <c r="C507" s="68" t="s">
        <v>44</v>
      </c>
      <c r="D507" s="53" t="str">
        <f t="array" ref="D507">index('Match Sched'!$C$3:$H753,match(B507,'Match Sched'!$A$3:$A753,0),if(mod(A507,6)=0,6,mod(A507,6)),0)</f>
        <v/>
      </c>
      <c r="E507" s="54"/>
      <c r="F507" s="55"/>
      <c r="G507" s="67"/>
      <c r="H507" s="67"/>
      <c r="I507" s="67"/>
      <c r="J507" s="67"/>
      <c r="K507" s="67"/>
      <c r="L507" s="67"/>
      <c r="M507" s="60"/>
      <c r="N507" s="57" t="str">
        <f>N505</f>
        <v/>
      </c>
      <c r="O507" s="59" t="str">
        <f>if ( isblank (E507), E507, E507 + F507*'Control PanelOur Matches'!$K$2 + G507*5 + H507*(1/3) + I507*'Control PanelOur Matches'!$M$2 + J507*50)</f>
        <v/>
      </c>
      <c r="P507" s="59" t="str">
        <f t="shared" si="2"/>
        <v/>
      </c>
      <c r="Q507" s="60" t="str">
        <f t="shared" si="3"/>
        <v>no</v>
      </c>
      <c r="R507" s="60" t="str">
        <f t="shared" si="4"/>
        <v/>
      </c>
    </row>
    <row r="508" ht="15.0" customHeight="1">
      <c r="A508" s="49">
        <v>505.0</v>
      </c>
      <c r="B508" s="50">
        <v>85.0</v>
      </c>
      <c r="C508" s="52" t="s">
        <v>39</v>
      </c>
      <c r="D508" s="53" t="str">
        <f t="array" ref="D508">index('Match Sched'!$C$3:$H753,match(B508,'Match Sched'!$A$3:$A753,0),if(mod(A508,6)=0,6,mod(A508,6)),0)</f>
        <v/>
      </c>
      <c r="E508" s="54"/>
      <c r="F508" s="55"/>
      <c r="G508" s="54"/>
      <c r="H508" s="54"/>
      <c r="I508" s="54"/>
      <c r="J508" s="54"/>
      <c r="K508" s="54"/>
      <c r="L508" s="54"/>
      <c r="M508" s="60"/>
      <c r="N508" s="57" t="str">
        <f>if(counta(E508:K508)&gt;0,SUM(I508:I510)+1, )</f>
        <v/>
      </c>
      <c r="O508" s="59" t="str">
        <f>if ( isblank (E508), E508, E508 + F508*'Control PanelOur Matches'!$K$2 + G508*5 + H508*(1/3) + I508*'Control PanelOur Matches'!$M$2 + J508*50)</f>
        <v/>
      </c>
      <c r="P508" s="59" t="str">
        <f t="shared" si="2"/>
        <v/>
      </c>
      <c r="Q508" s="60" t="str">
        <f t="shared" si="3"/>
        <v>no</v>
      </c>
      <c r="R508" s="60" t="str">
        <f t="shared" si="4"/>
        <v/>
      </c>
    </row>
    <row r="509" ht="15.0" customHeight="1">
      <c r="A509" s="49">
        <v>506.0</v>
      </c>
      <c r="B509" s="50">
        <v>85.0</v>
      </c>
      <c r="C509" s="52" t="s">
        <v>40</v>
      </c>
      <c r="D509" s="53" t="str">
        <f t="array" ref="D509">index('Match Sched'!$C$3:$H753,match(B509,'Match Sched'!$A$3:$A753,0),if(mod(A509,6)=0,6,mod(A509,6)),0)</f>
        <v/>
      </c>
      <c r="E509" s="54"/>
      <c r="F509" s="55"/>
      <c r="G509" s="54"/>
      <c r="H509" s="54"/>
      <c r="I509" s="54"/>
      <c r="J509" s="54"/>
      <c r="K509" s="54"/>
      <c r="L509" s="54"/>
      <c r="M509" s="60"/>
      <c r="N509" s="57" t="str">
        <f>N508</f>
        <v/>
      </c>
      <c r="O509" s="59" t="str">
        <f>if ( isblank (E509), E509, E509 + F509*'Control PanelOur Matches'!$K$2 + G509*5 + H509*(1/3) + I509*'Control PanelOur Matches'!$M$2 + J509*50)</f>
        <v/>
      </c>
      <c r="P509" s="59" t="str">
        <f t="shared" si="2"/>
        <v/>
      </c>
      <c r="Q509" s="60" t="str">
        <f t="shared" si="3"/>
        <v>no</v>
      </c>
      <c r="R509" s="60" t="str">
        <f t="shared" si="4"/>
        <v/>
      </c>
    </row>
    <row r="510" ht="15.0" customHeight="1">
      <c r="A510" s="49">
        <v>507.0</v>
      </c>
      <c r="B510" s="50">
        <v>85.0</v>
      </c>
      <c r="C510" s="52" t="s">
        <v>41</v>
      </c>
      <c r="D510" s="53" t="str">
        <f t="array" ref="D510">index('Match Sched'!$C$3:$H753,match(B510,'Match Sched'!$A$3:$A753,0),if(mod(A510,6)=0,6,mod(A510,6)),0)</f>
        <v/>
      </c>
      <c r="E510" s="54"/>
      <c r="F510" s="55"/>
      <c r="G510" s="54"/>
      <c r="H510" s="54"/>
      <c r="I510" s="54"/>
      <c r="J510" s="54"/>
      <c r="K510" s="54"/>
      <c r="L510" s="54"/>
      <c r="M510" s="60"/>
      <c r="N510" s="57" t="str">
        <f>N508</f>
        <v/>
      </c>
      <c r="O510" s="59" t="str">
        <f>if ( isblank (E510), E510, E510 + F510*'Control PanelOur Matches'!$K$2 + G510*5 + H510*(1/3) + I510*'Control PanelOur Matches'!$M$2 + J510*50)</f>
        <v/>
      </c>
      <c r="P510" s="59" t="str">
        <f t="shared" si="2"/>
        <v/>
      </c>
      <c r="Q510" s="60" t="str">
        <f t="shared" si="3"/>
        <v>no</v>
      </c>
      <c r="R510" s="60" t="str">
        <f t="shared" si="4"/>
        <v/>
      </c>
    </row>
    <row r="511" ht="15.0" customHeight="1">
      <c r="A511" s="49">
        <v>508.0</v>
      </c>
      <c r="B511" s="50">
        <v>85.0</v>
      </c>
      <c r="C511" s="52" t="s">
        <v>42</v>
      </c>
      <c r="D511" s="53" t="str">
        <f t="array" ref="D511">index('Match Sched'!$C$3:$H753,match(B511,'Match Sched'!$A$3:$A753,0),if(mod(A511,6)=0,6,mod(A511,6)),0)</f>
        <v/>
      </c>
      <c r="E511" s="54"/>
      <c r="F511" s="55"/>
      <c r="G511" s="54"/>
      <c r="H511" s="54"/>
      <c r="I511" s="54"/>
      <c r="J511" s="54"/>
      <c r="K511" s="54"/>
      <c r="L511" s="54"/>
      <c r="M511" s="60"/>
      <c r="N511" s="57" t="str">
        <f>if(counta(E511:K511)&gt;0,SUM(I511:I513)+1, )</f>
        <v/>
      </c>
      <c r="O511" s="59" t="str">
        <f>if ( isblank (E511), E511, E511 + F511*'Control PanelOur Matches'!$K$2 + G511*5 + H511*(1/3) + I511*'Control PanelOur Matches'!$M$2 + J511*50)</f>
        <v/>
      </c>
      <c r="P511" s="59" t="str">
        <f t="shared" si="2"/>
        <v/>
      </c>
      <c r="Q511" s="60" t="str">
        <f t="shared" si="3"/>
        <v>no</v>
      </c>
      <c r="R511" s="60" t="str">
        <f t="shared" si="4"/>
        <v/>
      </c>
    </row>
    <row r="512" ht="15.0" customHeight="1">
      <c r="A512" s="49">
        <v>509.0</v>
      </c>
      <c r="B512" s="50">
        <v>85.0</v>
      </c>
      <c r="C512" s="52" t="s">
        <v>43</v>
      </c>
      <c r="D512" s="53" t="str">
        <f t="array" ref="D512">index('Match Sched'!$C$3:$H753,match(B512,'Match Sched'!$A$3:$A753,0),if(mod(A512,6)=0,6,mod(A512,6)),0)</f>
        <v/>
      </c>
      <c r="E512" s="54"/>
      <c r="F512" s="55"/>
      <c r="G512" s="54"/>
      <c r="H512" s="54"/>
      <c r="I512" s="54"/>
      <c r="J512" s="54"/>
      <c r="K512" s="54"/>
      <c r="L512" s="54"/>
      <c r="M512" s="60"/>
      <c r="N512" s="57" t="str">
        <f>N511</f>
        <v/>
      </c>
      <c r="O512" s="59" t="str">
        <f>if ( isblank (E512), E512, E512 + F512*'Control PanelOur Matches'!$K$2 + G512*5 + H512*(1/3) + I512*'Control PanelOur Matches'!$M$2 + J512*50)</f>
        <v/>
      </c>
      <c r="P512" s="59" t="str">
        <f t="shared" si="2"/>
        <v/>
      </c>
      <c r="Q512" s="60" t="str">
        <f t="shared" si="3"/>
        <v>no</v>
      </c>
      <c r="R512" s="60" t="str">
        <f t="shared" si="4"/>
        <v/>
      </c>
    </row>
    <row r="513" ht="15.0" customHeight="1">
      <c r="A513" s="49">
        <v>510.0</v>
      </c>
      <c r="B513" s="50">
        <v>85.0</v>
      </c>
      <c r="C513" s="52" t="s">
        <v>44</v>
      </c>
      <c r="D513" s="53" t="str">
        <f t="array" ref="D513">index('Match Sched'!$C$3:$H753,match(B513,'Match Sched'!$A$3:$A753,0),if(mod(A513,6)=0,6,mod(A513,6)),0)</f>
        <v/>
      </c>
      <c r="E513" s="54"/>
      <c r="F513" s="55"/>
      <c r="G513" s="54"/>
      <c r="H513" s="54"/>
      <c r="I513" s="54"/>
      <c r="J513" s="54"/>
      <c r="K513" s="54"/>
      <c r="L513" s="54"/>
      <c r="M513" s="60"/>
      <c r="N513" s="57" t="str">
        <f>N511</f>
        <v/>
      </c>
      <c r="O513" s="59" t="str">
        <f>if ( isblank (E513), E513, E513 + F513*'Control PanelOur Matches'!$K$2 + G513*5 + H513*(1/3) + I513*'Control PanelOur Matches'!$M$2 + J513*50)</f>
        <v/>
      </c>
      <c r="P513" s="59" t="str">
        <f t="shared" si="2"/>
        <v/>
      </c>
      <c r="Q513" s="60" t="str">
        <f t="shared" si="3"/>
        <v>no</v>
      </c>
      <c r="R513" s="60" t="str">
        <f t="shared" si="4"/>
        <v/>
      </c>
    </row>
    <row r="514" ht="15.0" customHeight="1">
      <c r="A514" s="65">
        <v>511.0</v>
      </c>
      <c r="B514" s="66">
        <v>86.0</v>
      </c>
      <c r="C514" s="52" t="s">
        <v>39</v>
      </c>
      <c r="D514" s="53" t="str">
        <f t="array" ref="D514">index('Match Sched'!$C$3:$H753,match(B514,'Match Sched'!$A$3:$A753,0),if(mod(A514,6)=0,6,mod(A514,6)),0)</f>
        <v/>
      </c>
      <c r="E514" s="54"/>
      <c r="F514" s="55"/>
      <c r="G514" s="67"/>
      <c r="H514" s="67"/>
      <c r="I514" s="67"/>
      <c r="J514" s="67"/>
      <c r="K514" s="67"/>
      <c r="L514" s="67"/>
      <c r="M514" s="60"/>
      <c r="N514" s="57" t="str">
        <f>if(counta(E514:K514)&gt;0,SUM(I514:I516)+1, )</f>
        <v/>
      </c>
      <c r="O514" s="59" t="str">
        <f>if ( isblank (E514), E514, E514 + F514*'Control PanelOur Matches'!$K$2 + G514*5 + H514*(1/3) + I514*'Control PanelOur Matches'!$M$2 + J514*50)</f>
        <v/>
      </c>
      <c r="P514" s="59" t="str">
        <f t="shared" si="2"/>
        <v/>
      </c>
      <c r="Q514" s="60" t="str">
        <f t="shared" si="3"/>
        <v>no</v>
      </c>
      <c r="R514" s="60" t="str">
        <f t="shared" si="4"/>
        <v/>
      </c>
    </row>
    <row r="515" ht="15.0" customHeight="1">
      <c r="A515" s="65">
        <v>512.0</v>
      </c>
      <c r="B515" s="66">
        <v>86.0</v>
      </c>
      <c r="C515" s="52" t="s">
        <v>40</v>
      </c>
      <c r="D515" s="53" t="str">
        <f t="array" ref="D515">index('Match Sched'!$C$3:$H753,match(B515,'Match Sched'!$A$3:$A753,0),if(mod(A515,6)=0,6,mod(A515,6)),0)</f>
        <v/>
      </c>
      <c r="E515" s="54"/>
      <c r="F515" s="55"/>
      <c r="G515" s="67"/>
      <c r="H515" s="67"/>
      <c r="I515" s="67"/>
      <c r="J515" s="67"/>
      <c r="K515" s="67"/>
      <c r="L515" s="67"/>
      <c r="M515" s="60"/>
      <c r="N515" s="57" t="str">
        <f>N514</f>
        <v/>
      </c>
      <c r="O515" s="59" t="str">
        <f>if ( isblank (E515), E515, E515 + F515*'Control PanelOur Matches'!$K$2 + G515*5 + H515*(1/3) + I515*'Control PanelOur Matches'!$M$2 + J515*50)</f>
        <v/>
      </c>
      <c r="P515" s="59" t="str">
        <f t="shared" si="2"/>
        <v/>
      </c>
      <c r="Q515" s="60" t="str">
        <f t="shared" si="3"/>
        <v>no</v>
      </c>
      <c r="R515" s="60" t="str">
        <f t="shared" si="4"/>
        <v/>
      </c>
    </row>
    <row r="516" ht="15.0" customHeight="1">
      <c r="A516" s="65">
        <v>513.0</v>
      </c>
      <c r="B516" s="66">
        <v>86.0</v>
      </c>
      <c r="C516" s="52" t="s">
        <v>41</v>
      </c>
      <c r="D516" s="53" t="str">
        <f t="array" ref="D516">index('Match Sched'!$C$3:$H753,match(B516,'Match Sched'!$A$3:$A753,0),if(mod(A516,6)=0,6,mod(A516,6)),0)</f>
        <v/>
      </c>
      <c r="E516" s="54"/>
      <c r="F516" s="55"/>
      <c r="G516" s="67"/>
      <c r="H516" s="67"/>
      <c r="I516" s="67"/>
      <c r="J516" s="67"/>
      <c r="K516" s="67"/>
      <c r="L516" s="67"/>
      <c r="M516" s="60"/>
      <c r="N516" s="57" t="str">
        <f>N514</f>
        <v/>
      </c>
      <c r="O516" s="59" t="str">
        <f>if ( isblank (E516), E516, E516 + F516*'Control PanelOur Matches'!$K$2 + G516*5 + H516*(1/3) + I516*'Control PanelOur Matches'!$M$2 + J516*50)</f>
        <v/>
      </c>
      <c r="P516" s="59" t="str">
        <f t="shared" si="2"/>
        <v/>
      </c>
      <c r="Q516" s="60" t="str">
        <f t="shared" si="3"/>
        <v>no</v>
      </c>
      <c r="R516" s="60" t="str">
        <f t="shared" si="4"/>
        <v/>
      </c>
    </row>
    <row r="517" ht="15.0" customHeight="1">
      <c r="A517" s="65">
        <v>514.0</v>
      </c>
      <c r="B517" s="66">
        <v>86.0</v>
      </c>
      <c r="C517" s="52" t="s">
        <v>42</v>
      </c>
      <c r="D517" s="53" t="str">
        <f t="array" ref="D517">index('Match Sched'!$C$3:$H753,match(B517,'Match Sched'!$A$3:$A753,0),if(mod(A517,6)=0,6,mod(A517,6)),0)</f>
        <v/>
      </c>
      <c r="E517" s="54"/>
      <c r="F517" s="55"/>
      <c r="G517" s="67"/>
      <c r="H517" s="67"/>
      <c r="I517" s="67"/>
      <c r="J517" s="67"/>
      <c r="K517" s="67"/>
      <c r="L517" s="67"/>
      <c r="M517" s="60"/>
      <c r="N517" s="57" t="str">
        <f>if(counta(E517:K517)&gt;0,SUM(I517:I519)+1, )</f>
        <v/>
      </c>
      <c r="O517" s="59" t="str">
        <f>if ( isblank (E517), E517, E517 + F517*'Control PanelOur Matches'!$K$2 + G517*5 + H517*(1/3) + I517*'Control PanelOur Matches'!$M$2 + J517*50)</f>
        <v/>
      </c>
      <c r="P517" s="59" t="str">
        <f t="shared" si="2"/>
        <v/>
      </c>
      <c r="Q517" s="60" t="str">
        <f t="shared" si="3"/>
        <v>no</v>
      </c>
      <c r="R517" s="60" t="str">
        <f t="shared" si="4"/>
        <v/>
      </c>
    </row>
    <row r="518" ht="15.0" customHeight="1">
      <c r="A518" s="65">
        <v>515.0</v>
      </c>
      <c r="B518" s="66">
        <v>86.0</v>
      </c>
      <c r="C518" s="52" t="s">
        <v>43</v>
      </c>
      <c r="D518" s="53" t="str">
        <f t="array" ref="D518">index('Match Sched'!$C$3:$H753,match(B518,'Match Sched'!$A$3:$A753,0),if(mod(A518,6)=0,6,mod(A518,6)),0)</f>
        <v/>
      </c>
      <c r="E518" s="54"/>
      <c r="F518" s="55"/>
      <c r="G518" s="67"/>
      <c r="H518" s="67"/>
      <c r="I518" s="67"/>
      <c r="J518" s="67"/>
      <c r="K518" s="67"/>
      <c r="L518" s="67"/>
      <c r="M518" s="60"/>
      <c r="N518" s="57" t="str">
        <f>N517</f>
        <v/>
      </c>
      <c r="O518" s="59" t="str">
        <f>if ( isblank (E518), E518, E518 + F518*'Control PanelOur Matches'!$K$2 + G518*5 + H518*(1/3) + I518*'Control PanelOur Matches'!$M$2 + J518*50)</f>
        <v/>
      </c>
      <c r="P518" s="59" t="str">
        <f t="shared" si="2"/>
        <v/>
      </c>
      <c r="Q518" s="60" t="str">
        <f t="shared" si="3"/>
        <v>no</v>
      </c>
      <c r="R518" s="60" t="str">
        <f t="shared" si="4"/>
        <v/>
      </c>
    </row>
    <row r="519" ht="15.0" customHeight="1">
      <c r="A519" s="65">
        <v>516.0</v>
      </c>
      <c r="B519" s="66">
        <v>86.0</v>
      </c>
      <c r="C519" s="68" t="s">
        <v>44</v>
      </c>
      <c r="D519" s="53" t="str">
        <f t="array" ref="D519">index('Match Sched'!$C$3:$H753,match(B519,'Match Sched'!$A$3:$A753,0),if(mod(A519,6)=0,6,mod(A519,6)),0)</f>
        <v/>
      </c>
      <c r="E519" s="54"/>
      <c r="F519" s="55"/>
      <c r="G519" s="67"/>
      <c r="H519" s="67"/>
      <c r="I519" s="67"/>
      <c r="J519" s="67"/>
      <c r="K519" s="67"/>
      <c r="L519" s="67"/>
      <c r="M519" s="60"/>
      <c r="N519" s="57" t="str">
        <f>N517</f>
        <v/>
      </c>
      <c r="O519" s="59" t="str">
        <f>if ( isblank (E519), E519, E519 + F519*'Control PanelOur Matches'!$K$2 + G519*5 + H519*(1/3) + I519*'Control PanelOur Matches'!$M$2 + J519*50)</f>
        <v/>
      </c>
      <c r="P519" s="59" t="str">
        <f t="shared" si="2"/>
        <v/>
      </c>
      <c r="Q519" s="60" t="str">
        <f t="shared" si="3"/>
        <v>no</v>
      </c>
      <c r="R519" s="60" t="str">
        <f t="shared" si="4"/>
        <v/>
      </c>
    </row>
    <row r="520" ht="15.0" customHeight="1">
      <c r="A520" s="49">
        <v>517.0</v>
      </c>
      <c r="B520" s="50">
        <v>87.0</v>
      </c>
      <c r="C520" s="52" t="s">
        <v>39</v>
      </c>
      <c r="D520" s="53" t="str">
        <f t="array" ref="D520">index('Match Sched'!$C$3:$H753,match(B520,'Match Sched'!$A$3:$A753,0),if(mod(A520,6)=0,6,mod(A520,6)),0)</f>
        <v/>
      </c>
      <c r="E520" s="54"/>
      <c r="F520" s="55"/>
      <c r="G520" s="54"/>
      <c r="H520" s="54"/>
      <c r="I520" s="54"/>
      <c r="J520" s="54"/>
      <c r="K520" s="54"/>
      <c r="L520" s="54"/>
      <c r="M520" s="60"/>
      <c r="N520" s="57" t="str">
        <f>if(counta(E520:K520)&gt;0,SUM(I520:I522)+1, )</f>
        <v/>
      </c>
      <c r="O520" s="59" t="str">
        <f>if ( isblank (E520), E520, E520 + F520*'Control PanelOur Matches'!$K$2 + G520*5 + H520*(1/3) + I520*'Control PanelOur Matches'!$M$2 + J520*50)</f>
        <v/>
      </c>
      <c r="P520" s="59" t="str">
        <f t="shared" si="2"/>
        <v/>
      </c>
      <c r="Q520" s="60" t="str">
        <f t="shared" si="3"/>
        <v>no</v>
      </c>
      <c r="R520" s="60" t="str">
        <f t="shared" si="4"/>
        <v/>
      </c>
    </row>
    <row r="521" ht="15.0" customHeight="1">
      <c r="A521" s="49">
        <v>518.0</v>
      </c>
      <c r="B521" s="50">
        <v>87.0</v>
      </c>
      <c r="C521" s="52" t="s">
        <v>40</v>
      </c>
      <c r="D521" s="53" t="str">
        <f t="array" ref="D521">index('Match Sched'!$C$3:$H753,match(B521,'Match Sched'!$A$3:$A753,0),if(mod(A521,6)=0,6,mod(A521,6)),0)</f>
        <v/>
      </c>
      <c r="E521" s="54"/>
      <c r="F521" s="55"/>
      <c r="G521" s="54"/>
      <c r="H521" s="54"/>
      <c r="I521" s="54"/>
      <c r="J521" s="54"/>
      <c r="K521" s="54"/>
      <c r="L521" s="54"/>
      <c r="M521" s="60"/>
      <c r="N521" s="57" t="str">
        <f>N520</f>
        <v/>
      </c>
      <c r="O521" s="59" t="str">
        <f>if ( isblank (E521), E521, E521 + F521*'Control PanelOur Matches'!$K$2 + G521*5 + H521*(1/3) + I521*'Control PanelOur Matches'!$M$2 + J521*50)</f>
        <v/>
      </c>
      <c r="P521" s="59" t="str">
        <f t="shared" si="2"/>
        <v/>
      </c>
      <c r="Q521" s="60" t="str">
        <f t="shared" si="3"/>
        <v>no</v>
      </c>
      <c r="R521" s="60" t="str">
        <f t="shared" si="4"/>
        <v/>
      </c>
    </row>
    <row r="522" ht="15.0" customHeight="1">
      <c r="A522" s="49">
        <v>519.0</v>
      </c>
      <c r="B522" s="50">
        <v>87.0</v>
      </c>
      <c r="C522" s="52" t="s">
        <v>41</v>
      </c>
      <c r="D522" s="53" t="str">
        <f t="array" ref="D522">index('Match Sched'!$C$3:$H753,match(B522,'Match Sched'!$A$3:$A753,0),if(mod(A522,6)=0,6,mod(A522,6)),0)</f>
        <v/>
      </c>
      <c r="E522" s="54"/>
      <c r="F522" s="55"/>
      <c r="G522" s="54"/>
      <c r="H522" s="54"/>
      <c r="I522" s="54"/>
      <c r="J522" s="54"/>
      <c r="K522" s="54"/>
      <c r="L522" s="54"/>
      <c r="M522" s="60"/>
      <c r="N522" s="57" t="str">
        <f>N520</f>
        <v/>
      </c>
      <c r="O522" s="59" t="str">
        <f>if ( isblank (E522), E522, E522 + F522*'Control PanelOur Matches'!$K$2 + G522*5 + H522*(1/3) + I522*'Control PanelOur Matches'!$M$2 + J522*50)</f>
        <v/>
      </c>
      <c r="P522" s="59" t="str">
        <f t="shared" si="2"/>
        <v/>
      </c>
      <c r="Q522" s="60" t="str">
        <f t="shared" si="3"/>
        <v>no</v>
      </c>
      <c r="R522" s="60" t="str">
        <f t="shared" si="4"/>
        <v/>
      </c>
    </row>
    <row r="523" ht="15.0" customHeight="1">
      <c r="A523" s="49">
        <v>520.0</v>
      </c>
      <c r="B523" s="50">
        <v>87.0</v>
      </c>
      <c r="C523" s="52" t="s">
        <v>42</v>
      </c>
      <c r="D523" s="53" t="str">
        <f t="array" ref="D523">index('Match Sched'!$C$3:$H753,match(B523,'Match Sched'!$A$3:$A753,0),if(mod(A523,6)=0,6,mod(A523,6)),0)</f>
        <v/>
      </c>
      <c r="E523" s="54"/>
      <c r="F523" s="55"/>
      <c r="G523" s="54"/>
      <c r="H523" s="54"/>
      <c r="I523" s="54"/>
      <c r="J523" s="54"/>
      <c r="K523" s="54"/>
      <c r="L523" s="54"/>
      <c r="M523" s="60"/>
      <c r="N523" s="57" t="str">
        <f>if(counta(E523:K523)&gt;0,SUM(I523:I525)+1, )</f>
        <v/>
      </c>
      <c r="O523" s="59" t="str">
        <f>if ( isblank (E523), E523, E523 + F523*'Control PanelOur Matches'!$K$2 + G523*5 + H523*(1/3) + I523*'Control PanelOur Matches'!$M$2 + J523*50)</f>
        <v/>
      </c>
      <c r="P523" s="59" t="str">
        <f t="shared" si="2"/>
        <v/>
      </c>
      <c r="Q523" s="60" t="str">
        <f t="shared" si="3"/>
        <v>no</v>
      </c>
      <c r="R523" s="60" t="str">
        <f t="shared" si="4"/>
        <v/>
      </c>
    </row>
    <row r="524" ht="15.0" customHeight="1">
      <c r="A524" s="49">
        <v>521.0</v>
      </c>
      <c r="B524" s="50">
        <v>87.0</v>
      </c>
      <c r="C524" s="52" t="s">
        <v>43</v>
      </c>
      <c r="D524" s="53" t="str">
        <f t="array" ref="D524">index('Match Sched'!$C$3:$H753,match(B524,'Match Sched'!$A$3:$A753,0),if(mod(A524,6)=0,6,mod(A524,6)),0)</f>
        <v/>
      </c>
      <c r="E524" s="54"/>
      <c r="F524" s="55"/>
      <c r="G524" s="54"/>
      <c r="H524" s="54"/>
      <c r="I524" s="54"/>
      <c r="J524" s="54"/>
      <c r="K524" s="54"/>
      <c r="L524" s="54"/>
      <c r="M524" s="60"/>
      <c r="N524" s="57" t="str">
        <f>N523</f>
        <v/>
      </c>
      <c r="O524" s="59" t="str">
        <f>if ( isblank (E524), E524, E524 + F524*'Control PanelOur Matches'!$K$2 + G524*5 + H524*(1/3) + I524*'Control PanelOur Matches'!$M$2 + J524*50)</f>
        <v/>
      </c>
      <c r="P524" s="59" t="str">
        <f t="shared" si="2"/>
        <v/>
      </c>
      <c r="Q524" s="60" t="str">
        <f t="shared" si="3"/>
        <v>no</v>
      </c>
      <c r="R524" s="60" t="str">
        <f t="shared" si="4"/>
        <v/>
      </c>
    </row>
    <row r="525" ht="15.0" customHeight="1">
      <c r="A525" s="49">
        <v>522.0</v>
      </c>
      <c r="B525" s="50">
        <v>87.0</v>
      </c>
      <c r="C525" s="52" t="s">
        <v>44</v>
      </c>
      <c r="D525" s="53" t="str">
        <f t="array" ref="D525">index('Match Sched'!$C$3:$H753,match(B525,'Match Sched'!$A$3:$A753,0),if(mod(A525,6)=0,6,mod(A525,6)),0)</f>
        <v/>
      </c>
      <c r="E525" s="54"/>
      <c r="F525" s="55"/>
      <c r="G525" s="54"/>
      <c r="H525" s="54"/>
      <c r="I525" s="54"/>
      <c r="J525" s="54"/>
      <c r="K525" s="54"/>
      <c r="L525" s="54"/>
      <c r="M525" s="60"/>
      <c r="N525" s="57" t="str">
        <f>N523</f>
        <v/>
      </c>
      <c r="O525" s="59" t="str">
        <f>if ( isblank (E525), E525, E525 + F525*'Control PanelOur Matches'!$K$2 + G525*5 + H525*(1/3) + I525*'Control PanelOur Matches'!$M$2 + J525*50)</f>
        <v/>
      </c>
      <c r="P525" s="59" t="str">
        <f t="shared" si="2"/>
        <v/>
      </c>
      <c r="Q525" s="60" t="str">
        <f t="shared" si="3"/>
        <v>no</v>
      </c>
      <c r="R525" s="60" t="str">
        <f t="shared" si="4"/>
        <v/>
      </c>
    </row>
    <row r="526" ht="15.0" customHeight="1">
      <c r="A526" s="65">
        <v>523.0</v>
      </c>
      <c r="B526" s="66">
        <v>88.0</v>
      </c>
      <c r="C526" s="52" t="s">
        <v>39</v>
      </c>
      <c r="D526" s="53" t="str">
        <f t="array" ref="D526">index('Match Sched'!$C$3:$H753,match(B526,'Match Sched'!$A$3:$A753,0),if(mod(A526,6)=0,6,mod(A526,6)),0)</f>
        <v/>
      </c>
      <c r="E526" s="54"/>
      <c r="F526" s="55"/>
      <c r="G526" s="67"/>
      <c r="H526" s="67"/>
      <c r="I526" s="67"/>
      <c r="J526" s="67"/>
      <c r="K526" s="67"/>
      <c r="L526" s="67"/>
      <c r="M526" s="60"/>
      <c r="N526" s="57" t="str">
        <f>if(counta(E526:K526)&gt;0,SUM(I526:I528)+1, )</f>
        <v/>
      </c>
      <c r="O526" s="59" t="str">
        <f>if ( isblank (E526), E526, E526 + F526*'Control PanelOur Matches'!$K$2 + G526*5 + H526*(1/3) + I526*'Control PanelOur Matches'!$M$2 + J526*50)</f>
        <v/>
      </c>
      <c r="P526" s="59" t="str">
        <f t="shared" si="2"/>
        <v/>
      </c>
      <c r="Q526" s="60" t="str">
        <f t="shared" si="3"/>
        <v>no</v>
      </c>
      <c r="R526" s="60" t="str">
        <f t="shared" si="4"/>
        <v/>
      </c>
    </row>
    <row r="527" ht="15.0" customHeight="1">
      <c r="A527" s="65">
        <v>524.0</v>
      </c>
      <c r="B527" s="66">
        <v>88.0</v>
      </c>
      <c r="C527" s="69" t="s">
        <v>40</v>
      </c>
      <c r="D527" s="53" t="str">
        <f t="array" ref="D527">index('Match Sched'!$C$3:$H753,match(B527,'Match Sched'!$A$3:$A753,0),if(mod(A527,6)=0,6,mod(A527,6)),0)</f>
        <v/>
      </c>
      <c r="E527" s="54"/>
      <c r="F527" s="55"/>
      <c r="G527" s="67"/>
      <c r="H527" s="67"/>
      <c r="I527" s="67"/>
      <c r="J527" s="67"/>
      <c r="K527" s="67"/>
      <c r="L527" s="67"/>
      <c r="M527" s="60"/>
      <c r="N527" s="57" t="str">
        <f>N526</f>
        <v/>
      </c>
      <c r="O527" s="59" t="str">
        <f>if ( isblank (E527), E527, E527 + F527*'Control PanelOur Matches'!$K$2 + G527*5 + H527*(1/3) + I527*'Control PanelOur Matches'!$M$2 + J527*50)</f>
        <v/>
      </c>
      <c r="P527" s="59" t="str">
        <f t="shared" si="2"/>
        <v/>
      </c>
      <c r="Q527" s="60" t="str">
        <f t="shared" si="3"/>
        <v>no</v>
      </c>
      <c r="R527" s="60" t="str">
        <f t="shared" si="4"/>
        <v/>
      </c>
    </row>
    <row r="528" ht="15.0" customHeight="1">
      <c r="A528" s="65">
        <v>525.0</v>
      </c>
      <c r="B528" s="66">
        <v>88.0</v>
      </c>
      <c r="C528" s="52" t="s">
        <v>41</v>
      </c>
      <c r="D528" s="53" t="str">
        <f t="array" ref="D528">index('Match Sched'!$C$3:$H753,match(B528,'Match Sched'!$A$3:$A753,0),if(mod(A528,6)=0,6,mod(A528,6)),0)</f>
        <v/>
      </c>
      <c r="E528" s="54"/>
      <c r="F528" s="55"/>
      <c r="G528" s="67"/>
      <c r="H528" s="67"/>
      <c r="I528" s="67"/>
      <c r="J528" s="67"/>
      <c r="K528" s="67"/>
      <c r="L528" s="67"/>
      <c r="M528" s="60"/>
      <c r="N528" s="57" t="str">
        <f>N526</f>
        <v/>
      </c>
      <c r="O528" s="59" t="str">
        <f>if ( isblank (E528), E528, E528 + F528*'Control PanelOur Matches'!$K$2 + G528*5 + H528*(1/3) + I528*'Control PanelOur Matches'!$M$2 + J528*50)</f>
        <v/>
      </c>
      <c r="P528" s="59" t="str">
        <f t="shared" si="2"/>
        <v/>
      </c>
      <c r="Q528" s="60" t="str">
        <f t="shared" si="3"/>
        <v>no</v>
      </c>
      <c r="R528" s="60" t="str">
        <f t="shared" si="4"/>
        <v/>
      </c>
    </row>
    <row r="529" ht="15.0" customHeight="1">
      <c r="A529" s="65">
        <v>526.0</v>
      </c>
      <c r="B529" s="66">
        <v>88.0</v>
      </c>
      <c r="C529" s="52" t="s">
        <v>42</v>
      </c>
      <c r="D529" s="53" t="str">
        <f t="array" ref="D529">index('Match Sched'!$C$3:$H753,match(B529,'Match Sched'!$A$3:$A753,0),if(mod(A529,6)=0,6,mod(A529,6)),0)</f>
        <v/>
      </c>
      <c r="E529" s="54"/>
      <c r="F529" s="55"/>
      <c r="G529" s="67"/>
      <c r="H529" s="67"/>
      <c r="I529" s="67"/>
      <c r="J529" s="67"/>
      <c r="K529" s="67"/>
      <c r="L529" s="67"/>
      <c r="M529" s="60"/>
      <c r="N529" s="57" t="str">
        <f>if(counta(E529:K529)&gt;0,SUM(I529:I531)+1, )</f>
        <v/>
      </c>
      <c r="O529" s="59" t="str">
        <f>if ( isblank (E529), E529, E529 + F529*'Control PanelOur Matches'!$K$2 + G529*5 + H529*(1/3) + I529*'Control PanelOur Matches'!$M$2 + J529*50)</f>
        <v/>
      </c>
      <c r="P529" s="59" t="str">
        <f t="shared" si="2"/>
        <v/>
      </c>
      <c r="Q529" s="60" t="str">
        <f t="shared" si="3"/>
        <v>no</v>
      </c>
      <c r="R529" s="60" t="str">
        <f t="shared" si="4"/>
        <v/>
      </c>
    </row>
    <row r="530" ht="15.0" customHeight="1">
      <c r="A530" s="65">
        <v>527.0</v>
      </c>
      <c r="B530" s="66">
        <v>88.0</v>
      </c>
      <c r="C530" s="52" t="s">
        <v>43</v>
      </c>
      <c r="D530" s="53" t="str">
        <f t="array" ref="D530">index('Match Sched'!$C$3:$H753,match(B530,'Match Sched'!$A$3:$A753,0),if(mod(A530,6)=0,6,mod(A530,6)),0)</f>
        <v/>
      </c>
      <c r="E530" s="54"/>
      <c r="F530" s="55"/>
      <c r="G530" s="67"/>
      <c r="H530" s="67"/>
      <c r="I530" s="67"/>
      <c r="J530" s="67"/>
      <c r="K530" s="67"/>
      <c r="L530" s="67"/>
      <c r="M530" s="60"/>
      <c r="N530" s="57" t="str">
        <f>N529</f>
        <v/>
      </c>
      <c r="O530" s="59" t="str">
        <f>if ( isblank (E530), E530, E530 + F530*'Control PanelOur Matches'!$K$2 + G530*5 + H530*(1/3) + I530*'Control PanelOur Matches'!$M$2 + J530*50)</f>
        <v/>
      </c>
      <c r="P530" s="59" t="str">
        <f t="shared" si="2"/>
        <v/>
      </c>
      <c r="Q530" s="60" t="str">
        <f t="shared" si="3"/>
        <v>no</v>
      </c>
      <c r="R530" s="60" t="str">
        <f t="shared" si="4"/>
        <v/>
      </c>
    </row>
    <row r="531" ht="15.0" customHeight="1">
      <c r="A531" s="65">
        <v>528.0</v>
      </c>
      <c r="B531" s="66">
        <v>88.0</v>
      </c>
      <c r="C531" s="68" t="s">
        <v>44</v>
      </c>
      <c r="D531" s="53" t="str">
        <f t="array" ref="D531">index('Match Sched'!$C$3:$H753,match(B531,'Match Sched'!$A$3:$A753,0),if(mod(A531,6)=0,6,mod(A531,6)),0)</f>
        <v/>
      </c>
      <c r="E531" s="54"/>
      <c r="F531" s="55"/>
      <c r="G531" s="67"/>
      <c r="H531" s="67"/>
      <c r="I531" s="67"/>
      <c r="J531" s="67"/>
      <c r="K531" s="67"/>
      <c r="L531" s="67"/>
      <c r="M531" s="60"/>
      <c r="N531" s="57" t="str">
        <f>N529</f>
        <v/>
      </c>
      <c r="O531" s="59" t="str">
        <f>if ( isblank (E531), E531, E531 + F531*'Control PanelOur Matches'!$K$2 + G531*5 + H531*(1/3) + I531*'Control PanelOur Matches'!$M$2 + J531*50)</f>
        <v/>
      </c>
      <c r="P531" s="59" t="str">
        <f t="shared" si="2"/>
        <v/>
      </c>
      <c r="Q531" s="60" t="str">
        <f t="shared" si="3"/>
        <v>no</v>
      </c>
      <c r="R531" s="60" t="str">
        <f t="shared" si="4"/>
        <v/>
      </c>
    </row>
    <row r="532" ht="15.0" customHeight="1">
      <c r="A532" s="49">
        <v>529.0</v>
      </c>
      <c r="B532" s="50">
        <v>89.0</v>
      </c>
      <c r="C532" s="52" t="s">
        <v>39</v>
      </c>
      <c r="D532" s="53" t="str">
        <f t="array" ref="D532">index('Match Sched'!$C$3:$H753,match(B532,'Match Sched'!$A$3:$A753,0),if(mod(A532,6)=0,6,mod(A532,6)),0)</f>
        <v/>
      </c>
      <c r="E532" s="54"/>
      <c r="F532" s="55"/>
      <c r="G532" s="54"/>
      <c r="H532" s="54"/>
      <c r="I532" s="54"/>
      <c r="J532" s="54"/>
      <c r="K532" s="54"/>
      <c r="L532" s="54"/>
      <c r="M532" s="60"/>
      <c r="N532" s="57" t="str">
        <f>if(counta(E532:K532)&gt;0,SUM(I532:I534)+1, )</f>
        <v/>
      </c>
      <c r="O532" s="59" t="str">
        <f>if ( isblank (E532), E532, E532 + F532*'Control PanelOur Matches'!$K$2 + G532*5 + H532*(1/3) + I532*'Control PanelOur Matches'!$M$2 + J532*50)</f>
        <v/>
      </c>
      <c r="P532" s="59" t="str">
        <f t="shared" si="2"/>
        <v/>
      </c>
      <c r="Q532" s="60" t="str">
        <f t="shared" si="3"/>
        <v>no</v>
      </c>
      <c r="R532" s="60" t="str">
        <f t="shared" si="4"/>
        <v/>
      </c>
    </row>
    <row r="533" ht="15.0" customHeight="1">
      <c r="A533" s="49">
        <v>530.0</v>
      </c>
      <c r="B533" s="50">
        <v>89.0</v>
      </c>
      <c r="C533" s="52" t="s">
        <v>40</v>
      </c>
      <c r="D533" s="53" t="str">
        <f t="array" ref="D533">index('Match Sched'!$C$3:$H753,match(B533,'Match Sched'!$A$3:$A753,0),if(mod(A533,6)=0,6,mod(A533,6)),0)</f>
        <v/>
      </c>
      <c r="E533" s="54"/>
      <c r="F533" s="55"/>
      <c r="G533" s="54"/>
      <c r="H533" s="54"/>
      <c r="I533" s="54"/>
      <c r="J533" s="54"/>
      <c r="K533" s="54"/>
      <c r="L533" s="54"/>
      <c r="M533" s="60"/>
      <c r="N533" s="57" t="str">
        <f>N532</f>
        <v/>
      </c>
      <c r="O533" s="59" t="str">
        <f>if ( isblank (E533), E533, E533 + F533*'Control PanelOur Matches'!$K$2 + G533*5 + H533*(1/3) + I533*'Control PanelOur Matches'!$M$2 + J533*50)</f>
        <v/>
      </c>
      <c r="P533" s="59" t="str">
        <f t="shared" si="2"/>
        <v/>
      </c>
      <c r="Q533" s="60" t="str">
        <f t="shared" si="3"/>
        <v>no</v>
      </c>
      <c r="R533" s="60" t="str">
        <f t="shared" si="4"/>
        <v/>
      </c>
    </row>
    <row r="534" ht="15.0" customHeight="1">
      <c r="A534" s="49">
        <v>531.0</v>
      </c>
      <c r="B534" s="50">
        <v>89.0</v>
      </c>
      <c r="C534" s="52" t="s">
        <v>41</v>
      </c>
      <c r="D534" s="53" t="str">
        <f t="array" ref="D534">index('Match Sched'!$C$3:$H753,match(B534,'Match Sched'!$A$3:$A753,0),if(mod(A534,6)=0,6,mod(A534,6)),0)</f>
        <v/>
      </c>
      <c r="E534" s="54"/>
      <c r="F534" s="55"/>
      <c r="G534" s="54"/>
      <c r="H534" s="54"/>
      <c r="I534" s="54"/>
      <c r="J534" s="54"/>
      <c r="K534" s="54"/>
      <c r="L534" s="54"/>
      <c r="M534" s="60"/>
      <c r="N534" s="57" t="str">
        <f>N532</f>
        <v/>
      </c>
      <c r="O534" s="59" t="str">
        <f>if ( isblank (E534), E534, E534 + F534*'Control PanelOur Matches'!$K$2 + G534*5 + H534*(1/3) + I534*'Control PanelOur Matches'!$M$2 + J534*50)</f>
        <v/>
      </c>
      <c r="P534" s="59" t="str">
        <f t="shared" si="2"/>
        <v/>
      </c>
      <c r="Q534" s="60" t="str">
        <f t="shared" si="3"/>
        <v>no</v>
      </c>
      <c r="R534" s="60" t="str">
        <f t="shared" si="4"/>
        <v/>
      </c>
    </row>
    <row r="535" ht="15.0" customHeight="1">
      <c r="A535" s="49">
        <v>532.0</v>
      </c>
      <c r="B535" s="50">
        <v>89.0</v>
      </c>
      <c r="C535" s="52" t="s">
        <v>42</v>
      </c>
      <c r="D535" s="53" t="str">
        <f t="array" ref="D535">index('Match Sched'!$C$3:$H753,match(B535,'Match Sched'!$A$3:$A753,0),if(mod(A535,6)=0,6,mod(A535,6)),0)</f>
        <v/>
      </c>
      <c r="E535" s="54"/>
      <c r="F535" s="55"/>
      <c r="G535" s="54"/>
      <c r="H535" s="54"/>
      <c r="I535" s="54"/>
      <c r="J535" s="54"/>
      <c r="K535" s="54"/>
      <c r="L535" s="54"/>
      <c r="M535" s="60"/>
      <c r="N535" s="57" t="str">
        <f>if(counta(E535:K535)&gt;0,SUM(I535:I537)+1, )</f>
        <v/>
      </c>
      <c r="O535" s="59" t="str">
        <f>if ( isblank (E535), E535, E535 + F535*'Control PanelOur Matches'!$K$2 + G535*5 + H535*(1/3) + I535*'Control PanelOur Matches'!$M$2 + J535*50)</f>
        <v/>
      </c>
      <c r="P535" s="59" t="str">
        <f t="shared" si="2"/>
        <v/>
      </c>
      <c r="Q535" s="60" t="str">
        <f t="shared" si="3"/>
        <v>no</v>
      </c>
      <c r="R535" s="60" t="str">
        <f t="shared" si="4"/>
        <v/>
      </c>
    </row>
    <row r="536" ht="15.0" customHeight="1">
      <c r="A536" s="49">
        <v>533.0</v>
      </c>
      <c r="B536" s="50">
        <v>89.0</v>
      </c>
      <c r="C536" s="52" t="s">
        <v>43</v>
      </c>
      <c r="D536" s="53" t="str">
        <f t="array" ref="D536">index('Match Sched'!$C$3:$H753,match(B536,'Match Sched'!$A$3:$A753,0),if(mod(A536,6)=0,6,mod(A536,6)),0)</f>
        <v/>
      </c>
      <c r="E536" s="54"/>
      <c r="F536" s="55"/>
      <c r="G536" s="54"/>
      <c r="H536" s="54"/>
      <c r="I536" s="54"/>
      <c r="J536" s="54"/>
      <c r="K536" s="54"/>
      <c r="L536" s="54"/>
      <c r="M536" s="60"/>
      <c r="N536" s="57" t="str">
        <f>N535</f>
        <v/>
      </c>
      <c r="O536" s="59" t="str">
        <f>if ( isblank (E536), E536, E536 + F536*'Control PanelOur Matches'!$K$2 + G536*5 + H536*(1/3) + I536*'Control PanelOur Matches'!$M$2 + J536*50)</f>
        <v/>
      </c>
      <c r="P536" s="59" t="str">
        <f t="shared" si="2"/>
        <v/>
      </c>
      <c r="Q536" s="60" t="str">
        <f t="shared" si="3"/>
        <v>no</v>
      </c>
      <c r="R536" s="60" t="str">
        <f t="shared" si="4"/>
        <v/>
      </c>
    </row>
    <row r="537" ht="15.0" customHeight="1">
      <c r="A537" s="49">
        <v>534.0</v>
      </c>
      <c r="B537" s="50">
        <v>89.0</v>
      </c>
      <c r="C537" s="52" t="s">
        <v>44</v>
      </c>
      <c r="D537" s="53" t="str">
        <f t="array" ref="D537">index('Match Sched'!$C$3:$H753,match(B537,'Match Sched'!$A$3:$A753,0),if(mod(A537,6)=0,6,mod(A537,6)),0)</f>
        <v/>
      </c>
      <c r="E537" s="54"/>
      <c r="F537" s="55"/>
      <c r="G537" s="54"/>
      <c r="H537" s="54"/>
      <c r="I537" s="54"/>
      <c r="J537" s="54"/>
      <c r="K537" s="54"/>
      <c r="L537" s="54"/>
      <c r="M537" s="60"/>
      <c r="N537" s="57" t="str">
        <f>N535</f>
        <v/>
      </c>
      <c r="O537" s="59" t="str">
        <f>if ( isblank (E537), E537, E537 + F537*'Control PanelOur Matches'!$K$2 + G537*5 + H537*(1/3) + I537*'Control PanelOur Matches'!$M$2 + J537*50)</f>
        <v/>
      </c>
      <c r="P537" s="59" t="str">
        <f t="shared" si="2"/>
        <v/>
      </c>
      <c r="Q537" s="60" t="str">
        <f t="shared" si="3"/>
        <v>no</v>
      </c>
      <c r="R537" s="60" t="str">
        <f t="shared" si="4"/>
        <v/>
      </c>
    </row>
    <row r="538" ht="15.0" customHeight="1">
      <c r="A538" s="65">
        <v>535.0</v>
      </c>
      <c r="B538" s="66">
        <v>90.0</v>
      </c>
      <c r="C538" s="52" t="s">
        <v>39</v>
      </c>
      <c r="D538" s="53" t="str">
        <f t="array" ref="D538">index('Match Sched'!$C$3:$H753,match(B538,'Match Sched'!$A$3:$A753,0),if(mod(A538,6)=0,6,mod(A538,6)),0)</f>
        <v/>
      </c>
      <c r="E538" s="54"/>
      <c r="F538" s="55"/>
      <c r="G538" s="67"/>
      <c r="H538" s="67"/>
      <c r="I538" s="67"/>
      <c r="J538" s="67"/>
      <c r="K538" s="67"/>
      <c r="L538" s="67"/>
      <c r="M538" s="60"/>
      <c r="N538" s="57" t="str">
        <f>if(counta(E538:K538)&gt;0,SUM(I538:I540)+1, )</f>
        <v/>
      </c>
      <c r="O538" s="59" t="str">
        <f>if ( isblank (E538), E538, E538 + F538*'Control PanelOur Matches'!$K$2 + G538*5 + H538*(1/3) + I538*'Control PanelOur Matches'!$M$2 + J538*50)</f>
        <v/>
      </c>
      <c r="P538" s="59" t="str">
        <f t="shared" si="2"/>
        <v/>
      </c>
      <c r="Q538" s="60" t="str">
        <f t="shared" si="3"/>
        <v>no</v>
      </c>
      <c r="R538" s="60" t="str">
        <f t="shared" si="4"/>
        <v/>
      </c>
    </row>
    <row r="539" ht="15.0" customHeight="1">
      <c r="A539" s="65">
        <v>536.0</v>
      </c>
      <c r="B539" s="66">
        <v>90.0</v>
      </c>
      <c r="C539" s="52" t="s">
        <v>40</v>
      </c>
      <c r="D539" s="53" t="str">
        <f t="array" ref="D539">index('Match Sched'!$C$3:$H753,match(B539,'Match Sched'!$A$3:$A753,0),if(mod(A539,6)=0,6,mod(A539,6)),0)</f>
        <v/>
      </c>
      <c r="E539" s="54"/>
      <c r="F539" s="55"/>
      <c r="G539" s="67"/>
      <c r="H539" s="67"/>
      <c r="I539" s="67"/>
      <c r="J539" s="67"/>
      <c r="K539" s="67"/>
      <c r="L539" s="67"/>
      <c r="M539" s="60"/>
      <c r="N539" s="57" t="str">
        <f>N538</f>
        <v/>
      </c>
      <c r="O539" s="59" t="str">
        <f>if ( isblank (E539), E539, E539 + F539*'Control PanelOur Matches'!$K$2 + G539*5 + H539*(1/3) + I539*'Control PanelOur Matches'!$M$2 + J539*50)</f>
        <v/>
      </c>
      <c r="P539" s="59" t="str">
        <f t="shared" si="2"/>
        <v/>
      </c>
      <c r="Q539" s="60" t="str">
        <f t="shared" si="3"/>
        <v>no</v>
      </c>
      <c r="R539" s="60" t="str">
        <f t="shared" si="4"/>
        <v/>
      </c>
    </row>
    <row r="540" ht="15.0" customHeight="1">
      <c r="A540" s="65">
        <v>537.0</v>
      </c>
      <c r="B540" s="66">
        <v>90.0</v>
      </c>
      <c r="C540" s="52" t="s">
        <v>41</v>
      </c>
      <c r="D540" s="53" t="str">
        <f t="array" ref="D540">index('Match Sched'!$C$3:$H753,match(B540,'Match Sched'!$A$3:$A753,0),if(mod(A540,6)=0,6,mod(A540,6)),0)</f>
        <v/>
      </c>
      <c r="E540" s="54"/>
      <c r="F540" s="55"/>
      <c r="G540" s="67"/>
      <c r="H540" s="67"/>
      <c r="I540" s="67"/>
      <c r="J540" s="67"/>
      <c r="K540" s="67"/>
      <c r="L540" s="67"/>
      <c r="M540" s="60"/>
      <c r="N540" s="57" t="str">
        <f>N538</f>
        <v/>
      </c>
      <c r="O540" s="59" t="str">
        <f>if ( isblank (E540), E540, E540 + F540*'Control PanelOur Matches'!$K$2 + G540*5 + H540*(1/3) + I540*'Control PanelOur Matches'!$M$2 + J540*50)</f>
        <v/>
      </c>
      <c r="P540" s="59" t="str">
        <f t="shared" si="2"/>
        <v/>
      </c>
      <c r="Q540" s="60" t="str">
        <f t="shared" si="3"/>
        <v>no</v>
      </c>
      <c r="R540" s="60" t="str">
        <f t="shared" si="4"/>
        <v/>
      </c>
    </row>
    <row r="541" ht="15.0" customHeight="1">
      <c r="A541" s="65">
        <v>538.0</v>
      </c>
      <c r="B541" s="66">
        <v>90.0</v>
      </c>
      <c r="C541" s="52" t="s">
        <v>42</v>
      </c>
      <c r="D541" s="53" t="str">
        <f t="array" ref="D541">index('Match Sched'!$C$3:$H753,match(B541,'Match Sched'!$A$3:$A753,0),if(mod(A541,6)=0,6,mod(A541,6)),0)</f>
        <v/>
      </c>
      <c r="E541" s="54"/>
      <c r="F541" s="55"/>
      <c r="G541" s="67"/>
      <c r="H541" s="67"/>
      <c r="I541" s="67"/>
      <c r="J541" s="67"/>
      <c r="K541" s="67"/>
      <c r="L541" s="67"/>
      <c r="M541" s="60"/>
      <c r="N541" s="57" t="str">
        <f>if(counta(E541:K541)&gt;0,SUM(I541:I543)+1, )</f>
        <v/>
      </c>
      <c r="O541" s="59" t="str">
        <f>if ( isblank (E541), E541, E541 + F541*'Control PanelOur Matches'!$K$2 + G541*5 + H541*(1/3) + I541*'Control PanelOur Matches'!$M$2 + J541*50)</f>
        <v/>
      </c>
      <c r="P541" s="59" t="str">
        <f t="shared" si="2"/>
        <v/>
      </c>
      <c r="Q541" s="60" t="str">
        <f t="shared" si="3"/>
        <v>no</v>
      </c>
      <c r="R541" s="60" t="str">
        <f t="shared" si="4"/>
        <v/>
      </c>
    </row>
    <row r="542" ht="15.0" customHeight="1">
      <c r="A542" s="65">
        <v>539.0</v>
      </c>
      <c r="B542" s="66">
        <v>90.0</v>
      </c>
      <c r="C542" s="52" t="s">
        <v>43</v>
      </c>
      <c r="D542" s="53" t="str">
        <f t="array" ref="D542">index('Match Sched'!$C$3:$H753,match(B542,'Match Sched'!$A$3:$A753,0),if(mod(A542,6)=0,6,mod(A542,6)),0)</f>
        <v/>
      </c>
      <c r="E542" s="54"/>
      <c r="F542" s="55"/>
      <c r="G542" s="67"/>
      <c r="H542" s="67"/>
      <c r="I542" s="67"/>
      <c r="J542" s="67"/>
      <c r="K542" s="67"/>
      <c r="L542" s="67"/>
      <c r="M542" s="60"/>
      <c r="N542" s="57" t="str">
        <f>N541</f>
        <v/>
      </c>
      <c r="O542" s="59" t="str">
        <f>if ( isblank (E542), E542, E542 + F542*'Control PanelOur Matches'!$K$2 + G542*5 + H542*(1/3) + I542*'Control PanelOur Matches'!$M$2 + J542*50)</f>
        <v/>
      </c>
      <c r="P542" s="59" t="str">
        <f t="shared" si="2"/>
        <v/>
      </c>
      <c r="Q542" s="60" t="str">
        <f t="shared" si="3"/>
        <v>no</v>
      </c>
      <c r="R542" s="60" t="str">
        <f t="shared" si="4"/>
        <v/>
      </c>
    </row>
    <row r="543" ht="15.0" customHeight="1">
      <c r="A543" s="65">
        <v>540.0</v>
      </c>
      <c r="B543" s="66">
        <v>90.0</v>
      </c>
      <c r="C543" s="68" t="s">
        <v>44</v>
      </c>
      <c r="D543" s="53" t="str">
        <f t="array" ref="D543">index('Match Sched'!$C$3:$H753,match(B543,'Match Sched'!$A$3:$A753,0),if(mod(A543,6)=0,6,mod(A543,6)),0)</f>
        <v/>
      </c>
      <c r="E543" s="54"/>
      <c r="F543" s="55"/>
      <c r="G543" s="67"/>
      <c r="H543" s="67"/>
      <c r="I543" s="67"/>
      <c r="J543" s="67"/>
      <c r="K543" s="67"/>
      <c r="L543" s="67"/>
      <c r="M543" s="60"/>
      <c r="N543" s="57" t="str">
        <f>N541</f>
        <v/>
      </c>
      <c r="O543" s="59" t="str">
        <f>if ( isblank (E543), E543, E543 + F543*'Control PanelOur Matches'!$K$2 + G543*5 + H543*(1/3) + I543*'Control PanelOur Matches'!$M$2 + J543*50)</f>
        <v/>
      </c>
      <c r="P543" s="59" t="str">
        <f t="shared" si="2"/>
        <v/>
      </c>
      <c r="Q543" s="60" t="str">
        <f t="shared" si="3"/>
        <v>no</v>
      </c>
      <c r="R543" s="60" t="str">
        <f t="shared" si="4"/>
        <v/>
      </c>
    </row>
    <row r="544" ht="15.0" customHeight="1">
      <c r="A544" s="49">
        <v>541.0</v>
      </c>
      <c r="B544" s="50">
        <v>91.0</v>
      </c>
      <c r="C544" s="52" t="s">
        <v>39</v>
      </c>
      <c r="D544" s="53" t="str">
        <f t="array" ref="D544">index('Match Sched'!$C$3:$H753,match(B544,'Match Sched'!$A$3:$A753,0),if(mod(A544,6)=0,6,mod(A544,6)),0)</f>
        <v/>
      </c>
      <c r="E544" s="54"/>
      <c r="F544" s="55"/>
      <c r="G544" s="54"/>
      <c r="H544" s="54"/>
      <c r="I544" s="54"/>
      <c r="J544" s="54"/>
      <c r="K544" s="54"/>
      <c r="L544" s="54"/>
      <c r="M544" s="60"/>
      <c r="N544" s="57" t="str">
        <f>if(counta(E544:K544)&gt;0,SUM(I544:I546)+1, )</f>
        <v/>
      </c>
      <c r="O544" s="59" t="str">
        <f>if ( isblank (E544), E544, E544 + F544*'Control PanelOur Matches'!$K$2 + G544*5 + H544*(1/3) + I544*'Control PanelOur Matches'!$M$2 + J544*50)</f>
        <v/>
      </c>
      <c r="P544" s="59" t="str">
        <f t="shared" si="2"/>
        <v/>
      </c>
      <c r="Q544" s="60" t="str">
        <f t="shared" si="3"/>
        <v>no</v>
      </c>
      <c r="R544" s="60" t="str">
        <f t="shared" si="4"/>
        <v/>
      </c>
    </row>
    <row r="545" ht="15.0" customHeight="1">
      <c r="A545" s="49">
        <v>542.0</v>
      </c>
      <c r="B545" s="50">
        <v>91.0</v>
      </c>
      <c r="C545" s="52" t="s">
        <v>40</v>
      </c>
      <c r="D545" s="53" t="str">
        <f t="array" ref="D545">index('Match Sched'!$C$3:$H753,match(B545,'Match Sched'!$A$3:$A753,0),if(mod(A545,6)=0,6,mod(A545,6)),0)</f>
        <v/>
      </c>
      <c r="E545" s="54"/>
      <c r="F545" s="55"/>
      <c r="G545" s="54"/>
      <c r="H545" s="54"/>
      <c r="I545" s="54"/>
      <c r="J545" s="54"/>
      <c r="K545" s="54"/>
      <c r="L545" s="54"/>
      <c r="M545" s="60"/>
      <c r="N545" s="57" t="str">
        <f>N544</f>
        <v/>
      </c>
      <c r="O545" s="59" t="str">
        <f>if ( isblank (E545), E545, E545 + F545*'Control PanelOur Matches'!$K$2 + G545*5 + H545*(1/3) + I545*'Control PanelOur Matches'!$M$2 + J545*50)</f>
        <v/>
      </c>
      <c r="P545" s="59" t="str">
        <f t="shared" si="2"/>
        <v/>
      </c>
      <c r="Q545" s="60" t="str">
        <f t="shared" si="3"/>
        <v>no</v>
      </c>
      <c r="R545" s="60" t="str">
        <f t="shared" si="4"/>
        <v/>
      </c>
    </row>
    <row r="546" ht="15.0" customHeight="1">
      <c r="A546" s="49">
        <v>543.0</v>
      </c>
      <c r="B546" s="50">
        <v>91.0</v>
      </c>
      <c r="C546" s="52" t="s">
        <v>41</v>
      </c>
      <c r="D546" s="53" t="str">
        <f t="array" ref="D546">index('Match Sched'!$C$3:$H753,match(B546,'Match Sched'!$A$3:$A753,0),if(mod(A546,6)=0,6,mod(A546,6)),0)</f>
        <v/>
      </c>
      <c r="E546" s="54"/>
      <c r="F546" s="55"/>
      <c r="G546" s="54"/>
      <c r="H546" s="54"/>
      <c r="I546" s="54"/>
      <c r="J546" s="54"/>
      <c r="K546" s="54"/>
      <c r="L546" s="54"/>
      <c r="M546" s="60"/>
      <c r="N546" s="57" t="str">
        <f>N544</f>
        <v/>
      </c>
      <c r="O546" s="59" t="str">
        <f>if ( isblank (E546), E546, E546 + F546*'Control PanelOur Matches'!$K$2 + G546*5 + H546*(1/3) + I546*'Control PanelOur Matches'!$M$2 + J546*50)</f>
        <v/>
      </c>
      <c r="P546" s="59" t="str">
        <f t="shared" si="2"/>
        <v/>
      </c>
      <c r="Q546" s="60" t="str">
        <f t="shared" si="3"/>
        <v>no</v>
      </c>
      <c r="R546" s="60" t="str">
        <f t="shared" si="4"/>
        <v/>
      </c>
    </row>
    <row r="547" ht="15.0" customHeight="1">
      <c r="A547" s="49">
        <v>544.0</v>
      </c>
      <c r="B547" s="50">
        <v>91.0</v>
      </c>
      <c r="C547" s="52" t="s">
        <v>42</v>
      </c>
      <c r="D547" s="53" t="str">
        <f t="array" ref="D547">index('Match Sched'!$C$3:$H753,match(B547,'Match Sched'!$A$3:$A753,0),if(mod(A547,6)=0,6,mod(A547,6)),0)</f>
        <v/>
      </c>
      <c r="E547" s="54"/>
      <c r="F547" s="55"/>
      <c r="G547" s="54"/>
      <c r="H547" s="54"/>
      <c r="I547" s="54"/>
      <c r="J547" s="54"/>
      <c r="K547" s="54"/>
      <c r="L547" s="54"/>
      <c r="M547" s="60"/>
      <c r="N547" s="57" t="str">
        <f>if(counta(E547:K547)&gt;0,SUM(I547:I549)+1, )</f>
        <v/>
      </c>
      <c r="O547" s="59" t="str">
        <f>if ( isblank (E547), E547, E547 + F547*'Control PanelOur Matches'!$K$2 + G547*5 + H547*(1/3) + I547*'Control PanelOur Matches'!$M$2 + J547*50)</f>
        <v/>
      </c>
      <c r="P547" s="59" t="str">
        <f t="shared" si="2"/>
        <v/>
      </c>
      <c r="Q547" s="60" t="str">
        <f t="shared" si="3"/>
        <v>no</v>
      </c>
      <c r="R547" s="60" t="str">
        <f t="shared" si="4"/>
        <v/>
      </c>
    </row>
    <row r="548" ht="15.0" customHeight="1">
      <c r="A548" s="49">
        <v>545.0</v>
      </c>
      <c r="B548" s="50">
        <v>91.0</v>
      </c>
      <c r="C548" s="52" t="s">
        <v>43</v>
      </c>
      <c r="D548" s="53" t="str">
        <f t="array" ref="D548">index('Match Sched'!$C$3:$H753,match(B548,'Match Sched'!$A$3:$A753,0),if(mod(A548,6)=0,6,mod(A548,6)),0)</f>
        <v/>
      </c>
      <c r="E548" s="54"/>
      <c r="F548" s="55"/>
      <c r="G548" s="54"/>
      <c r="H548" s="54"/>
      <c r="I548" s="54"/>
      <c r="J548" s="54"/>
      <c r="K548" s="54"/>
      <c r="L548" s="54"/>
      <c r="M548" s="60"/>
      <c r="N548" s="57" t="str">
        <f>N547</f>
        <v/>
      </c>
      <c r="O548" s="59" t="str">
        <f>if ( isblank (E548), E548, E548 + F548*'Control PanelOur Matches'!$K$2 + G548*5 + H548*(1/3) + I548*'Control PanelOur Matches'!$M$2 + J548*50)</f>
        <v/>
      </c>
      <c r="P548" s="59" t="str">
        <f t="shared" si="2"/>
        <v/>
      </c>
      <c r="Q548" s="60" t="str">
        <f t="shared" si="3"/>
        <v>no</v>
      </c>
      <c r="R548" s="60" t="str">
        <f t="shared" si="4"/>
        <v/>
      </c>
    </row>
    <row r="549" ht="15.0" customHeight="1">
      <c r="A549" s="49">
        <v>546.0</v>
      </c>
      <c r="B549" s="50">
        <v>91.0</v>
      </c>
      <c r="C549" s="52" t="s">
        <v>44</v>
      </c>
      <c r="D549" s="53" t="str">
        <f t="array" ref="D549">index('Match Sched'!$C$3:$H753,match(B549,'Match Sched'!$A$3:$A753,0),if(mod(A549,6)=0,6,mod(A549,6)),0)</f>
        <v/>
      </c>
      <c r="E549" s="54"/>
      <c r="F549" s="55"/>
      <c r="G549" s="54"/>
      <c r="H549" s="54"/>
      <c r="I549" s="54"/>
      <c r="J549" s="54"/>
      <c r="K549" s="54"/>
      <c r="L549" s="54"/>
      <c r="M549" s="60"/>
      <c r="N549" s="57" t="str">
        <f>N547</f>
        <v/>
      </c>
      <c r="O549" s="59" t="str">
        <f>if ( isblank (E549), E549, E549 + F549*'Control PanelOur Matches'!$K$2 + G549*5 + H549*(1/3) + I549*'Control PanelOur Matches'!$M$2 + J549*50)</f>
        <v/>
      </c>
      <c r="P549" s="59" t="str">
        <f t="shared" si="2"/>
        <v/>
      </c>
      <c r="Q549" s="60" t="str">
        <f t="shared" si="3"/>
        <v>no</v>
      </c>
      <c r="R549" s="60" t="str">
        <f t="shared" si="4"/>
        <v/>
      </c>
    </row>
    <row r="550" ht="15.0" customHeight="1">
      <c r="A550" s="65">
        <v>547.0</v>
      </c>
      <c r="B550" s="66">
        <v>92.0</v>
      </c>
      <c r="C550" s="52" t="s">
        <v>39</v>
      </c>
      <c r="D550" s="53" t="str">
        <f t="array" ref="D550">index('Match Sched'!$C$3:$H753,match(B550,'Match Sched'!$A$3:$A753,0),if(mod(A550,6)=0,6,mod(A550,6)),0)</f>
        <v/>
      </c>
      <c r="E550" s="54"/>
      <c r="F550" s="55"/>
      <c r="G550" s="67"/>
      <c r="H550" s="67"/>
      <c r="I550" s="67"/>
      <c r="J550" s="67"/>
      <c r="K550" s="67"/>
      <c r="L550" s="67"/>
      <c r="M550" s="60"/>
      <c r="N550" s="57" t="str">
        <f>if(counta(E550:K550)&gt;0,SUM(I550:I552)+1, )</f>
        <v/>
      </c>
      <c r="O550" s="59" t="str">
        <f>if ( isblank (E550), E550, E550 + F550*'Control PanelOur Matches'!$K$2 + G550*5 + H550*(1/3) + I550*'Control PanelOur Matches'!$M$2 + J550*50)</f>
        <v/>
      </c>
      <c r="P550" s="59" t="str">
        <f t="shared" si="2"/>
        <v/>
      </c>
      <c r="Q550" s="60" t="str">
        <f t="shared" si="3"/>
        <v>no</v>
      </c>
      <c r="R550" s="60" t="str">
        <f t="shared" si="4"/>
        <v/>
      </c>
    </row>
    <row r="551" ht="15.0" customHeight="1">
      <c r="A551" s="65">
        <v>548.0</v>
      </c>
      <c r="B551" s="66">
        <v>92.0</v>
      </c>
      <c r="C551" s="69" t="s">
        <v>40</v>
      </c>
      <c r="D551" s="53" t="str">
        <f t="array" ref="D551">index('Match Sched'!$C$3:$H753,match(B551,'Match Sched'!$A$3:$A753,0),if(mod(A551,6)=0,6,mod(A551,6)),0)</f>
        <v/>
      </c>
      <c r="E551" s="54"/>
      <c r="F551" s="55"/>
      <c r="G551" s="67"/>
      <c r="H551" s="67"/>
      <c r="I551" s="67"/>
      <c r="J551" s="67"/>
      <c r="K551" s="67"/>
      <c r="L551" s="67"/>
      <c r="M551" s="60"/>
      <c r="N551" s="57" t="str">
        <f>N550</f>
        <v/>
      </c>
      <c r="O551" s="59" t="str">
        <f>if ( isblank (E551), E551, E551 + F551*'Control PanelOur Matches'!$K$2 + G551*5 + H551*(1/3) + I551*'Control PanelOur Matches'!$M$2 + J551*50)</f>
        <v/>
      </c>
      <c r="P551" s="59" t="str">
        <f t="shared" si="2"/>
        <v/>
      </c>
      <c r="Q551" s="60" t="str">
        <f t="shared" si="3"/>
        <v>no</v>
      </c>
      <c r="R551" s="60" t="str">
        <f t="shared" si="4"/>
        <v/>
      </c>
    </row>
    <row r="552" ht="15.0" customHeight="1">
      <c r="A552" s="65">
        <v>549.0</v>
      </c>
      <c r="B552" s="66">
        <v>92.0</v>
      </c>
      <c r="C552" s="52" t="s">
        <v>41</v>
      </c>
      <c r="D552" s="53" t="str">
        <f t="array" ref="D552">index('Match Sched'!$C$3:$H753,match(B552,'Match Sched'!$A$3:$A753,0),if(mod(A552,6)=0,6,mod(A552,6)),0)</f>
        <v/>
      </c>
      <c r="E552" s="54"/>
      <c r="F552" s="55"/>
      <c r="G552" s="67"/>
      <c r="H552" s="67"/>
      <c r="I552" s="67"/>
      <c r="J552" s="67"/>
      <c r="K552" s="67"/>
      <c r="L552" s="67"/>
      <c r="M552" s="60"/>
      <c r="N552" s="57" t="str">
        <f>N550</f>
        <v/>
      </c>
      <c r="O552" s="59" t="str">
        <f>if ( isblank (E552), E552, E552 + F552*'Control PanelOur Matches'!$K$2 + G552*5 + H552*(1/3) + I552*'Control PanelOur Matches'!$M$2 + J552*50)</f>
        <v/>
      </c>
      <c r="P552" s="59" t="str">
        <f t="shared" si="2"/>
        <v/>
      </c>
      <c r="Q552" s="60" t="str">
        <f t="shared" si="3"/>
        <v>no</v>
      </c>
      <c r="R552" s="60" t="str">
        <f t="shared" si="4"/>
        <v/>
      </c>
    </row>
    <row r="553" ht="15.0" customHeight="1">
      <c r="A553" s="65">
        <v>550.0</v>
      </c>
      <c r="B553" s="66">
        <v>92.0</v>
      </c>
      <c r="C553" s="52" t="s">
        <v>42</v>
      </c>
      <c r="D553" s="53" t="str">
        <f t="array" ref="D553">index('Match Sched'!$C$3:$H753,match(B553,'Match Sched'!$A$3:$A753,0),if(mod(A553,6)=0,6,mod(A553,6)),0)</f>
        <v/>
      </c>
      <c r="E553" s="54"/>
      <c r="F553" s="55"/>
      <c r="G553" s="67"/>
      <c r="H553" s="67"/>
      <c r="I553" s="67"/>
      <c r="J553" s="67"/>
      <c r="K553" s="67"/>
      <c r="L553" s="67"/>
      <c r="M553" s="60"/>
      <c r="N553" s="57" t="str">
        <f>if(counta(E553:K553)&gt;0,SUM(I553:I555)+1, )</f>
        <v/>
      </c>
      <c r="O553" s="59" t="str">
        <f>if ( isblank (E553), E553, E553 + F553*'Control PanelOur Matches'!$K$2 + G553*5 + H553*(1/3) + I553*'Control PanelOur Matches'!$M$2 + J553*50)</f>
        <v/>
      </c>
      <c r="P553" s="59" t="str">
        <f t="shared" si="2"/>
        <v/>
      </c>
      <c r="Q553" s="60" t="str">
        <f t="shared" si="3"/>
        <v>no</v>
      </c>
      <c r="R553" s="60" t="str">
        <f t="shared" si="4"/>
        <v/>
      </c>
    </row>
    <row r="554" ht="15.0" customHeight="1">
      <c r="A554" s="65">
        <v>551.0</v>
      </c>
      <c r="B554" s="66">
        <v>92.0</v>
      </c>
      <c r="C554" s="52" t="s">
        <v>43</v>
      </c>
      <c r="D554" s="53" t="str">
        <f t="array" ref="D554">index('Match Sched'!$C$3:$H753,match(B554,'Match Sched'!$A$3:$A753,0),if(mod(A554,6)=0,6,mod(A554,6)),0)</f>
        <v/>
      </c>
      <c r="E554" s="54"/>
      <c r="F554" s="55"/>
      <c r="G554" s="67"/>
      <c r="H554" s="67"/>
      <c r="I554" s="67"/>
      <c r="J554" s="67"/>
      <c r="K554" s="67"/>
      <c r="L554" s="67"/>
      <c r="M554" s="60"/>
      <c r="N554" s="57" t="str">
        <f>N553</f>
        <v/>
      </c>
      <c r="O554" s="59" t="str">
        <f>if ( isblank (E554), E554, E554 + F554*'Control PanelOur Matches'!$K$2 + G554*5 + H554*(1/3) + I554*'Control PanelOur Matches'!$M$2 + J554*50)</f>
        <v/>
      </c>
      <c r="P554" s="59" t="str">
        <f t="shared" si="2"/>
        <v/>
      </c>
      <c r="Q554" s="60" t="str">
        <f t="shared" si="3"/>
        <v>no</v>
      </c>
      <c r="R554" s="60" t="str">
        <f t="shared" si="4"/>
        <v/>
      </c>
    </row>
    <row r="555" ht="15.0" customHeight="1">
      <c r="A555" s="65">
        <v>552.0</v>
      </c>
      <c r="B555" s="66">
        <v>92.0</v>
      </c>
      <c r="C555" s="68" t="s">
        <v>44</v>
      </c>
      <c r="D555" s="53" t="str">
        <f t="array" ref="D555">index('Match Sched'!$C$3:$H753,match(B555,'Match Sched'!$A$3:$A753,0),if(mod(A555,6)=0,6,mod(A555,6)),0)</f>
        <v/>
      </c>
      <c r="E555" s="54"/>
      <c r="F555" s="55"/>
      <c r="G555" s="67"/>
      <c r="H555" s="67"/>
      <c r="I555" s="67"/>
      <c r="J555" s="67"/>
      <c r="K555" s="67"/>
      <c r="L555" s="67"/>
      <c r="M555" s="60"/>
      <c r="N555" s="57" t="str">
        <f>N553</f>
        <v/>
      </c>
      <c r="O555" s="59" t="str">
        <f>if ( isblank (E555), E555, E555 + F555*'Control PanelOur Matches'!$K$2 + G555*5 + H555*(1/3) + I555*'Control PanelOur Matches'!$M$2 + J555*50)</f>
        <v/>
      </c>
      <c r="P555" s="59" t="str">
        <f t="shared" si="2"/>
        <v/>
      </c>
      <c r="Q555" s="60" t="str">
        <f t="shared" si="3"/>
        <v>no</v>
      </c>
      <c r="R555" s="60" t="str">
        <f t="shared" si="4"/>
        <v/>
      </c>
    </row>
    <row r="556" ht="15.0" customHeight="1">
      <c r="A556" s="49">
        <v>553.0</v>
      </c>
      <c r="B556" s="50">
        <v>93.0</v>
      </c>
      <c r="C556" s="52" t="s">
        <v>39</v>
      </c>
      <c r="D556" s="53" t="str">
        <f t="array" ref="D556">index('Match Sched'!$C$3:$H753,match(B556,'Match Sched'!$A$3:$A753,0),if(mod(A556,6)=0,6,mod(A556,6)),0)</f>
        <v/>
      </c>
      <c r="E556" s="54"/>
      <c r="F556" s="55"/>
      <c r="G556" s="54"/>
      <c r="H556" s="54"/>
      <c r="I556" s="54"/>
      <c r="J556" s="54"/>
      <c r="K556" s="54"/>
      <c r="L556" s="54"/>
      <c r="M556" s="60"/>
      <c r="N556" s="57" t="str">
        <f>if(counta(E556:K556)&gt;0,SUM(I556:I558)+1, )</f>
        <v/>
      </c>
      <c r="O556" s="59" t="str">
        <f>if ( isblank (E556), E556, E556 + F556*'Control PanelOur Matches'!$K$2 + G556*5 + H556*(1/3) + I556*'Control PanelOur Matches'!$M$2 + J556*50)</f>
        <v/>
      </c>
      <c r="P556" s="59" t="str">
        <f t="shared" si="2"/>
        <v/>
      </c>
      <c r="Q556" s="60" t="str">
        <f t="shared" si="3"/>
        <v>no</v>
      </c>
      <c r="R556" s="60" t="str">
        <f t="shared" si="4"/>
        <v/>
      </c>
    </row>
    <row r="557" ht="15.0" customHeight="1">
      <c r="A557" s="49">
        <v>554.0</v>
      </c>
      <c r="B557" s="50">
        <v>93.0</v>
      </c>
      <c r="C557" s="52" t="s">
        <v>40</v>
      </c>
      <c r="D557" s="53" t="str">
        <f t="array" ref="D557">index('Match Sched'!$C$3:$H753,match(B557,'Match Sched'!$A$3:$A753,0),if(mod(A557,6)=0,6,mod(A557,6)),0)</f>
        <v/>
      </c>
      <c r="E557" s="54"/>
      <c r="F557" s="55"/>
      <c r="G557" s="54"/>
      <c r="H557" s="54"/>
      <c r="I557" s="54"/>
      <c r="J557" s="54"/>
      <c r="K557" s="54"/>
      <c r="L557" s="54"/>
      <c r="M557" s="60"/>
      <c r="N557" s="57" t="str">
        <f>N556</f>
        <v/>
      </c>
      <c r="O557" s="59" t="str">
        <f>if ( isblank (E557), E557, E557 + F557*'Control PanelOur Matches'!$K$2 + G557*5 + H557*(1/3) + I557*'Control PanelOur Matches'!$M$2 + J557*50)</f>
        <v/>
      </c>
      <c r="P557" s="59" t="str">
        <f t="shared" si="2"/>
        <v/>
      </c>
      <c r="Q557" s="60" t="str">
        <f t="shared" si="3"/>
        <v>no</v>
      </c>
      <c r="R557" s="60" t="str">
        <f t="shared" si="4"/>
        <v/>
      </c>
    </row>
    <row r="558" ht="15.0" customHeight="1">
      <c r="A558" s="49">
        <v>555.0</v>
      </c>
      <c r="B558" s="50">
        <v>93.0</v>
      </c>
      <c r="C558" s="52" t="s">
        <v>41</v>
      </c>
      <c r="D558" s="53" t="str">
        <f t="array" ref="D558">index('Match Sched'!$C$3:$H753,match(B558,'Match Sched'!$A$3:$A753,0),if(mod(A558,6)=0,6,mod(A558,6)),0)</f>
        <v/>
      </c>
      <c r="E558" s="54"/>
      <c r="F558" s="55"/>
      <c r="G558" s="54"/>
      <c r="H558" s="54"/>
      <c r="I558" s="54"/>
      <c r="J558" s="54"/>
      <c r="K558" s="54"/>
      <c r="L558" s="54"/>
      <c r="M558" s="60"/>
      <c r="N558" s="57" t="str">
        <f>N556</f>
        <v/>
      </c>
      <c r="O558" s="59" t="str">
        <f>if ( isblank (E558), E558, E558 + F558*'Control PanelOur Matches'!$K$2 + G558*5 + H558*(1/3) + I558*'Control PanelOur Matches'!$M$2 + J558*50)</f>
        <v/>
      </c>
      <c r="P558" s="59" t="str">
        <f t="shared" si="2"/>
        <v/>
      </c>
      <c r="Q558" s="60" t="str">
        <f t="shared" si="3"/>
        <v>no</v>
      </c>
      <c r="R558" s="60" t="str">
        <f t="shared" si="4"/>
        <v/>
      </c>
    </row>
    <row r="559" ht="15.0" customHeight="1">
      <c r="A559" s="49">
        <v>556.0</v>
      </c>
      <c r="B559" s="50">
        <v>93.0</v>
      </c>
      <c r="C559" s="52" t="s">
        <v>42</v>
      </c>
      <c r="D559" s="53" t="str">
        <f t="array" ref="D559">index('Match Sched'!$C$3:$H753,match(B559,'Match Sched'!$A$3:$A753,0),if(mod(A559,6)=0,6,mod(A559,6)),0)</f>
        <v/>
      </c>
      <c r="E559" s="54"/>
      <c r="F559" s="55"/>
      <c r="G559" s="54"/>
      <c r="H559" s="54"/>
      <c r="I559" s="54"/>
      <c r="J559" s="54"/>
      <c r="K559" s="54"/>
      <c r="L559" s="54"/>
      <c r="M559" s="60"/>
      <c r="N559" s="57" t="str">
        <f>if(counta(E559:K559)&gt;0,SUM(I559:I561)+1, )</f>
        <v/>
      </c>
      <c r="O559" s="59" t="str">
        <f>if ( isblank (E559), E559, E559 + F559*'Control PanelOur Matches'!$K$2 + G559*5 + H559*(1/3) + I559*'Control PanelOur Matches'!$M$2 + J559*50)</f>
        <v/>
      </c>
      <c r="P559" s="59" t="str">
        <f t="shared" si="2"/>
        <v/>
      </c>
      <c r="Q559" s="60" t="str">
        <f t="shared" si="3"/>
        <v>no</v>
      </c>
      <c r="R559" s="60" t="str">
        <f t="shared" si="4"/>
        <v/>
      </c>
    </row>
    <row r="560" ht="15.0" customHeight="1">
      <c r="A560" s="49">
        <v>557.0</v>
      </c>
      <c r="B560" s="50">
        <v>93.0</v>
      </c>
      <c r="C560" s="52" t="s">
        <v>43</v>
      </c>
      <c r="D560" s="53" t="str">
        <f t="array" ref="D560">index('Match Sched'!$C$3:$H753,match(B560,'Match Sched'!$A$3:$A753,0),if(mod(A560,6)=0,6,mod(A560,6)),0)</f>
        <v/>
      </c>
      <c r="E560" s="54"/>
      <c r="F560" s="55"/>
      <c r="G560" s="54"/>
      <c r="H560" s="54"/>
      <c r="I560" s="54"/>
      <c r="J560" s="54"/>
      <c r="K560" s="54"/>
      <c r="L560" s="54"/>
      <c r="M560" s="60"/>
      <c r="N560" s="57" t="str">
        <f>N559</f>
        <v/>
      </c>
      <c r="O560" s="59" t="str">
        <f>if ( isblank (E560), E560, E560 + F560*'Control PanelOur Matches'!$K$2 + G560*5 + H560*(1/3) + I560*'Control PanelOur Matches'!$M$2 + J560*50)</f>
        <v/>
      </c>
      <c r="P560" s="59" t="str">
        <f t="shared" si="2"/>
        <v/>
      </c>
      <c r="Q560" s="60" t="str">
        <f t="shared" si="3"/>
        <v>no</v>
      </c>
      <c r="R560" s="60" t="str">
        <f t="shared" si="4"/>
        <v/>
      </c>
    </row>
    <row r="561" ht="15.0" customHeight="1">
      <c r="A561" s="49">
        <v>558.0</v>
      </c>
      <c r="B561" s="50">
        <v>93.0</v>
      </c>
      <c r="C561" s="52" t="s">
        <v>44</v>
      </c>
      <c r="D561" s="53" t="str">
        <f t="array" ref="D561">index('Match Sched'!$C$3:$H753,match(B561,'Match Sched'!$A$3:$A753,0),if(mod(A561,6)=0,6,mod(A561,6)),0)</f>
        <v/>
      </c>
      <c r="E561" s="54"/>
      <c r="F561" s="55"/>
      <c r="G561" s="54"/>
      <c r="H561" s="54"/>
      <c r="I561" s="54"/>
      <c r="J561" s="54"/>
      <c r="K561" s="54"/>
      <c r="L561" s="54"/>
      <c r="M561" s="60"/>
      <c r="N561" s="57" t="str">
        <f>N559</f>
        <v/>
      </c>
      <c r="O561" s="59" t="str">
        <f>if ( isblank (E561), E561, E561 + F561*'Control PanelOur Matches'!$K$2 + G561*5 + H561*(1/3) + I561*'Control PanelOur Matches'!$M$2 + J561*50)</f>
        <v/>
      </c>
      <c r="P561" s="59" t="str">
        <f t="shared" si="2"/>
        <v/>
      </c>
      <c r="Q561" s="60" t="str">
        <f t="shared" si="3"/>
        <v>no</v>
      </c>
      <c r="R561" s="60" t="str">
        <f t="shared" si="4"/>
        <v/>
      </c>
    </row>
    <row r="562" ht="15.0" customHeight="1">
      <c r="A562" s="65">
        <v>559.0</v>
      </c>
      <c r="B562" s="66">
        <v>94.0</v>
      </c>
      <c r="C562" s="52" t="s">
        <v>39</v>
      </c>
      <c r="D562" s="53" t="str">
        <f t="array" ref="D562">index('Match Sched'!$C$3:$H753,match(B562,'Match Sched'!$A$3:$A753,0),if(mod(A562,6)=0,6,mod(A562,6)),0)</f>
        <v/>
      </c>
      <c r="E562" s="54"/>
      <c r="F562" s="55"/>
      <c r="G562" s="67"/>
      <c r="H562" s="67"/>
      <c r="I562" s="67"/>
      <c r="J562" s="67"/>
      <c r="K562" s="67"/>
      <c r="L562" s="67"/>
      <c r="M562" s="60"/>
      <c r="N562" s="57" t="str">
        <f>if(counta(E562:K562)&gt;0,SUM(I562:I564)+1, )</f>
        <v/>
      </c>
      <c r="O562" s="59" t="str">
        <f>if ( isblank (E562), E562, E562 + F562*'Control PanelOur Matches'!$K$2 + G562*5 + H562*(1/3) + I562*'Control PanelOur Matches'!$M$2 + J562*50)</f>
        <v/>
      </c>
      <c r="P562" s="59" t="str">
        <f t="shared" si="2"/>
        <v/>
      </c>
      <c r="Q562" s="60" t="str">
        <f t="shared" si="3"/>
        <v>no</v>
      </c>
      <c r="R562" s="60" t="str">
        <f t="shared" si="4"/>
        <v/>
      </c>
    </row>
    <row r="563" ht="15.0" customHeight="1">
      <c r="A563" s="65">
        <v>560.0</v>
      </c>
      <c r="B563" s="66">
        <v>94.0</v>
      </c>
      <c r="C563" s="52" t="s">
        <v>40</v>
      </c>
      <c r="D563" s="53" t="str">
        <f t="array" ref="D563">index('Match Sched'!$C$3:$H753,match(B563,'Match Sched'!$A$3:$A753,0),if(mod(A563,6)=0,6,mod(A563,6)),0)</f>
        <v/>
      </c>
      <c r="E563" s="54"/>
      <c r="F563" s="55"/>
      <c r="G563" s="67"/>
      <c r="H563" s="67"/>
      <c r="I563" s="67"/>
      <c r="J563" s="67"/>
      <c r="K563" s="67"/>
      <c r="L563" s="67"/>
      <c r="M563" s="60"/>
      <c r="N563" s="57" t="str">
        <f>N562</f>
        <v/>
      </c>
      <c r="O563" s="59" t="str">
        <f>if ( isblank (E563), E563, E563 + F563*'Control PanelOur Matches'!$K$2 + G563*5 + H563*(1/3) + I563*'Control PanelOur Matches'!$M$2 + J563*50)</f>
        <v/>
      </c>
      <c r="P563" s="59" t="str">
        <f t="shared" si="2"/>
        <v/>
      </c>
      <c r="Q563" s="60" t="str">
        <f t="shared" si="3"/>
        <v>no</v>
      </c>
      <c r="R563" s="60" t="str">
        <f t="shared" si="4"/>
        <v/>
      </c>
    </row>
    <row r="564" ht="15.0" customHeight="1">
      <c r="A564" s="65">
        <v>561.0</v>
      </c>
      <c r="B564" s="66">
        <v>94.0</v>
      </c>
      <c r="C564" s="52" t="s">
        <v>41</v>
      </c>
      <c r="D564" s="53" t="str">
        <f t="array" ref="D564">index('Match Sched'!$C$3:$H753,match(B564,'Match Sched'!$A$3:$A753,0),if(mod(A564,6)=0,6,mod(A564,6)),0)</f>
        <v/>
      </c>
      <c r="E564" s="54"/>
      <c r="F564" s="55"/>
      <c r="G564" s="67"/>
      <c r="H564" s="67"/>
      <c r="I564" s="67"/>
      <c r="J564" s="67"/>
      <c r="K564" s="67"/>
      <c r="L564" s="67"/>
      <c r="M564" s="60"/>
      <c r="N564" s="57" t="str">
        <f>N562</f>
        <v/>
      </c>
      <c r="O564" s="59" t="str">
        <f>if ( isblank (E564), E564, E564 + F564*'Control PanelOur Matches'!$K$2 + G564*5 + H564*(1/3) + I564*'Control PanelOur Matches'!$M$2 + J564*50)</f>
        <v/>
      </c>
      <c r="P564" s="59" t="str">
        <f t="shared" si="2"/>
        <v/>
      </c>
      <c r="Q564" s="60" t="str">
        <f t="shared" si="3"/>
        <v>no</v>
      </c>
      <c r="R564" s="60" t="str">
        <f t="shared" si="4"/>
        <v/>
      </c>
    </row>
    <row r="565" ht="15.0" customHeight="1">
      <c r="A565" s="65">
        <v>562.0</v>
      </c>
      <c r="B565" s="66">
        <v>94.0</v>
      </c>
      <c r="C565" s="52" t="s">
        <v>42</v>
      </c>
      <c r="D565" s="53" t="str">
        <f t="array" ref="D565">index('Match Sched'!$C$3:$H753,match(B565,'Match Sched'!$A$3:$A753,0),if(mod(A565,6)=0,6,mod(A565,6)),0)</f>
        <v/>
      </c>
      <c r="E565" s="54"/>
      <c r="F565" s="55"/>
      <c r="G565" s="67"/>
      <c r="H565" s="67"/>
      <c r="I565" s="67"/>
      <c r="J565" s="67"/>
      <c r="K565" s="67"/>
      <c r="L565" s="67"/>
      <c r="M565" s="60"/>
      <c r="N565" s="57" t="str">
        <f>if(counta(E565:K565)&gt;0,SUM(I565:I567)+1, )</f>
        <v/>
      </c>
      <c r="O565" s="59" t="str">
        <f>if ( isblank (E565), E565, E565 + F565*'Control PanelOur Matches'!$K$2 + G565*5 + H565*(1/3) + I565*'Control PanelOur Matches'!$M$2 + J565*50)</f>
        <v/>
      </c>
      <c r="P565" s="59" t="str">
        <f t="shared" si="2"/>
        <v/>
      </c>
      <c r="Q565" s="60" t="str">
        <f t="shared" si="3"/>
        <v>no</v>
      </c>
      <c r="R565" s="60" t="str">
        <f t="shared" si="4"/>
        <v/>
      </c>
    </row>
    <row r="566" ht="15.0" customHeight="1">
      <c r="A566" s="65">
        <v>563.0</v>
      </c>
      <c r="B566" s="66">
        <v>94.0</v>
      </c>
      <c r="C566" s="52" t="s">
        <v>43</v>
      </c>
      <c r="D566" s="53" t="str">
        <f t="array" ref="D566">index('Match Sched'!$C$3:$H753,match(B566,'Match Sched'!$A$3:$A753,0),if(mod(A566,6)=0,6,mod(A566,6)),0)</f>
        <v/>
      </c>
      <c r="E566" s="54"/>
      <c r="F566" s="55"/>
      <c r="G566" s="67"/>
      <c r="H566" s="67"/>
      <c r="I566" s="67"/>
      <c r="J566" s="67"/>
      <c r="K566" s="67"/>
      <c r="L566" s="67"/>
      <c r="M566" s="60"/>
      <c r="N566" s="57" t="str">
        <f>N565</f>
        <v/>
      </c>
      <c r="O566" s="59" t="str">
        <f>if ( isblank (E566), E566, E566 + F566*'Control PanelOur Matches'!$K$2 + G566*5 + H566*(1/3) + I566*'Control PanelOur Matches'!$M$2 + J566*50)</f>
        <v/>
      </c>
      <c r="P566" s="59" t="str">
        <f t="shared" si="2"/>
        <v/>
      </c>
      <c r="Q566" s="60" t="str">
        <f t="shared" si="3"/>
        <v>no</v>
      </c>
      <c r="R566" s="60" t="str">
        <f t="shared" si="4"/>
        <v/>
      </c>
    </row>
    <row r="567" ht="15.0" customHeight="1">
      <c r="A567" s="65">
        <v>564.0</v>
      </c>
      <c r="B567" s="66">
        <v>94.0</v>
      </c>
      <c r="C567" s="68" t="s">
        <v>44</v>
      </c>
      <c r="D567" s="53" t="str">
        <f t="array" ref="D567">index('Match Sched'!$C$3:$H753,match(B567,'Match Sched'!$A$3:$A753,0),if(mod(A567,6)=0,6,mod(A567,6)),0)</f>
        <v/>
      </c>
      <c r="E567" s="54"/>
      <c r="F567" s="55"/>
      <c r="G567" s="67"/>
      <c r="H567" s="67"/>
      <c r="I567" s="67"/>
      <c r="J567" s="67"/>
      <c r="K567" s="67"/>
      <c r="L567" s="67"/>
      <c r="M567" s="60"/>
      <c r="N567" s="57" t="str">
        <f>N565</f>
        <v/>
      </c>
      <c r="O567" s="59" t="str">
        <f>if ( isblank (E567), E567, E567 + F567*'Control PanelOur Matches'!$K$2 + G567*5 + H567*(1/3) + I567*'Control PanelOur Matches'!$M$2 + J567*50)</f>
        <v/>
      </c>
      <c r="P567" s="59" t="str">
        <f t="shared" si="2"/>
        <v/>
      </c>
      <c r="Q567" s="60" t="str">
        <f t="shared" si="3"/>
        <v>no</v>
      </c>
      <c r="R567" s="60" t="str">
        <f t="shared" si="4"/>
        <v/>
      </c>
    </row>
    <row r="568" ht="15.0" customHeight="1">
      <c r="A568" s="49">
        <v>565.0</v>
      </c>
      <c r="B568" s="50">
        <v>95.0</v>
      </c>
      <c r="C568" s="52" t="s">
        <v>39</v>
      </c>
      <c r="D568" s="53" t="str">
        <f t="array" ref="D568">index('Match Sched'!$C$3:$H753,match(B568,'Match Sched'!$A$3:$A753,0),if(mod(A568,6)=0,6,mod(A568,6)),0)</f>
        <v/>
      </c>
      <c r="E568" s="54"/>
      <c r="F568" s="55"/>
      <c r="G568" s="54"/>
      <c r="H568" s="54"/>
      <c r="I568" s="54"/>
      <c r="J568" s="54"/>
      <c r="K568" s="54"/>
      <c r="L568" s="54"/>
      <c r="M568" s="60"/>
      <c r="N568" s="57" t="str">
        <f>if(counta(E568:K568)&gt;0,SUM(I568:I570)+1, )</f>
        <v/>
      </c>
      <c r="O568" s="59" t="str">
        <f>if ( isblank (E568), E568, E568 + F568*'Control PanelOur Matches'!$K$2 + G568*5 + H568*(1/3) + I568*'Control PanelOur Matches'!$M$2 + J568*50)</f>
        <v/>
      </c>
      <c r="P568" s="59" t="str">
        <f t="shared" si="2"/>
        <v/>
      </c>
      <c r="Q568" s="60" t="str">
        <f t="shared" si="3"/>
        <v>no</v>
      </c>
      <c r="R568" s="60" t="str">
        <f t="shared" si="4"/>
        <v/>
      </c>
    </row>
    <row r="569" ht="15.0" customHeight="1">
      <c r="A569" s="49">
        <v>566.0</v>
      </c>
      <c r="B569" s="50">
        <v>95.0</v>
      </c>
      <c r="C569" s="52" t="s">
        <v>40</v>
      </c>
      <c r="D569" s="53" t="str">
        <f t="array" ref="D569">index('Match Sched'!$C$3:$H753,match(B569,'Match Sched'!$A$3:$A753,0),if(mod(A569,6)=0,6,mod(A569,6)),0)</f>
        <v/>
      </c>
      <c r="E569" s="54"/>
      <c r="F569" s="55"/>
      <c r="G569" s="54"/>
      <c r="H569" s="54"/>
      <c r="I569" s="54"/>
      <c r="J569" s="54"/>
      <c r="K569" s="54"/>
      <c r="L569" s="54"/>
      <c r="M569" s="60"/>
      <c r="N569" s="57" t="str">
        <f>N568</f>
        <v/>
      </c>
      <c r="O569" s="59" t="str">
        <f>if ( isblank (E569), E569, E569 + F569*'Control PanelOur Matches'!$K$2 + G569*5 + H569*(1/3) + I569*'Control PanelOur Matches'!$M$2 + J569*50)</f>
        <v/>
      </c>
      <c r="P569" s="59" t="str">
        <f t="shared" si="2"/>
        <v/>
      </c>
      <c r="Q569" s="60" t="str">
        <f t="shared" si="3"/>
        <v>no</v>
      </c>
      <c r="R569" s="60" t="str">
        <f t="shared" si="4"/>
        <v/>
      </c>
    </row>
    <row r="570" ht="15.0" customHeight="1">
      <c r="A570" s="49">
        <v>567.0</v>
      </c>
      <c r="B570" s="50">
        <v>95.0</v>
      </c>
      <c r="C570" s="52" t="s">
        <v>41</v>
      </c>
      <c r="D570" s="53" t="str">
        <f t="array" ref="D570">index('Match Sched'!$C$3:$H753,match(B570,'Match Sched'!$A$3:$A753,0),if(mod(A570,6)=0,6,mod(A570,6)),0)</f>
        <v/>
      </c>
      <c r="E570" s="54"/>
      <c r="F570" s="55"/>
      <c r="G570" s="54"/>
      <c r="H570" s="54"/>
      <c r="I570" s="54"/>
      <c r="J570" s="54"/>
      <c r="K570" s="54"/>
      <c r="L570" s="54"/>
      <c r="M570" s="60"/>
      <c r="N570" s="57" t="str">
        <f>N568</f>
        <v/>
      </c>
      <c r="O570" s="59" t="str">
        <f>if ( isblank (E570), E570, E570 + F570*'Control PanelOur Matches'!$K$2 + G570*5 + H570*(1/3) + I570*'Control PanelOur Matches'!$M$2 + J570*50)</f>
        <v/>
      </c>
      <c r="P570" s="59" t="str">
        <f t="shared" si="2"/>
        <v/>
      </c>
      <c r="Q570" s="60" t="str">
        <f t="shared" si="3"/>
        <v>no</v>
      </c>
      <c r="R570" s="60" t="str">
        <f t="shared" si="4"/>
        <v/>
      </c>
    </row>
    <row r="571" ht="15.0" customHeight="1">
      <c r="A571" s="49">
        <v>568.0</v>
      </c>
      <c r="B571" s="50">
        <v>95.0</v>
      </c>
      <c r="C571" s="52" t="s">
        <v>42</v>
      </c>
      <c r="D571" s="53" t="str">
        <f t="array" ref="D571">index('Match Sched'!$C$3:$H753,match(B571,'Match Sched'!$A$3:$A753,0),if(mod(A571,6)=0,6,mod(A571,6)),0)</f>
        <v/>
      </c>
      <c r="E571" s="54"/>
      <c r="F571" s="55"/>
      <c r="G571" s="54"/>
      <c r="H571" s="54"/>
      <c r="I571" s="54"/>
      <c r="J571" s="54"/>
      <c r="K571" s="54"/>
      <c r="L571" s="54"/>
      <c r="M571" s="60"/>
      <c r="N571" s="57" t="str">
        <f>if(counta(E571:K571)&gt;0,SUM(I571:I573)+1, )</f>
        <v/>
      </c>
      <c r="O571" s="59" t="str">
        <f>if ( isblank (E571), E571, E571 + F571*'Control PanelOur Matches'!$K$2 + G571*5 + H571*(1/3) + I571*'Control PanelOur Matches'!$M$2 + J571*50)</f>
        <v/>
      </c>
      <c r="P571" s="59" t="str">
        <f t="shared" si="2"/>
        <v/>
      </c>
      <c r="Q571" s="60" t="str">
        <f t="shared" si="3"/>
        <v>no</v>
      </c>
      <c r="R571" s="60" t="str">
        <f t="shared" si="4"/>
        <v/>
      </c>
    </row>
    <row r="572" ht="15.0" customHeight="1">
      <c r="A572" s="49">
        <v>569.0</v>
      </c>
      <c r="B572" s="50">
        <v>95.0</v>
      </c>
      <c r="C572" s="52" t="s">
        <v>43</v>
      </c>
      <c r="D572" s="53" t="str">
        <f t="array" ref="D572">index('Match Sched'!$C$3:$H753,match(B572,'Match Sched'!$A$3:$A753,0),if(mod(A572,6)=0,6,mod(A572,6)),0)</f>
        <v/>
      </c>
      <c r="E572" s="54"/>
      <c r="F572" s="55"/>
      <c r="G572" s="54"/>
      <c r="H572" s="54"/>
      <c r="I572" s="54"/>
      <c r="J572" s="54"/>
      <c r="K572" s="54"/>
      <c r="L572" s="54"/>
      <c r="M572" s="60"/>
      <c r="N572" s="57" t="str">
        <f>N571</f>
        <v/>
      </c>
      <c r="O572" s="59" t="str">
        <f>if ( isblank (E572), E572, E572 + F572*'Control PanelOur Matches'!$K$2 + G572*5 + H572*(1/3) + I572*'Control PanelOur Matches'!$M$2 + J572*50)</f>
        <v/>
      </c>
      <c r="P572" s="59" t="str">
        <f t="shared" si="2"/>
        <v/>
      </c>
      <c r="Q572" s="60" t="str">
        <f t="shared" si="3"/>
        <v>no</v>
      </c>
      <c r="R572" s="60" t="str">
        <f t="shared" si="4"/>
        <v/>
      </c>
    </row>
    <row r="573" ht="15.0" customHeight="1">
      <c r="A573" s="49">
        <v>570.0</v>
      </c>
      <c r="B573" s="50">
        <v>95.0</v>
      </c>
      <c r="C573" s="52" t="s">
        <v>44</v>
      </c>
      <c r="D573" s="53" t="str">
        <f t="array" ref="D573">index('Match Sched'!$C$3:$H753,match(B573,'Match Sched'!$A$3:$A753,0),if(mod(A573,6)=0,6,mod(A573,6)),0)</f>
        <v/>
      </c>
      <c r="E573" s="54"/>
      <c r="F573" s="55"/>
      <c r="G573" s="54"/>
      <c r="H573" s="54"/>
      <c r="I573" s="54"/>
      <c r="J573" s="54"/>
      <c r="K573" s="54"/>
      <c r="L573" s="54"/>
      <c r="M573" s="60"/>
      <c r="N573" s="57" t="str">
        <f>N571</f>
        <v/>
      </c>
      <c r="O573" s="59" t="str">
        <f>if ( isblank (E573), E573, E573 + F573*'Control PanelOur Matches'!$K$2 + G573*5 + H573*(1/3) + I573*'Control PanelOur Matches'!$M$2 + J573*50)</f>
        <v/>
      </c>
      <c r="P573" s="59" t="str">
        <f t="shared" si="2"/>
        <v/>
      </c>
      <c r="Q573" s="60" t="str">
        <f t="shared" si="3"/>
        <v>no</v>
      </c>
      <c r="R573" s="60" t="str">
        <f t="shared" si="4"/>
        <v/>
      </c>
    </row>
    <row r="574" ht="15.0" customHeight="1">
      <c r="A574" s="65">
        <v>571.0</v>
      </c>
      <c r="B574" s="66">
        <v>96.0</v>
      </c>
      <c r="C574" s="52" t="s">
        <v>39</v>
      </c>
      <c r="D574" s="53" t="str">
        <f t="array" ref="D574">index('Match Sched'!$C$3:$H753,match(B574,'Match Sched'!$A$3:$A753,0),if(mod(A574,6)=0,6,mod(A574,6)),0)</f>
        <v/>
      </c>
      <c r="E574" s="54"/>
      <c r="F574" s="55"/>
      <c r="G574" s="67"/>
      <c r="H574" s="67"/>
      <c r="I574" s="67"/>
      <c r="J574" s="67"/>
      <c r="K574" s="67"/>
      <c r="L574" s="67"/>
      <c r="M574" s="60"/>
      <c r="N574" s="57" t="str">
        <f>if(counta(E574:K574)&gt;0,SUM(I574:I576)+1, )</f>
        <v/>
      </c>
      <c r="O574" s="59" t="str">
        <f>if ( isblank (E574), E574, E574 + F574*'Control PanelOur Matches'!$K$2 + G574*5 + H574*(1/3) + I574*'Control PanelOur Matches'!$M$2 + J574*50)</f>
        <v/>
      </c>
      <c r="P574" s="59" t="str">
        <f t="shared" si="2"/>
        <v/>
      </c>
      <c r="Q574" s="60" t="str">
        <f t="shared" si="3"/>
        <v>no</v>
      </c>
      <c r="R574" s="60" t="str">
        <f t="shared" si="4"/>
        <v/>
      </c>
    </row>
    <row r="575" ht="15.0" customHeight="1">
      <c r="A575" s="65">
        <v>572.0</v>
      </c>
      <c r="B575" s="66">
        <v>96.0</v>
      </c>
      <c r="C575" s="69" t="s">
        <v>40</v>
      </c>
      <c r="D575" s="53" t="str">
        <f t="array" ref="D575">index('Match Sched'!$C$3:$H753,match(B575,'Match Sched'!$A$3:$A753,0),if(mod(A575,6)=0,6,mod(A575,6)),0)</f>
        <v/>
      </c>
      <c r="E575" s="54"/>
      <c r="F575" s="55"/>
      <c r="G575" s="67"/>
      <c r="H575" s="67"/>
      <c r="I575" s="67"/>
      <c r="J575" s="67"/>
      <c r="K575" s="67"/>
      <c r="L575" s="67"/>
      <c r="M575" s="60"/>
      <c r="N575" s="57" t="str">
        <f>N574</f>
        <v/>
      </c>
      <c r="O575" s="59" t="str">
        <f>if ( isblank (E575), E575, E575 + F575*'Control PanelOur Matches'!$K$2 + G575*5 + H575*(1/3) + I575*'Control PanelOur Matches'!$M$2 + J575*50)</f>
        <v/>
      </c>
      <c r="P575" s="59" t="str">
        <f t="shared" si="2"/>
        <v/>
      </c>
      <c r="Q575" s="60" t="str">
        <f t="shared" si="3"/>
        <v>no</v>
      </c>
      <c r="R575" s="60" t="str">
        <f t="shared" si="4"/>
        <v/>
      </c>
    </row>
    <row r="576" ht="15.0" customHeight="1">
      <c r="A576" s="65">
        <v>573.0</v>
      </c>
      <c r="B576" s="66">
        <v>96.0</v>
      </c>
      <c r="C576" s="52" t="s">
        <v>41</v>
      </c>
      <c r="D576" s="53" t="str">
        <f t="array" ref="D576">index('Match Sched'!$C$3:$H753,match(B576,'Match Sched'!$A$3:$A753,0),if(mod(A576,6)=0,6,mod(A576,6)),0)</f>
        <v/>
      </c>
      <c r="E576" s="54"/>
      <c r="F576" s="55"/>
      <c r="G576" s="67"/>
      <c r="H576" s="67"/>
      <c r="I576" s="67"/>
      <c r="J576" s="67"/>
      <c r="K576" s="67"/>
      <c r="L576" s="67"/>
      <c r="M576" s="60"/>
      <c r="N576" s="57" t="str">
        <f>N574</f>
        <v/>
      </c>
      <c r="O576" s="59" t="str">
        <f>if ( isblank (E576), E576, E576 + F576*'Control PanelOur Matches'!$K$2 + G576*5 + H576*(1/3) + I576*'Control PanelOur Matches'!$M$2 + J576*50)</f>
        <v/>
      </c>
      <c r="P576" s="59" t="str">
        <f t="shared" si="2"/>
        <v/>
      </c>
      <c r="Q576" s="60" t="str">
        <f t="shared" si="3"/>
        <v>no</v>
      </c>
      <c r="R576" s="60" t="str">
        <f t="shared" si="4"/>
        <v/>
      </c>
    </row>
    <row r="577" ht="15.0" customHeight="1">
      <c r="A577" s="65">
        <v>574.0</v>
      </c>
      <c r="B577" s="66">
        <v>96.0</v>
      </c>
      <c r="C577" s="52" t="s">
        <v>42</v>
      </c>
      <c r="D577" s="53" t="str">
        <f t="array" ref="D577">index('Match Sched'!$C$3:$H753,match(B577,'Match Sched'!$A$3:$A753,0),if(mod(A577,6)=0,6,mod(A577,6)),0)</f>
        <v/>
      </c>
      <c r="E577" s="54"/>
      <c r="F577" s="55"/>
      <c r="G577" s="67"/>
      <c r="H577" s="67"/>
      <c r="I577" s="67"/>
      <c r="J577" s="67"/>
      <c r="K577" s="67"/>
      <c r="L577" s="67"/>
      <c r="M577" s="60"/>
      <c r="N577" s="57" t="str">
        <f>if(counta(E577:K577)&gt;0,SUM(I577:I579)+1, )</f>
        <v/>
      </c>
      <c r="O577" s="59" t="str">
        <f>if ( isblank (E577), E577, E577 + F577*'Control PanelOur Matches'!$K$2 + G577*5 + H577*(1/3) + I577*'Control PanelOur Matches'!$M$2 + J577*50)</f>
        <v/>
      </c>
      <c r="P577" s="59" t="str">
        <f t="shared" si="2"/>
        <v/>
      </c>
      <c r="Q577" s="60" t="str">
        <f t="shared" si="3"/>
        <v>no</v>
      </c>
      <c r="R577" s="60" t="str">
        <f t="shared" si="4"/>
        <v/>
      </c>
    </row>
    <row r="578" ht="15.0" customHeight="1">
      <c r="A578" s="65">
        <v>575.0</v>
      </c>
      <c r="B578" s="66">
        <v>96.0</v>
      </c>
      <c r="C578" s="52" t="s">
        <v>43</v>
      </c>
      <c r="D578" s="53" t="str">
        <f t="array" ref="D578">index('Match Sched'!$C$3:$H753,match(B578,'Match Sched'!$A$3:$A753,0),if(mod(A578,6)=0,6,mod(A578,6)),0)</f>
        <v/>
      </c>
      <c r="E578" s="54"/>
      <c r="F578" s="55"/>
      <c r="G578" s="67"/>
      <c r="H578" s="67"/>
      <c r="I578" s="67"/>
      <c r="J578" s="67"/>
      <c r="K578" s="67"/>
      <c r="L578" s="67"/>
      <c r="M578" s="60"/>
      <c r="N578" s="57" t="str">
        <f>N577</f>
        <v/>
      </c>
      <c r="O578" s="59" t="str">
        <f>if ( isblank (E578), E578, E578 + F578*'Control PanelOur Matches'!$K$2 + G578*5 + H578*(1/3) + I578*'Control PanelOur Matches'!$M$2 + J578*50)</f>
        <v/>
      </c>
      <c r="P578" s="59" t="str">
        <f t="shared" si="2"/>
        <v/>
      </c>
      <c r="Q578" s="60" t="str">
        <f t="shared" si="3"/>
        <v>no</v>
      </c>
      <c r="R578" s="60" t="str">
        <f t="shared" si="4"/>
        <v/>
      </c>
    </row>
    <row r="579" ht="15.0" customHeight="1">
      <c r="A579" s="65">
        <v>576.0</v>
      </c>
      <c r="B579" s="66">
        <v>96.0</v>
      </c>
      <c r="C579" s="68" t="s">
        <v>44</v>
      </c>
      <c r="D579" s="53" t="str">
        <f t="array" ref="D579">index('Match Sched'!$C$3:$H753,match(B579,'Match Sched'!$A$3:$A753,0),if(mod(A579,6)=0,6,mod(A579,6)),0)</f>
        <v/>
      </c>
      <c r="E579" s="54"/>
      <c r="F579" s="55"/>
      <c r="G579" s="67"/>
      <c r="H579" s="67"/>
      <c r="I579" s="67"/>
      <c r="J579" s="67"/>
      <c r="K579" s="67"/>
      <c r="L579" s="67"/>
      <c r="M579" s="60"/>
      <c r="N579" s="57" t="str">
        <f>N577</f>
        <v/>
      </c>
      <c r="O579" s="59" t="str">
        <f>if ( isblank (E579), E579, E579 + F579*'Control PanelOur Matches'!$K$2 + G579*5 + H579*(1/3) + I579*'Control PanelOur Matches'!$M$2 + J579*50)</f>
        <v/>
      </c>
      <c r="P579" s="59" t="str">
        <f t="shared" si="2"/>
        <v/>
      </c>
      <c r="Q579" s="60" t="str">
        <f t="shared" si="3"/>
        <v>no</v>
      </c>
      <c r="R579" s="60" t="str">
        <f t="shared" si="4"/>
        <v/>
      </c>
    </row>
    <row r="580" ht="15.0" customHeight="1">
      <c r="A580" s="49">
        <v>577.0</v>
      </c>
      <c r="B580" s="50">
        <v>97.0</v>
      </c>
      <c r="C580" s="52" t="s">
        <v>39</v>
      </c>
      <c r="D580" s="53" t="str">
        <f t="array" ref="D580">index('Match Sched'!$C$3:$H753,match(B580,'Match Sched'!$A$3:$A753,0),if(mod(A580,6)=0,6,mod(A580,6)),0)</f>
        <v/>
      </c>
      <c r="E580" s="54"/>
      <c r="F580" s="55"/>
      <c r="G580" s="54"/>
      <c r="H580" s="54"/>
      <c r="I580" s="54"/>
      <c r="J580" s="54"/>
      <c r="K580" s="54"/>
      <c r="L580" s="54"/>
      <c r="M580" s="60"/>
      <c r="N580" s="57" t="str">
        <f>if(counta(E580:K580)&gt;0,SUM(I580:I582)+1, )</f>
        <v/>
      </c>
      <c r="O580" s="59" t="str">
        <f>if ( isblank (E580), E580, E580 + F580*'Control PanelOur Matches'!$K$2 + G580*5 + H580*(1/3) + I580*'Control PanelOur Matches'!$M$2 + J580*50)</f>
        <v/>
      </c>
      <c r="P580" s="59" t="str">
        <f t="shared" si="2"/>
        <v/>
      </c>
      <c r="Q580" s="60" t="str">
        <f t="shared" si="3"/>
        <v>no</v>
      </c>
      <c r="R580" s="60" t="str">
        <f t="shared" si="4"/>
        <v/>
      </c>
    </row>
    <row r="581" ht="15.0" customHeight="1">
      <c r="A581" s="49">
        <v>578.0</v>
      </c>
      <c r="B581" s="50">
        <v>97.0</v>
      </c>
      <c r="C581" s="52" t="s">
        <v>40</v>
      </c>
      <c r="D581" s="53" t="str">
        <f t="array" ref="D581">index('Match Sched'!$C$3:$H753,match(B581,'Match Sched'!$A$3:$A753,0),if(mod(A581,6)=0,6,mod(A581,6)),0)</f>
        <v/>
      </c>
      <c r="E581" s="54"/>
      <c r="F581" s="55"/>
      <c r="G581" s="54"/>
      <c r="H581" s="54"/>
      <c r="I581" s="54"/>
      <c r="J581" s="54"/>
      <c r="K581" s="54"/>
      <c r="L581" s="54"/>
      <c r="M581" s="60"/>
      <c r="N581" s="57" t="str">
        <f>N580</f>
        <v/>
      </c>
      <c r="O581" s="59" t="str">
        <f>if ( isblank (E581), E581, E581 + F581*'Control PanelOur Matches'!$K$2 + G581*5 + H581*(1/3) + I581*'Control PanelOur Matches'!$M$2 + J581*50)</f>
        <v/>
      </c>
      <c r="P581" s="59" t="str">
        <f t="shared" si="2"/>
        <v/>
      </c>
      <c r="Q581" s="60" t="str">
        <f t="shared" si="3"/>
        <v>no</v>
      </c>
      <c r="R581" s="60" t="str">
        <f t="shared" si="4"/>
        <v/>
      </c>
    </row>
    <row r="582" ht="15.0" customHeight="1">
      <c r="A582" s="49">
        <v>579.0</v>
      </c>
      <c r="B582" s="50">
        <v>97.0</v>
      </c>
      <c r="C582" s="52" t="s">
        <v>41</v>
      </c>
      <c r="D582" s="53" t="str">
        <f t="array" ref="D582">index('Match Sched'!$C$3:$H753,match(B582,'Match Sched'!$A$3:$A753,0),if(mod(A582,6)=0,6,mod(A582,6)),0)</f>
        <v/>
      </c>
      <c r="E582" s="54"/>
      <c r="F582" s="55"/>
      <c r="G582" s="54"/>
      <c r="H582" s="54"/>
      <c r="I582" s="54"/>
      <c r="J582" s="54"/>
      <c r="K582" s="54"/>
      <c r="L582" s="54"/>
      <c r="M582" s="60"/>
      <c r="N582" s="57" t="str">
        <f>N580</f>
        <v/>
      </c>
      <c r="O582" s="59" t="str">
        <f>if ( isblank (E582), E582, E582 + F582*'Control PanelOur Matches'!$K$2 + G582*5 + H582*(1/3) + I582*'Control PanelOur Matches'!$M$2 + J582*50)</f>
        <v/>
      </c>
      <c r="P582" s="59" t="str">
        <f t="shared" si="2"/>
        <v/>
      </c>
      <c r="Q582" s="60" t="str">
        <f t="shared" si="3"/>
        <v>no</v>
      </c>
      <c r="R582" s="60" t="str">
        <f t="shared" si="4"/>
        <v/>
      </c>
    </row>
    <row r="583" ht="15.0" customHeight="1">
      <c r="A583" s="49">
        <v>580.0</v>
      </c>
      <c r="B583" s="50">
        <v>97.0</v>
      </c>
      <c r="C583" s="52" t="s">
        <v>42</v>
      </c>
      <c r="D583" s="53" t="str">
        <f t="array" ref="D583">index('Match Sched'!$C$3:$H753,match(B583,'Match Sched'!$A$3:$A753,0),if(mod(A583,6)=0,6,mod(A583,6)),0)</f>
        <v/>
      </c>
      <c r="E583" s="54"/>
      <c r="F583" s="55"/>
      <c r="G583" s="54"/>
      <c r="H583" s="54"/>
      <c r="I583" s="54"/>
      <c r="J583" s="54"/>
      <c r="K583" s="54"/>
      <c r="L583" s="54"/>
      <c r="M583" s="60"/>
      <c r="N583" s="57" t="str">
        <f>if(counta(E583:K583)&gt;0,SUM(I583:I585)+1, )</f>
        <v/>
      </c>
      <c r="O583" s="59" t="str">
        <f>if ( isblank (E583), E583, E583 + F583*'Control PanelOur Matches'!$K$2 + G583*5 + H583*(1/3) + I583*'Control PanelOur Matches'!$M$2 + J583*50)</f>
        <v/>
      </c>
      <c r="P583" s="59" t="str">
        <f t="shared" si="2"/>
        <v/>
      </c>
      <c r="Q583" s="60" t="str">
        <f t="shared" si="3"/>
        <v>no</v>
      </c>
      <c r="R583" s="60" t="str">
        <f t="shared" si="4"/>
        <v/>
      </c>
    </row>
    <row r="584" ht="15.0" customHeight="1">
      <c r="A584" s="49">
        <v>581.0</v>
      </c>
      <c r="B584" s="50">
        <v>97.0</v>
      </c>
      <c r="C584" s="52" t="s">
        <v>43</v>
      </c>
      <c r="D584" s="53" t="str">
        <f t="array" ref="D584">index('Match Sched'!$C$3:$H753,match(B584,'Match Sched'!$A$3:$A753,0),if(mod(A584,6)=0,6,mod(A584,6)),0)</f>
        <v/>
      </c>
      <c r="E584" s="54"/>
      <c r="F584" s="55"/>
      <c r="G584" s="54"/>
      <c r="H584" s="54"/>
      <c r="I584" s="54"/>
      <c r="J584" s="54"/>
      <c r="K584" s="54"/>
      <c r="L584" s="54"/>
      <c r="M584" s="60"/>
      <c r="N584" s="57" t="str">
        <f>N583</f>
        <v/>
      </c>
      <c r="O584" s="59" t="str">
        <f>if ( isblank (E584), E584, E584 + F584*'Control PanelOur Matches'!$K$2 + G584*5 + H584*(1/3) + I584*'Control PanelOur Matches'!$M$2 + J584*50)</f>
        <v/>
      </c>
      <c r="P584" s="59" t="str">
        <f t="shared" si="2"/>
        <v/>
      </c>
      <c r="Q584" s="60" t="str">
        <f t="shared" si="3"/>
        <v>no</v>
      </c>
      <c r="R584" s="60" t="str">
        <f t="shared" si="4"/>
        <v/>
      </c>
    </row>
    <row r="585" ht="15.0" customHeight="1">
      <c r="A585" s="49">
        <v>582.0</v>
      </c>
      <c r="B585" s="50">
        <v>97.0</v>
      </c>
      <c r="C585" s="52" t="s">
        <v>44</v>
      </c>
      <c r="D585" s="53" t="str">
        <f t="array" ref="D585">index('Match Sched'!$C$3:$H753,match(B585,'Match Sched'!$A$3:$A753,0),if(mod(A585,6)=0,6,mod(A585,6)),0)</f>
        <v/>
      </c>
      <c r="E585" s="54"/>
      <c r="F585" s="55"/>
      <c r="G585" s="54"/>
      <c r="H585" s="54"/>
      <c r="I585" s="54"/>
      <c r="J585" s="54"/>
      <c r="K585" s="54"/>
      <c r="L585" s="54"/>
      <c r="M585" s="60"/>
      <c r="N585" s="57" t="str">
        <f>N583</f>
        <v/>
      </c>
      <c r="O585" s="59" t="str">
        <f>if ( isblank (E585), E585, E585 + F585*'Control PanelOur Matches'!$K$2 + G585*5 + H585*(1/3) + I585*'Control PanelOur Matches'!$M$2 + J585*50)</f>
        <v/>
      </c>
      <c r="P585" s="59" t="str">
        <f t="shared" si="2"/>
        <v/>
      </c>
      <c r="Q585" s="60" t="str">
        <f t="shared" si="3"/>
        <v>no</v>
      </c>
      <c r="R585" s="60" t="str">
        <f t="shared" si="4"/>
        <v/>
      </c>
    </row>
    <row r="586" ht="15.0" customHeight="1">
      <c r="A586" s="65">
        <v>583.0</v>
      </c>
      <c r="B586" s="66">
        <v>98.0</v>
      </c>
      <c r="C586" s="52" t="s">
        <v>39</v>
      </c>
      <c r="D586" s="53" t="str">
        <f t="array" ref="D586">index('Match Sched'!$C$3:$H753,match(B586,'Match Sched'!$A$3:$A753,0),if(mod(A586,6)=0,6,mod(A586,6)),0)</f>
        <v/>
      </c>
      <c r="E586" s="54"/>
      <c r="F586" s="55"/>
      <c r="G586" s="67"/>
      <c r="H586" s="67"/>
      <c r="I586" s="67"/>
      <c r="J586" s="67"/>
      <c r="K586" s="67"/>
      <c r="L586" s="67"/>
      <c r="M586" s="60"/>
      <c r="N586" s="57" t="str">
        <f>if(counta(E586:K586)&gt;0,SUM(I586:I588)+1, )</f>
        <v/>
      </c>
      <c r="O586" s="59" t="str">
        <f>if ( isblank (E586), E586, E586 + F586*'Control PanelOur Matches'!$K$2 + G586*5 + H586*(1/3) + I586*'Control PanelOur Matches'!$M$2 + J586*50)</f>
        <v/>
      </c>
      <c r="P586" s="59" t="str">
        <f t="shared" si="2"/>
        <v/>
      </c>
      <c r="Q586" s="60" t="str">
        <f t="shared" si="3"/>
        <v>no</v>
      </c>
      <c r="R586" s="60" t="str">
        <f t="shared" si="4"/>
        <v/>
      </c>
    </row>
    <row r="587" ht="15.0" customHeight="1">
      <c r="A587" s="65">
        <v>584.0</v>
      </c>
      <c r="B587" s="66">
        <v>98.0</v>
      </c>
      <c r="C587" s="52" t="s">
        <v>40</v>
      </c>
      <c r="D587" s="53" t="str">
        <f t="array" ref="D587">index('Match Sched'!$C$3:$H753,match(B587,'Match Sched'!$A$3:$A753,0),if(mod(A587,6)=0,6,mod(A587,6)),0)</f>
        <v/>
      </c>
      <c r="E587" s="54"/>
      <c r="F587" s="55"/>
      <c r="G587" s="67"/>
      <c r="H587" s="67"/>
      <c r="I587" s="67"/>
      <c r="J587" s="67"/>
      <c r="K587" s="67"/>
      <c r="L587" s="67"/>
      <c r="M587" s="60"/>
      <c r="N587" s="57" t="str">
        <f>N586</f>
        <v/>
      </c>
      <c r="O587" s="59" t="str">
        <f>if ( isblank (E587), E587, E587 + F587*'Control PanelOur Matches'!$K$2 + G587*5 + H587*(1/3) + I587*'Control PanelOur Matches'!$M$2 + J587*50)</f>
        <v/>
      </c>
      <c r="P587" s="59" t="str">
        <f t="shared" si="2"/>
        <v/>
      </c>
      <c r="Q587" s="60" t="str">
        <f t="shared" si="3"/>
        <v>no</v>
      </c>
      <c r="R587" s="60" t="str">
        <f t="shared" si="4"/>
        <v/>
      </c>
    </row>
    <row r="588" ht="15.0" customHeight="1">
      <c r="A588" s="65">
        <v>585.0</v>
      </c>
      <c r="B588" s="66">
        <v>98.0</v>
      </c>
      <c r="C588" s="52" t="s">
        <v>41</v>
      </c>
      <c r="D588" s="53" t="str">
        <f t="array" ref="D588">index('Match Sched'!$C$3:$H753,match(B588,'Match Sched'!$A$3:$A753,0),if(mod(A588,6)=0,6,mod(A588,6)),0)</f>
        <v/>
      </c>
      <c r="E588" s="54"/>
      <c r="F588" s="55"/>
      <c r="G588" s="67"/>
      <c r="H588" s="67"/>
      <c r="I588" s="67"/>
      <c r="J588" s="67"/>
      <c r="K588" s="67"/>
      <c r="L588" s="67"/>
      <c r="M588" s="60"/>
      <c r="N588" s="57" t="str">
        <f>N586</f>
        <v/>
      </c>
      <c r="O588" s="59" t="str">
        <f>if ( isblank (E588), E588, E588 + F588*'Control PanelOur Matches'!$K$2 + G588*5 + H588*(1/3) + I588*'Control PanelOur Matches'!$M$2 + J588*50)</f>
        <v/>
      </c>
      <c r="P588" s="59" t="str">
        <f t="shared" si="2"/>
        <v/>
      </c>
      <c r="Q588" s="60" t="str">
        <f t="shared" si="3"/>
        <v>no</v>
      </c>
      <c r="R588" s="60" t="str">
        <f t="shared" si="4"/>
        <v/>
      </c>
    </row>
    <row r="589" ht="15.0" customHeight="1">
      <c r="A589" s="65">
        <v>586.0</v>
      </c>
      <c r="B589" s="66">
        <v>98.0</v>
      </c>
      <c r="C589" s="52" t="s">
        <v>42</v>
      </c>
      <c r="D589" s="53" t="str">
        <f t="array" ref="D589">index('Match Sched'!$C$3:$H753,match(B589,'Match Sched'!$A$3:$A753,0),if(mod(A589,6)=0,6,mod(A589,6)),0)</f>
        <v/>
      </c>
      <c r="E589" s="54"/>
      <c r="F589" s="55"/>
      <c r="G589" s="67"/>
      <c r="H589" s="67"/>
      <c r="I589" s="67"/>
      <c r="J589" s="67"/>
      <c r="K589" s="67"/>
      <c r="L589" s="67"/>
      <c r="M589" s="60"/>
      <c r="N589" s="57" t="str">
        <f>if(counta(E589:K589)&gt;0,SUM(I589:I591)+1, )</f>
        <v/>
      </c>
      <c r="O589" s="59" t="str">
        <f>if ( isblank (E589), E589, E589 + F589*'Control PanelOur Matches'!$K$2 + G589*5 + H589*(1/3) + I589*'Control PanelOur Matches'!$M$2 + J589*50)</f>
        <v/>
      </c>
      <c r="P589" s="59" t="str">
        <f t="shared" si="2"/>
        <v/>
      </c>
      <c r="Q589" s="60" t="str">
        <f t="shared" si="3"/>
        <v>no</v>
      </c>
      <c r="R589" s="60" t="str">
        <f t="shared" si="4"/>
        <v/>
      </c>
    </row>
    <row r="590" ht="15.0" customHeight="1">
      <c r="A590" s="65">
        <v>587.0</v>
      </c>
      <c r="B590" s="66">
        <v>98.0</v>
      </c>
      <c r="C590" s="52" t="s">
        <v>43</v>
      </c>
      <c r="D590" s="53" t="str">
        <f t="array" ref="D590">index('Match Sched'!$C$3:$H753,match(B590,'Match Sched'!$A$3:$A753,0),if(mod(A590,6)=0,6,mod(A590,6)),0)</f>
        <v/>
      </c>
      <c r="E590" s="54"/>
      <c r="F590" s="55"/>
      <c r="G590" s="67"/>
      <c r="H590" s="67"/>
      <c r="I590" s="67"/>
      <c r="J590" s="67"/>
      <c r="K590" s="67"/>
      <c r="L590" s="67"/>
      <c r="M590" s="60"/>
      <c r="N590" s="57" t="str">
        <f>N589</f>
        <v/>
      </c>
      <c r="O590" s="59" t="str">
        <f>if ( isblank (E590), E590, E590 + F590*'Control PanelOur Matches'!$K$2 + G590*5 + H590*(1/3) + I590*'Control PanelOur Matches'!$M$2 + J590*50)</f>
        <v/>
      </c>
      <c r="P590" s="59" t="str">
        <f t="shared" si="2"/>
        <v/>
      </c>
      <c r="Q590" s="60" t="str">
        <f t="shared" si="3"/>
        <v>no</v>
      </c>
      <c r="R590" s="60" t="str">
        <f t="shared" si="4"/>
        <v/>
      </c>
    </row>
    <row r="591" ht="15.0" customHeight="1">
      <c r="A591" s="65">
        <v>588.0</v>
      </c>
      <c r="B591" s="66">
        <v>98.0</v>
      </c>
      <c r="C591" s="68" t="s">
        <v>44</v>
      </c>
      <c r="D591" s="53" t="str">
        <f t="array" ref="D591">index('Match Sched'!$C$3:$H753,match(B591,'Match Sched'!$A$3:$A753,0),if(mod(A591,6)=0,6,mod(A591,6)),0)</f>
        <v/>
      </c>
      <c r="E591" s="54"/>
      <c r="F591" s="55"/>
      <c r="G591" s="67"/>
      <c r="H591" s="67"/>
      <c r="I591" s="67"/>
      <c r="J591" s="67"/>
      <c r="K591" s="67"/>
      <c r="L591" s="67"/>
      <c r="M591" s="60"/>
      <c r="N591" s="57" t="str">
        <f>N589</f>
        <v/>
      </c>
      <c r="O591" s="59" t="str">
        <f>if ( isblank (E591), E591, E591 + F591*'Control PanelOur Matches'!$K$2 + G591*5 + H591*(1/3) + I591*'Control PanelOur Matches'!$M$2 + J591*50)</f>
        <v/>
      </c>
      <c r="P591" s="59" t="str">
        <f t="shared" si="2"/>
        <v/>
      </c>
      <c r="Q591" s="60" t="str">
        <f t="shared" si="3"/>
        <v>no</v>
      </c>
      <c r="R591" s="60" t="str">
        <f t="shared" si="4"/>
        <v/>
      </c>
    </row>
    <row r="592" ht="15.0" customHeight="1">
      <c r="A592" s="49">
        <v>589.0</v>
      </c>
      <c r="B592" s="50">
        <v>99.0</v>
      </c>
      <c r="C592" s="52" t="s">
        <v>39</v>
      </c>
      <c r="D592" s="53" t="str">
        <f t="array" ref="D592">index('Match Sched'!$C$3:$H753,match(B592,'Match Sched'!$A$3:$A753,0),if(mod(A592,6)=0,6,mod(A592,6)),0)</f>
        <v/>
      </c>
      <c r="E592" s="54"/>
      <c r="F592" s="55"/>
      <c r="G592" s="54"/>
      <c r="H592" s="54"/>
      <c r="I592" s="54"/>
      <c r="J592" s="54"/>
      <c r="K592" s="54"/>
      <c r="L592" s="54"/>
      <c r="M592" s="60"/>
      <c r="N592" s="57" t="str">
        <f>if(counta(E592:K592)&gt;0,SUM(I592:I594)+1, )</f>
        <v/>
      </c>
      <c r="O592" s="59" t="str">
        <f>if ( isblank (E592), E592, E592 + F592*'Control PanelOur Matches'!$K$2 + G592*5 + H592*(1/3) + I592*'Control PanelOur Matches'!$M$2 + J592*50)</f>
        <v/>
      </c>
      <c r="P592" s="59" t="str">
        <f t="shared" si="2"/>
        <v/>
      </c>
      <c r="Q592" s="60" t="str">
        <f t="shared" si="3"/>
        <v>no</v>
      </c>
      <c r="R592" s="60" t="str">
        <f t="shared" si="4"/>
        <v/>
      </c>
    </row>
    <row r="593" ht="15.0" customHeight="1">
      <c r="A593" s="49">
        <v>590.0</v>
      </c>
      <c r="B593" s="50">
        <v>99.0</v>
      </c>
      <c r="C593" s="52" t="s">
        <v>40</v>
      </c>
      <c r="D593" s="53" t="str">
        <f t="array" ref="D593">index('Match Sched'!$C$3:$H753,match(B593,'Match Sched'!$A$3:$A753,0),if(mod(A593,6)=0,6,mod(A593,6)),0)</f>
        <v/>
      </c>
      <c r="E593" s="54"/>
      <c r="F593" s="55"/>
      <c r="G593" s="54"/>
      <c r="H593" s="54"/>
      <c r="I593" s="54"/>
      <c r="J593" s="54"/>
      <c r="K593" s="54"/>
      <c r="L593" s="54"/>
      <c r="M593" s="60"/>
      <c r="N593" s="57" t="str">
        <f>N592</f>
        <v/>
      </c>
      <c r="O593" s="59" t="str">
        <f>if ( isblank (E593), E593, E593 + F593*'Control PanelOur Matches'!$K$2 + G593*5 + H593*(1/3) + I593*'Control PanelOur Matches'!$M$2 + J593*50)</f>
        <v/>
      </c>
      <c r="P593" s="59" t="str">
        <f t="shared" si="2"/>
        <v/>
      </c>
      <c r="Q593" s="60" t="str">
        <f t="shared" si="3"/>
        <v>no</v>
      </c>
      <c r="R593" s="60" t="str">
        <f t="shared" si="4"/>
        <v/>
      </c>
    </row>
    <row r="594" ht="15.0" customHeight="1">
      <c r="A594" s="49">
        <v>591.0</v>
      </c>
      <c r="B594" s="50">
        <v>99.0</v>
      </c>
      <c r="C594" s="52" t="s">
        <v>41</v>
      </c>
      <c r="D594" s="53" t="str">
        <f t="array" ref="D594">index('Match Sched'!$C$3:$H753,match(B594,'Match Sched'!$A$3:$A753,0),if(mod(A594,6)=0,6,mod(A594,6)),0)</f>
        <v/>
      </c>
      <c r="E594" s="54"/>
      <c r="F594" s="55"/>
      <c r="G594" s="54"/>
      <c r="H594" s="54"/>
      <c r="I594" s="54"/>
      <c r="J594" s="54"/>
      <c r="K594" s="54"/>
      <c r="L594" s="54"/>
      <c r="M594" s="60"/>
      <c r="N594" s="57" t="str">
        <f>N592</f>
        <v/>
      </c>
      <c r="O594" s="59" t="str">
        <f>if ( isblank (E594), E594, E594 + F594*'Control PanelOur Matches'!$K$2 + G594*5 + H594*(1/3) + I594*'Control PanelOur Matches'!$M$2 + J594*50)</f>
        <v/>
      </c>
      <c r="P594" s="59" t="str">
        <f t="shared" si="2"/>
        <v/>
      </c>
      <c r="Q594" s="60" t="str">
        <f t="shared" si="3"/>
        <v>no</v>
      </c>
      <c r="R594" s="60" t="str">
        <f t="shared" si="4"/>
        <v/>
      </c>
    </row>
    <row r="595" ht="15.0" customHeight="1">
      <c r="A595" s="49">
        <v>592.0</v>
      </c>
      <c r="B595" s="50">
        <v>99.0</v>
      </c>
      <c r="C595" s="52" t="s">
        <v>42</v>
      </c>
      <c r="D595" s="53" t="str">
        <f t="array" ref="D595">index('Match Sched'!$C$3:$H753,match(B595,'Match Sched'!$A$3:$A753,0),if(mod(A595,6)=0,6,mod(A595,6)),0)</f>
        <v/>
      </c>
      <c r="E595" s="54"/>
      <c r="F595" s="55"/>
      <c r="G595" s="54"/>
      <c r="H595" s="54"/>
      <c r="I595" s="54"/>
      <c r="J595" s="54"/>
      <c r="K595" s="54"/>
      <c r="L595" s="54"/>
      <c r="M595" s="60"/>
      <c r="N595" s="57" t="str">
        <f>if(counta(E595:K595)&gt;0,SUM(I595:I597)+1, )</f>
        <v/>
      </c>
      <c r="O595" s="59" t="str">
        <f>if ( isblank (E595), E595, E595 + F595*'Control PanelOur Matches'!$K$2 + G595*5 + H595*(1/3) + I595*'Control PanelOur Matches'!$M$2 + J595*50)</f>
        <v/>
      </c>
      <c r="P595" s="59" t="str">
        <f t="shared" si="2"/>
        <v/>
      </c>
      <c r="Q595" s="60" t="str">
        <f t="shared" si="3"/>
        <v>no</v>
      </c>
      <c r="R595" s="60" t="str">
        <f t="shared" si="4"/>
        <v/>
      </c>
    </row>
    <row r="596" ht="15.0" customHeight="1">
      <c r="A596" s="49">
        <v>593.0</v>
      </c>
      <c r="B596" s="50">
        <v>99.0</v>
      </c>
      <c r="C596" s="52" t="s">
        <v>43</v>
      </c>
      <c r="D596" s="53" t="str">
        <f t="array" ref="D596">index('Match Sched'!$C$3:$H753,match(B596,'Match Sched'!$A$3:$A753,0),if(mod(A596,6)=0,6,mod(A596,6)),0)</f>
        <v/>
      </c>
      <c r="E596" s="54"/>
      <c r="F596" s="55"/>
      <c r="G596" s="54"/>
      <c r="H596" s="54"/>
      <c r="I596" s="54"/>
      <c r="J596" s="54"/>
      <c r="K596" s="54"/>
      <c r="L596" s="54"/>
      <c r="M596" s="60"/>
      <c r="N596" s="57" t="str">
        <f>N595</f>
        <v/>
      </c>
      <c r="O596" s="59" t="str">
        <f>if ( isblank (E596), E596, E596 + F596*'Control PanelOur Matches'!$K$2 + G596*5 + H596*(1/3) + I596*'Control PanelOur Matches'!$M$2 + J596*50)</f>
        <v/>
      </c>
      <c r="P596" s="59" t="str">
        <f t="shared" si="2"/>
        <v/>
      </c>
      <c r="Q596" s="60" t="str">
        <f t="shared" si="3"/>
        <v>no</v>
      </c>
      <c r="R596" s="60" t="str">
        <f t="shared" si="4"/>
        <v/>
      </c>
    </row>
    <row r="597" ht="15.0" customHeight="1">
      <c r="A597" s="49">
        <v>594.0</v>
      </c>
      <c r="B597" s="50">
        <v>99.0</v>
      </c>
      <c r="C597" s="52" t="s">
        <v>44</v>
      </c>
      <c r="D597" s="53" t="str">
        <f t="array" ref="D597">index('Match Sched'!$C$3:$H753,match(B597,'Match Sched'!$A$3:$A753,0),if(mod(A597,6)=0,6,mod(A597,6)),0)</f>
        <v/>
      </c>
      <c r="E597" s="54"/>
      <c r="F597" s="55"/>
      <c r="G597" s="54"/>
      <c r="H597" s="54"/>
      <c r="I597" s="54"/>
      <c r="J597" s="54"/>
      <c r="K597" s="54"/>
      <c r="L597" s="54"/>
      <c r="M597" s="60"/>
      <c r="N597" s="57" t="str">
        <f>N595</f>
        <v/>
      </c>
      <c r="O597" s="59" t="str">
        <f>if ( isblank (E597), E597, E597 + F597*'Control PanelOur Matches'!$K$2 + G597*5 + H597*(1/3) + I597*'Control PanelOur Matches'!$M$2 + J597*50)</f>
        <v/>
      </c>
      <c r="P597" s="59" t="str">
        <f t="shared" si="2"/>
        <v/>
      </c>
      <c r="Q597" s="60" t="str">
        <f t="shared" si="3"/>
        <v>no</v>
      </c>
      <c r="R597" s="60" t="str">
        <f t="shared" si="4"/>
        <v/>
      </c>
    </row>
    <row r="598" ht="15.0" customHeight="1">
      <c r="A598" s="65">
        <v>595.0</v>
      </c>
      <c r="B598" s="66">
        <v>100.0</v>
      </c>
      <c r="C598" s="52" t="s">
        <v>39</v>
      </c>
      <c r="D598" s="53" t="str">
        <f t="array" ref="D598">index('Match Sched'!$C$3:$H753,match(B598,'Match Sched'!$A$3:$A753,0),if(mod(A598,6)=0,6,mod(A598,6)),0)</f>
        <v/>
      </c>
      <c r="E598" s="54"/>
      <c r="F598" s="55"/>
      <c r="G598" s="67"/>
      <c r="H598" s="67"/>
      <c r="I598" s="67"/>
      <c r="J598" s="67"/>
      <c r="K598" s="67"/>
      <c r="L598" s="67"/>
      <c r="M598" s="60"/>
      <c r="N598" s="57" t="str">
        <f>if(counta(E598:K598)&gt;0,SUM(I598:I600)+1, )</f>
        <v/>
      </c>
      <c r="O598" s="59" t="str">
        <f>if ( isblank (E598), E598, E598 + F598*'Control PanelOur Matches'!$K$2 + G598*5 + H598*(1/3) + I598*'Control PanelOur Matches'!$M$2 + J598*50)</f>
        <v/>
      </c>
      <c r="P598" s="59" t="str">
        <f t="shared" si="2"/>
        <v/>
      </c>
      <c r="Q598" s="60" t="str">
        <f t="shared" si="3"/>
        <v>no</v>
      </c>
      <c r="R598" s="60" t="str">
        <f t="shared" si="4"/>
        <v/>
      </c>
    </row>
    <row r="599" ht="15.0" customHeight="1">
      <c r="A599" s="65">
        <v>596.0</v>
      </c>
      <c r="B599" s="66">
        <v>100.0</v>
      </c>
      <c r="C599" s="69" t="s">
        <v>40</v>
      </c>
      <c r="D599" s="53" t="str">
        <f t="array" ref="D599">index('Match Sched'!$C$3:$H753,match(B599,'Match Sched'!$A$3:$A753,0),if(mod(A599,6)=0,6,mod(A599,6)),0)</f>
        <v/>
      </c>
      <c r="E599" s="54"/>
      <c r="F599" s="55"/>
      <c r="G599" s="67"/>
      <c r="H599" s="67"/>
      <c r="I599" s="67"/>
      <c r="J599" s="67"/>
      <c r="K599" s="67"/>
      <c r="L599" s="67"/>
      <c r="M599" s="60"/>
      <c r="N599" s="57" t="str">
        <f>N598</f>
        <v/>
      </c>
      <c r="O599" s="59" t="str">
        <f>if ( isblank (E599), E599, E599 + F599*'Control PanelOur Matches'!$K$2 + G599*5 + H599*(1/3) + I599*'Control PanelOur Matches'!$M$2 + J599*50)</f>
        <v/>
      </c>
      <c r="P599" s="59" t="str">
        <f t="shared" si="2"/>
        <v/>
      </c>
      <c r="Q599" s="60" t="str">
        <f t="shared" si="3"/>
        <v>no</v>
      </c>
      <c r="R599" s="60" t="str">
        <f t="shared" si="4"/>
        <v/>
      </c>
    </row>
    <row r="600" ht="15.0" customHeight="1">
      <c r="A600" s="65">
        <v>597.0</v>
      </c>
      <c r="B600" s="66">
        <v>100.0</v>
      </c>
      <c r="C600" s="52" t="s">
        <v>41</v>
      </c>
      <c r="D600" s="53" t="str">
        <f t="array" ref="D600">index('Match Sched'!$C$3:$H753,match(B600,'Match Sched'!$A$3:$A753,0),if(mod(A600,6)=0,6,mod(A600,6)),0)</f>
        <v/>
      </c>
      <c r="E600" s="54"/>
      <c r="F600" s="55"/>
      <c r="G600" s="67"/>
      <c r="H600" s="67"/>
      <c r="I600" s="67"/>
      <c r="J600" s="67"/>
      <c r="K600" s="67"/>
      <c r="L600" s="67"/>
      <c r="M600" s="60"/>
      <c r="N600" s="57" t="str">
        <f>N598</f>
        <v/>
      </c>
      <c r="O600" s="59" t="str">
        <f>if ( isblank (E600), E600, E600 + F600*'Control PanelOur Matches'!$K$2 + G600*5 + H600*(1/3) + I600*'Control PanelOur Matches'!$M$2 + J600*50)</f>
        <v/>
      </c>
      <c r="P600" s="59" t="str">
        <f t="shared" si="2"/>
        <v/>
      </c>
      <c r="Q600" s="60" t="str">
        <f t="shared" si="3"/>
        <v>no</v>
      </c>
      <c r="R600" s="60" t="str">
        <f t="shared" si="4"/>
        <v/>
      </c>
    </row>
    <row r="601" ht="15.0" customHeight="1">
      <c r="A601" s="65">
        <v>598.0</v>
      </c>
      <c r="B601" s="66">
        <v>100.0</v>
      </c>
      <c r="C601" s="52" t="s">
        <v>42</v>
      </c>
      <c r="D601" s="53" t="str">
        <f t="array" ref="D601">index('Match Sched'!$C$3:$H753,match(B601,'Match Sched'!$A$3:$A753,0),if(mod(A601,6)=0,6,mod(A601,6)),0)</f>
        <v/>
      </c>
      <c r="E601" s="54"/>
      <c r="F601" s="55"/>
      <c r="G601" s="67"/>
      <c r="H601" s="67"/>
      <c r="I601" s="67"/>
      <c r="J601" s="67"/>
      <c r="K601" s="67"/>
      <c r="L601" s="67"/>
      <c r="M601" s="60"/>
      <c r="N601" s="57" t="str">
        <f>if(counta(E601:K601)&gt;0,SUM(I601:I603)+1, )</f>
        <v/>
      </c>
      <c r="O601" s="59" t="str">
        <f>if ( isblank (E601), E601, E601 + F601*'Control PanelOur Matches'!$K$2 + G601*5 + H601*(1/3) + I601*'Control PanelOur Matches'!$M$2 + J601*50)</f>
        <v/>
      </c>
      <c r="P601" s="59" t="str">
        <f t="shared" si="2"/>
        <v/>
      </c>
      <c r="Q601" s="60" t="str">
        <f t="shared" si="3"/>
        <v>no</v>
      </c>
      <c r="R601" s="60" t="str">
        <f t="shared" si="4"/>
        <v/>
      </c>
    </row>
    <row r="602" ht="15.0" customHeight="1">
      <c r="A602" s="65">
        <v>599.0</v>
      </c>
      <c r="B602" s="66">
        <v>100.0</v>
      </c>
      <c r="C602" s="52" t="s">
        <v>43</v>
      </c>
      <c r="D602" s="53" t="str">
        <f t="array" ref="D602">index('Match Sched'!$C$3:$H753,match(B602,'Match Sched'!$A$3:$A753,0),if(mod(A602,6)=0,6,mod(A602,6)),0)</f>
        <v/>
      </c>
      <c r="E602" s="54"/>
      <c r="F602" s="55"/>
      <c r="G602" s="67"/>
      <c r="H602" s="67"/>
      <c r="I602" s="67"/>
      <c r="J602" s="67"/>
      <c r="K602" s="67"/>
      <c r="L602" s="67"/>
      <c r="M602" s="60"/>
      <c r="N602" s="57" t="str">
        <f>N601</f>
        <v/>
      </c>
      <c r="O602" s="59" t="str">
        <f>if ( isblank (E602), E602, E602 + F602*'Control PanelOur Matches'!$K$2 + G602*5 + H602*(1/3) + I602*'Control PanelOur Matches'!$M$2 + J602*50)</f>
        <v/>
      </c>
      <c r="P602" s="59" t="str">
        <f t="shared" si="2"/>
        <v/>
      </c>
      <c r="Q602" s="60" t="str">
        <f t="shared" si="3"/>
        <v>no</v>
      </c>
      <c r="R602" s="60" t="str">
        <f t="shared" si="4"/>
        <v/>
      </c>
    </row>
    <row r="603" ht="15.0" customHeight="1">
      <c r="A603" s="65">
        <v>600.0</v>
      </c>
      <c r="B603" s="66">
        <v>100.0</v>
      </c>
      <c r="C603" s="68" t="s">
        <v>44</v>
      </c>
      <c r="D603" s="53" t="str">
        <f t="array" ref="D603">index('Match Sched'!$C$3:$H753,match(B603,'Match Sched'!$A$3:$A753,0),if(mod(A603,6)=0,6,mod(A603,6)),0)</f>
        <v/>
      </c>
      <c r="E603" s="54"/>
      <c r="F603" s="55"/>
      <c r="G603" s="67"/>
      <c r="H603" s="67"/>
      <c r="I603" s="67"/>
      <c r="J603" s="67"/>
      <c r="K603" s="67"/>
      <c r="L603" s="67"/>
      <c r="M603" s="60"/>
      <c r="N603" s="57" t="str">
        <f>N601</f>
        <v/>
      </c>
      <c r="O603" s="59" t="str">
        <f>if ( isblank (E603), E603, E603 + F603*'Control PanelOur Matches'!$K$2 + G603*5 + H603*(1/3) + I603*'Control PanelOur Matches'!$M$2 + J603*50)</f>
        <v/>
      </c>
      <c r="P603" s="59" t="str">
        <f t="shared" si="2"/>
        <v/>
      </c>
      <c r="Q603" s="60" t="str">
        <f t="shared" si="3"/>
        <v>no</v>
      </c>
      <c r="R603" s="60" t="str">
        <f t="shared" si="4"/>
        <v/>
      </c>
    </row>
    <row r="604" ht="15.0" customHeight="1">
      <c r="A604" s="49">
        <v>601.0</v>
      </c>
      <c r="B604" s="50">
        <v>101.0</v>
      </c>
      <c r="C604" s="52" t="s">
        <v>39</v>
      </c>
      <c r="D604" s="53" t="str">
        <f t="array" ref="D604">index('Match Sched'!$C$3:$H753,match(B604,'Match Sched'!$A$3:$A753,0),if(mod(A604,6)=0,6,mod(A604,6)),0)</f>
        <v/>
      </c>
      <c r="E604" s="54"/>
      <c r="F604" s="55"/>
      <c r="G604" s="54"/>
      <c r="H604" s="54"/>
      <c r="I604" s="54"/>
      <c r="J604" s="54"/>
      <c r="K604" s="54"/>
      <c r="L604" s="54"/>
      <c r="M604" s="60"/>
      <c r="N604" s="57" t="str">
        <f>if(counta(E604:K604)&gt;0,SUM(I604:I606)+1, )</f>
        <v/>
      </c>
      <c r="O604" s="59" t="str">
        <f>if ( isblank (E604), E604, E604 + F604*'Control PanelOur Matches'!$K$2 + G604*5 + H604*(1/3) + I604*'Control PanelOur Matches'!$M$2 + J604*50)</f>
        <v/>
      </c>
      <c r="P604" s="59" t="str">
        <f t="shared" si="2"/>
        <v/>
      </c>
      <c r="Q604" s="60" t="str">
        <f t="shared" si="3"/>
        <v>no</v>
      </c>
      <c r="R604" s="60" t="str">
        <f t="shared" si="4"/>
        <v/>
      </c>
    </row>
    <row r="605" ht="15.0" customHeight="1">
      <c r="A605" s="49">
        <v>602.0</v>
      </c>
      <c r="B605" s="50">
        <v>101.0</v>
      </c>
      <c r="C605" s="52" t="s">
        <v>40</v>
      </c>
      <c r="D605" s="53" t="str">
        <f t="array" ref="D605">index('Match Sched'!$C$3:$H753,match(B605,'Match Sched'!$A$3:$A753,0),if(mod(A605,6)=0,6,mod(A605,6)),0)</f>
        <v/>
      </c>
      <c r="E605" s="54"/>
      <c r="F605" s="55"/>
      <c r="G605" s="54"/>
      <c r="H605" s="54"/>
      <c r="I605" s="54"/>
      <c r="J605" s="54"/>
      <c r="K605" s="54"/>
      <c r="L605" s="54"/>
      <c r="M605" s="60"/>
      <c r="N605" s="57" t="str">
        <f>N604</f>
        <v/>
      </c>
      <c r="O605" s="59" t="str">
        <f>if ( isblank (E605), E605, E605 + F605*'Control PanelOur Matches'!$K$2 + G605*5 + H605*(1/3) + I605*'Control PanelOur Matches'!$M$2 + J605*50)</f>
        <v/>
      </c>
      <c r="P605" s="59" t="str">
        <f t="shared" si="2"/>
        <v/>
      </c>
      <c r="Q605" s="60" t="str">
        <f t="shared" si="3"/>
        <v>no</v>
      </c>
      <c r="R605" s="60" t="str">
        <f t="shared" si="4"/>
        <v/>
      </c>
    </row>
    <row r="606" ht="15.0" customHeight="1">
      <c r="A606" s="49">
        <v>603.0</v>
      </c>
      <c r="B606" s="50">
        <v>101.0</v>
      </c>
      <c r="C606" s="52" t="s">
        <v>41</v>
      </c>
      <c r="D606" s="53" t="str">
        <f t="array" ref="D606">index('Match Sched'!$C$3:$H753,match(B606,'Match Sched'!$A$3:$A753,0),if(mod(A606,6)=0,6,mod(A606,6)),0)</f>
        <v/>
      </c>
      <c r="E606" s="54"/>
      <c r="F606" s="55"/>
      <c r="G606" s="54"/>
      <c r="H606" s="54"/>
      <c r="I606" s="54"/>
      <c r="J606" s="54"/>
      <c r="K606" s="54"/>
      <c r="L606" s="54"/>
      <c r="M606" s="60"/>
      <c r="N606" s="57" t="str">
        <f>N604</f>
        <v/>
      </c>
      <c r="O606" s="59" t="str">
        <f>if ( isblank (E606), E606, E606 + F606*'Control PanelOur Matches'!$K$2 + G606*5 + H606*(1/3) + I606*'Control PanelOur Matches'!$M$2 + J606*50)</f>
        <v/>
      </c>
      <c r="P606" s="59" t="str">
        <f t="shared" si="2"/>
        <v/>
      </c>
      <c r="Q606" s="60" t="str">
        <f t="shared" si="3"/>
        <v>no</v>
      </c>
      <c r="R606" s="60" t="str">
        <f t="shared" si="4"/>
        <v/>
      </c>
    </row>
    <row r="607" ht="15.0" customHeight="1">
      <c r="A607" s="49">
        <v>604.0</v>
      </c>
      <c r="B607" s="50">
        <v>101.0</v>
      </c>
      <c r="C607" s="52" t="s">
        <v>42</v>
      </c>
      <c r="D607" s="53" t="str">
        <f t="array" ref="D607">index('Match Sched'!$C$3:$H753,match(B607,'Match Sched'!$A$3:$A753,0),if(mod(A607,6)=0,6,mod(A607,6)),0)</f>
        <v/>
      </c>
      <c r="E607" s="54"/>
      <c r="F607" s="55"/>
      <c r="G607" s="54"/>
      <c r="H607" s="54"/>
      <c r="I607" s="54"/>
      <c r="J607" s="54"/>
      <c r="K607" s="54"/>
      <c r="L607" s="54"/>
      <c r="M607" s="60"/>
      <c r="N607" s="57" t="str">
        <f>if(counta(E607:K607)&gt;0,SUM(I607:I609)+1, )</f>
        <v/>
      </c>
      <c r="O607" s="59" t="str">
        <f>if ( isblank (E607), E607, E607 + F607*'Control PanelOur Matches'!$K$2 + G607*5 + H607*(1/3) + I607*'Control PanelOur Matches'!$M$2 + J607*50)</f>
        <v/>
      </c>
      <c r="P607" s="59" t="str">
        <f t="shared" si="2"/>
        <v/>
      </c>
      <c r="Q607" s="60" t="str">
        <f t="shared" si="3"/>
        <v>no</v>
      </c>
      <c r="R607" s="60" t="str">
        <f t="shared" si="4"/>
        <v/>
      </c>
    </row>
    <row r="608" ht="15.0" customHeight="1">
      <c r="A608" s="49">
        <v>605.0</v>
      </c>
      <c r="B608" s="50">
        <v>101.0</v>
      </c>
      <c r="C608" s="52" t="s">
        <v>43</v>
      </c>
      <c r="D608" s="53" t="str">
        <f t="array" ref="D608">index('Match Sched'!$C$3:$H753,match(B608,'Match Sched'!$A$3:$A753,0),if(mod(A608,6)=0,6,mod(A608,6)),0)</f>
        <v/>
      </c>
      <c r="E608" s="54"/>
      <c r="F608" s="55"/>
      <c r="G608" s="54"/>
      <c r="H608" s="54"/>
      <c r="I608" s="54"/>
      <c r="J608" s="54"/>
      <c r="K608" s="54"/>
      <c r="L608" s="54"/>
      <c r="M608" s="60"/>
      <c r="N608" s="57" t="str">
        <f>N607</f>
        <v/>
      </c>
      <c r="O608" s="59" t="str">
        <f>if ( isblank (E608), E608, E608 + F608*'Control PanelOur Matches'!$K$2 + G608*5 + H608*(1/3) + I608*'Control PanelOur Matches'!$M$2 + J608*50)</f>
        <v/>
      </c>
      <c r="P608" s="59" t="str">
        <f t="shared" si="2"/>
        <v/>
      </c>
      <c r="Q608" s="60" t="str">
        <f t="shared" si="3"/>
        <v>no</v>
      </c>
      <c r="R608" s="60" t="str">
        <f t="shared" si="4"/>
        <v/>
      </c>
    </row>
    <row r="609" ht="15.0" customHeight="1">
      <c r="A609" s="49">
        <v>606.0</v>
      </c>
      <c r="B609" s="50">
        <v>101.0</v>
      </c>
      <c r="C609" s="52" t="s">
        <v>44</v>
      </c>
      <c r="D609" s="53" t="str">
        <f t="array" ref="D609">index('Match Sched'!$C$3:$H753,match(B609,'Match Sched'!$A$3:$A753,0),if(mod(A609,6)=0,6,mod(A609,6)),0)</f>
        <v/>
      </c>
      <c r="E609" s="54"/>
      <c r="F609" s="55"/>
      <c r="G609" s="54"/>
      <c r="H609" s="54"/>
      <c r="I609" s="54"/>
      <c r="J609" s="54"/>
      <c r="K609" s="54"/>
      <c r="L609" s="54"/>
      <c r="M609" s="60"/>
      <c r="N609" s="57" t="str">
        <f>N607</f>
        <v/>
      </c>
      <c r="O609" s="59" t="str">
        <f>if ( isblank (E609), E609, E609 + F609*'Control PanelOur Matches'!$K$2 + G609*5 + H609*(1/3) + I609*'Control PanelOur Matches'!$M$2 + J609*50)</f>
        <v/>
      </c>
      <c r="P609" s="59" t="str">
        <f t="shared" si="2"/>
        <v/>
      </c>
      <c r="Q609" s="60" t="str">
        <f t="shared" si="3"/>
        <v>no</v>
      </c>
      <c r="R609" s="60" t="str">
        <f t="shared" si="4"/>
        <v/>
      </c>
    </row>
    <row r="610" ht="15.0" customHeight="1">
      <c r="A610" s="65">
        <v>607.0</v>
      </c>
      <c r="B610" s="66">
        <v>102.0</v>
      </c>
      <c r="C610" s="52" t="s">
        <v>39</v>
      </c>
      <c r="D610" s="53" t="str">
        <f t="array" ref="D610">index('Match Sched'!$C$3:$H753,match(B610,'Match Sched'!$A$3:$A753,0),if(mod(A610,6)=0,6,mod(A610,6)),0)</f>
        <v/>
      </c>
      <c r="E610" s="54"/>
      <c r="F610" s="55"/>
      <c r="G610" s="67"/>
      <c r="H610" s="67"/>
      <c r="I610" s="67"/>
      <c r="J610" s="67"/>
      <c r="K610" s="67"/>
      <c r="L610" s="67"/>
      <c r="M610" s="60"/>
      <c r="N610" s="57" t="str">
        <f>if(counta(E610:K610)&gt;0,SUM(I610:I612)+1, )</f>
        <v/>
      </c>
      <c r="O610" s="59" t="str">
        <f>if ( isblank (E610), E610, E610 + F610*'Control PanelOur Matches'!$K$2 + G610*5 + H610*(1/3) + I610*'Control PanelOur Matches'!$M$2 + J610*50)</f>
        <v/>
      </c>
      <c r="P610" s="59" t="str">
        <f t="shared" si="2"/>
        <v/>
      </c>
      <c r="Q610" s="60" t="str">
        <f t="shared" si="3"/>
        <v>no</v>
      </c>
      <c r="R610" s="60" t="str">
        <f t="shared" si="4"/>
        <v/>
      </c>
    </row>
    <row r="611" ht="15.0" customHeight="1">
      <c r="A611" s="65">
        <v>608.0</v>
      </c>
      <c r="B611" s="66">
        <v>102.0</v>
      </c>
      <c r="C611" s="52" t="s">
        <v>40</v>
      </c>
      <c r="D611" s="53" t="str">
        <f t="array" ref="D611">index('Match Sched'!$C$3:$H753,match(B611,'Match Sched'!$A$3:$A753,0),if(mod(A611,6)=0,6,mod(A611,6)),0)</f>
        <v/>
      </c>
      <c r="E611" s="54"/>
      <c r="F611" s="55"/>
      <c r="G611" s="67"/>
      <c r="H611" s="67"/>
      <c r="I611" s="67"/>
      <c r="J611" s="67"/>
      <c r="K611" s="67"/>
      <c r="L611" s="67"/>
      <c r="M611" s="60"/>
      <c r="N611" s="57" t="str">
        <f>N610</f>
        <v/>
      </c>
      <c r="O611" s="59" t="str">
        <f>if ( isblank (E611), E611, E611 + F611*'Control PanelOur Matches'!$K$2 + G611*5 + H611*(1/3) + I611*'Control PanelOur Matches'!$M$2 + J611*50)</f>
        <v/>
      </c>
      <c r="P611" s="59" t="str">
        <f t="shared" si="2"/>
        <v/>
      </c>
      <c r="Q611" s="60" t="str">
        <f t="shared" si="3"/>
        <v>no</v>
      </c>
      <c r="R611" s="60" t="str">
        <f t="shared" si="4"/>
        <v/>
      </c>
    </row>
    <row r="612" ht="15.0" customHeight="1">
      <c r="A612" s="65">
        <v>609.0</v>
      </c>
      <c r="B612" s="66">
        <v>102.0</v>
      </c>
      <c r="C612" s="52" t="s">
        <v>41</v>
      </c>
      <c r="D612" s="53" t="str">
        <f t="array" ref="D612">index('Match Sched'!$C$3:$H753,match(B612,'Match Sched'!$A$3:$A753,0),if(mod(A612,6)=0,6,mod(A612,6)),0)</f>
        <v/>
      </c>
      <c r="E612" s="54"/>
      <c r="F612" s="55"/>
      <c r="G612" s="67"/>
      <c r="H612" s="67"/>
      <c r="I612" s="67"/>
      <c r="J612" s="67"/>
      <c r="K612" s="67"/>
      <c r="L612" s="67"/>
      <c r="M612" s="60"/>
      <c r="N612" s="57" t="str">
        <f>N610</f>
        <v/>
      </c>
      <c r="O612" s="59" t="str">
        <f>if ( isblank (E612), E612, E612 + F612*'Control PanelOur Matches'!$K$2 + G612*5 + H612*(1/3) + I612*'Control PanelOur Matches'!$M$2 + J612*50)</f>
        <v/>
      </c>
      <c r="P612" s="59" t="str">
        <f t="shared" si="2"/>
        <v/>
      </c>
      <c r="Q612" s="60" t="str">
        <f t="shared" si="3"/>
        <v>no</v>
      </c>
      <c r="R612" s="60" t="str">
        <f t="shared" si="4"/>
        <v/>
      </c>
    </row>
    <row r="613" ht="15.0" customHeight="1">
      <c r="A613" s="65">
        <v>610.0</v>
      </c>
      <c r="B613" s="66">
        <v>102.0</v>
      </c>
      <c r="C613" s="52" t="s">
        <v>42</v>
      </c>
      <c r="D613" s="53" t="str">
        <f t="array" ref="D613">index('Match Sched'!$C$3:$H753,match(B613,'Match Sched'!$A$3:$A753,0),if(mod(A613,6)=0,6,mod(A613,6)),0)</f>
        <v/>
      </c>
      <c r="E613" s="54"/>
      <c r="F613" s="55"/>
      <c r="G613" s="67"/>
      <c r="H613" s="67"/>
      <c r="I613" s="67"/>
      <c r="J613" s="67"/>
      <c r="K613" s="67"/>
      <c r="L613" s="67"/>
      <c r="M613" s="60"/>
      <c r="N613" s="57" t="str">
        <f>if(counta(E613:K613)&gt;0,SUM(I613:I615)+1, )</f>
        <v/>
      </c>
      <c r="O613" s="59" t="str">
        <f>if ( isblank (E613), E613, E613 + F613*'Control PanelOur Matches'!$K$2 + G613*5 + H613*(1/3) + I613*'Control PanelOur Matches'!$M$2 + J613*50)</f>
        <v/>
      </c>
      <c r="P613" s="59" t="str">
        <f t="shared" si="2"/>
        <v/>
      </c>
      <c r="Q613" s="60" t="str">
        <f t="shared" si="3"/>
        <v>no</v>
      </c>
      <c r="R613" s="60" t="str">
        <f t="shared" si="4"/>
        <v/>
      </c>
    </row>
    <row r="614" ht="15.0" customHeight="1">
      <c r="A614" s="65">
        <v>611.0</v>
      </c>
      <c r="B614" s="66">
        <v>102.0</v>
      </c>
      <c r="C614" s="52" t="s">
        <v>43</v>
      </c>
      <c r="D614" s="53" t="str">
        <f t="array" ref="D614">index('Match Sched'!$C$3:$H753,match(B614,'Match Sched'!$A$3:$A753,0),if(mod(A614,6)=0,6,mod(A614,6)),0)</f>
        <v/>
      </c>
      <c r="E614" s="54"/>
      <c r="F614" s="55"/>
      <c r="G614" s="67"/>
      <c r="H614" s="67"/>
      <c r="I614" s="67"/>
      <c r="J614" s="67"/>
      <c r="K614" s="67"/>
      <c r="L614" s="67"/>
      <c r="M614" s="60"/>
      <c r="N614" s="57" t="str">
        <f>N613</f>
        <v/>
      </c>
      <c r="O614" s="59" t="str">
        <f>if ( isblank (E614), E614, E614 + F614*'Control PanelOur Matches'!$K$2 + G614*5 + H614*(1/3) + I614*'Control PanelOur Matches'!$M$2 + J614*50)</f>
        <v/>
      </c>
      <c r="P614" s="59" t="str">
        <f t="shared" si="2"/>
        <v/>
      </c>
      <c r="Q614" s="60" t="str">
        <f t="shared" si="3"/>
        <v>no</v>
      </c>
      <c r="R614" s="60" t="str">
        <f t="shared" si="4"/>
        <v/>
      </c>
    </row>
    <row r="615" ht="15.0" customHeight="1">
      <c r="A615" s="65">
        <v>612.0</v>
      </c>
      <c r="B615" s="66">
        <v>102.0</v>
      </c>
      <c r="C615" s="68" t="s">
        <v>44</v>
      </c>
      <c r="D615" s="53" t="str">
        <f t="array" ref="D615">index('Match Sched'!$C$3:$H753,match(B615,'Match Sched'!$A$3:$A753,0),if(mod(A615,6)=0,6,mod(A615,6)),0)</f>
        <v/>
      </c>
      <c r="E615" s="54"/>
      <c r="F615" s="55"/>
      <c r="G615" s="67"/>
      <c r="H615" s="67"/>
      <c r="I615" s="67"/>
      <c r="J615" s="67"/>
      <c r="K615" s="67"/>
      <c r="L615" s="67"/>
      <c r="M615" s="60"/>
      <c r="N615" s="57" t="str">
        <f>N613</f>
        <v/>
      </c>
      <c r="O615" s="59" t="str">
        <f>if ( isblank (E615), E615, E615 + F615*'Control PanelOur Matches'!$K$2 + G615*5 + H615*(1/3) + I615*'Control PanelOur Matches'!$M$2 + J615*50)</f>
        <v/>
      </c>
      <c r="P615" s="59" t="str">
        <f t="shared" si="2"/>
        <v/>
      </c>
      <c r="Q615" s="60" t="str">
        <f t="shared" si="3"/>
        <v>no</v>
      </c>
      <c r="R615" s="60" t="str">
        <f t="shared" si="4"/>
        <v/>
      </c>
    </row>
    <row r="616" ht="15.0" customHeight="1">
      <c r="A616" s="49">
        <v>613.0</v>
      </c>
      <c r="B616" s="50">
        <v>103.0</v>
      </c>
      <c r="C616" s="52" t="s">
        <v>39</v>
      </c>
      <c r="D616" s="53" t="str">
        <f t="array" ref="D616">index('Match Sched'!$C$3:$H753,match(B616,'Match Sched'!$A$3:$A753,0),if(mod(A616,6)=0,6,mod(A616,6)),0)</f>
        <v/>
      </c>
      <c r="E616" s="54"/>
      <c r="F616" s="55"/>
      <c r="G616" s="54"/>
      <c r="H616" s="54"/>
      <c r="I616" s="54"/>
      <c r="J616" s="54"/>
      <c r="K616" s="54"/>
      <c r="L616" s="54"/>
      <c r="M616" s="60"/>
      <c r="N616" s="57" t="str">
        <f>if(counta(E616:K616)&gt;0,SUM(I616:I618)+1, )</f>
        <v/>
      </c>
      <c r="O616" s="59" t="str">
        <f>if ( isblank (E616), E616, E616 + F616*'Control PanelOur Matches'!$K$2 + G616*5 + H616*(1/3) + I616*'Control PanelOur Matches'!$M$2 + J616*50)</f>
        <v/>
      </c>
      <c r="P616" s="59" t="str">
        <f t="shared" si="2"/>
        <v/>
      </c>
      <c r="Q616" s="60" t="str">
        <f t="shared" si="3"/>
        <v>no</v>
      </c>
      <c r="R616" s="60" t="str">
        <f t="shared" si="4"/>
        <v/>
      </c>
    </row>
    <row r="617" ht="15.0" customHeight="1">
      <c r="A617" s="49">
        <v>614.0</v>
      </c>
      <c r="B617" s="50">
        <v>103.0</v>
      </c>
      <c r="C617" s="52" t="s">
        <v>40</v>
      </c>
      <c r="D617" s="53" t="str">
        <f t="array" ref="D617">index('Match Sched'!$C$3:$H753,match(B617,'Match Sched'!$A$3:$A753,0),if(mod(A617,6)=0,6,mod(A617,6)),0)</f>
        <v/>
      </c>
      <c r="E617" s="54"/>
      <c r="F617" s="55"/>
      <c r="G617" s="54"/>
      <c r="H617" s="54"/>
      <c r="I617" s="54"/>
      <c r="J617" s="54"/>
      <c r="K617" s="54"/>
      <c r="L617" s="54"/>
      <c r="M617" s="60"/>
      <c r="N617" s="57" t="str">
        <f>N616</f>
        <v/>
      </c>
      <c r="O617" s="59" t="str">
        <f>if ( isblank (E617), E617, E617 + F617*'Control PanelOur Matches'!$K$2 + G617*5 + H617*(1/3) + I617*'Control PanelOur Matches'!$M$2 + J617*50)</f>
        <v/>
      </c>
      <c r="P617" s="59" t="str">
        <f t="shared" si="2"/>
        <v/>
      </c>
      <c r="Q617" s="60" t="str">
        <f t="shared" si="3"/>
        <v>no</v>
      </c>
      <c r="R617" s="60" t="str">
        <f t="shared" si="4"/>
        <v/>
      </c>
    </row>
    <row r="618" ht="15.0" customHeight="1">
      <c r="A618" s="49">
        <v>615.0</v>
      </c>
      <c r="B618" s="50">
        <v>103.0</v>
      </c>
      <c r="C618" s="52" t="s">
        <v>41</v>
      </c>
      <c r="D618" s="53" t="str">
        <f t="array" ref="D618">index('Match Sched'!$C$3:$H753,match(B618,'Match Sched'!$A$3:$A753,0),if(mod(A618,6)=0,6,mod(A618,6)),0)</f>
        <v/>
      </c>
      <c r="E618" s="54"/>
      <c r="F618" s="55"/>
      <c r="G618" s="54"/>
      <c r="H618" s="54"/>
      <c r="I618" s="54"/>
      <c r="J618" s="54"/>
      <c r="K618" s="54"/>
      <c r="L618" s="54"/>
      <c r="M618" s="60"/>
      <c r="N618" s="57" t="str">
        <f>N616</f>
        <v/>
      </c>
      <c r="O618" s="59" t="str">
        <f>if ( isblank (E618), E618, E618 + F618*'Control PanelOur Matches'!$K$2 + G618*5 + H618*(1/3) + I618*'Control PanelOur Matches'!$M$2 + J618*50)</f>
        <v/>
      </c>
      <c r="P618" s="59" t="str">
        <f t="shared" si="2"/>
        <v/>
      </c>
      <c r="Q618" s="60" t="str">
        <f t="shared" si="3"/>
        <v>no</v>
      </c>
      <c r="R618" s="60" t="str">
        <f t="shared" si="4"/>
        <v/>
      </c>
    </row>
    <row r="619" ht="15.0" customHeight="1">
      <c r="A619" s="49">
        <v>616.0</v>
      </c>
      <c r="B619" s="50">
        <v>103.0</v>
      </c>
      <c r="C619" s="52" t="s">
        <v>42</v>
      </c>
      <c r="D619" s="53" t="str">
        <f t="array" ref="D619">index('Match Sched'!$C$3:$H753,match(B619,'Match Sched'!$A$3:$A753,0),if(mod(A619,6)=0,6,mod(A619,6)),0)</f>
        <v/>
      </c>
      <c r="E619" s="54"/>
      <c r="F619" s="55"/>
      <c r="G619" s="54"/>
      <c r="H619" s="54"/>
      <c r="I619" s="54"/>
      <c r="J619" s="54"/>
      <c r="K619" s="54"/>
      <c r="L619" s="54"/>
      <c r="M619" s="60"/>
      <c r="N619" s="57" t="str">
        <f>if(counta(E619:K619)&gt;0,SUM(I619:I621)+1, )</f>
        <v/>
      </c>
      <c r="O619" s="59" t="str">
        <f>if ( isblank (E619), E619, E619 + F619*'Control PanelOur Matches'!$K$2 + G619*5 + H619*(1/3) + I619*'Control PanelOur Matches'!$M$2 + J619*50)</f>
        <v/>
      </c>
      <c r="P619" s="59" t="str">
        <f t="shared" si="2"/>
        <v/>
      </c>
      <c r="Q619" s="60" t="str">
        <f t="shared" si="3"/>
        <v>no</v>
      </c>
      <c r="R619" s="60" t="str">
        <f t="shared" si="4"/>
        <v/>
      </c>
    </row>
    <row r="620" ht="15.0" customHeight="1">
      <c r="A620" s="49">
        <v>617.0</v>
      </c>
      <c r="B620" s="50">
        <v>103.0</v>
      </c>
      <c r="C620" s="52" t="s">
        <v>43</v>
      </c>
      <c r="D620" s="53" t="str">
        <f t="array" ref="D620">index('Match Sched'!$C$3:$H753,match(B620,'Match Sched'!$A$3:$A753,0),if(mod(A620,6)=0,6,mod(A620,6)),0)</f>
        <v/>
      </c>
      <c r="E620" s="54"/>
      <c r="F620" s="55"/>
      <c r="G620" s="54"/>
      <c r="H620" s="54"/>
      <c r="I620" s="54"/>
      <c r="J620" s="54"/>
      <c r="K620" s="54"/>
      <c r="L620" s="54"/>
      <c r="M620" s="60"/>
      <c r="N620" s="57" t="str">
        <f>N619</f>
        <v/>
      </c>
      <c r="O620" s="59" t="str">
        <f>if ( isblank (E620), E620, E620 + F620*'Control PanelOur Matches'!$K$2 + G620*5 + H620*(1/3) + I620*'Control PanelOur Matches'!$M$2 + J620*50)</f>
        <v/>
      </c>
      <c r="P620" s="59" t="str">
        <f t="shared" si="2"/>
        <v/>
      </c>
      <c r="Q620" s="60" t="str">
        <f t="shared" si="3"/>
        <v>no</v>
      </c>
      <c r="R620" s="60" t="str">
        <f t="shared" si="4"/>
        <v/>
      </c>
    </row>
    <row r="621" ht="15.0" customHeight="1">
      <c r="A621" s="49">
        <v>618.0</v>
      </c>
      <c r="B621" s="50">
        <v>103.0</v>
      </c>
      <c r="C621" s="52" t="s">
        <v>44</v>
      </c>
      <c r="D621" s="53" t="str">
        <f t="array" ref="D621">index('Match Sched'!$C$3:$H753,match(B621,'Match Sched'!$A$3:$A753,0),if(mod(A621,6)=0,6,mod(A621,6)),0)</f>
        <v/>
      </c>
      <c r="E621" s="54"/>
      <c r="F621" s="55"/>
      <c r="G621" s="54"/>
      <c r="H621" s="54"/>
      <c r="I621" s="54"/>
      <c r="J621" s="54"/>
      <c r="K621" s="54"/>
      <c r="L621" s="54"/>
      <c r="M621" s="60"/>
      <c r="N621" s="57" t="str">
        <f>N619</f>
        <v/>
      </c>
      <c r="O621" s="59" t="str">
        <f>if ( isblank (E621), E621, E621 + F621*'Control PanelOur Matches'!$K$2 + G621*5 + H621*(1/3) + I621*'Control PanelOur Matches'!$M$2 + J621*50)</f>
        <v/>
      </c>
      <c r="P621" s="59" t="str">
        <f t="shared" si="2"/>
        <v/>
      </c>
      <c r="Q621" s="60" t="str">
        <f t="shared" si="3"/>
        <v>no</v>
      </c>
      <c r="R621" s="60" t="str">
        <f t="shared" si="4"/>
        <v/>
      </c>
    </row>
    <row r="622" ht="15.0" customHeight="1">
      <c r="A622" s="65">
        <v>619.0</v>
      </c>
      <c r="B622" s="66">
        <v>104.0</v>
      </c>
      <c r="C622" s="52" t="s">
        <v>39</v>
      </c>
      <c r="D622" s="53" t="str">
        <f t="array" ref="D622">index('Match Sched'!$C$3:$H753,match(B622,'Match Sched'!$A$3:$A753,0),if(mod(A622,6)=0,6,mod(A622,6)),0)</f>
        <v/>
      </c>
      <c r="E622" s="54"/>
      <c r="F622" s="55"/>
      <c r="G622" s="67"/>
      <c r="H622" s="67"/>
      <c r="I622" s="67"/>
      <c r="J622" s="67"/>
      <c r="K622" s="67"/>
      <c r="L622" s="67"/>
      <c r="M622" s="60"/>
      <c r="N622" s="57" t="str">
        <f>if(counta(E622:K622)&gt;0,SUM(I622:I624)+1, )</f>
        <v/>
      </c>
      <c r="O622" s="59" t="str">
        <f>if ( isblank (E622), E622, E622 + F622*'Control PanelOur Matches'!$K$2 + G622*5 + H622*(1/3) + I622*'Control PanelOur Matches'!$M$2 + J622*50)</f>
        <v/>
      </c>
      <c r="P622" s="59" t="str">
        <f t="shared" si="2"/>
        <v/>
      </c>
      <c r="Q622" s="60" t="str">
        <f t="shared" si="3"/>
        <v>no</v>
      </c>
      <c r="R622" s="60" t="str">
        <f t="shared" si="4"/>
        <v/>
      </c>
    </row>
    <row r="623" ht="15.0" customHeight="1">
      <c r="A623" s="65">
        <v>620.0</v>
      </c>
      <c r="B623" s="66">
        <v>104.0</v>
      </c>
      <c r="C623" s="69" t="s">
        <v>40</v>
      </c>
      <c r="D623" s="53" t="str">
        <f t="array" ref="D623">index('Match Sched'!$C$3:$H753,match(B623,'Match Sched'!$A$3:$A753,0),if(mod(A623,6)=0,6,mod(A623,6)),0)</f>
        <v/>
      </c>
      <c r="E623" s="54"/>
      <c r="F623" s="55"/>
      <c r="G623" s="67"/>
      <c r="H623" s="67"/>
      <c r="I623" s="67"/>
      <c r="J623" s="67"/>
      <c r="K623" s="67"/>
      <c r="L623" s="67"/>
      <c r="M623" s="60"/>
      <c r="N623" s="57" t="str">
        <f>N622</f>
        <v/>
      </c>
      <c r="O623" s="59" t="str">
        <f>if ( isblank (E623), E623, E623 + F623*'Control PanelOur Matches'!$K$2 + G623*5 + H623*(1/3) + I623*'Control PanelOur Matches'!$M$2 + J623*50)</f>
        <v/>
      </c>
      <c r="P623" s="59" t="str">
        <f t="shared" si="2"/>
        <v/>
      </c>
      <c r="Q623" s="60" t="str">
        <f t="shared" si="3"/>
        <v>no</v>
      </c>
      <c r="R623" s="60" t="str">
        <f t="shared" si="4"/>
        <v/>
      </c>
    </row>
    <row r="624" ht="15.0" customHeight="1">
      <c r="A624" s="65">
        <v>621.0</v>
      </c>
      <c r="B624" s="66">
        <v>104.0</v>
      </c>
      <c r="C624" s="52" t="s">
        <v>41</v>
      </c>
      <c r="D624" s="53" t="str">
        <f t="array" ref="D624">index('Match Sched'!$C$3:$H753,match(B624,'Match Sched'!$A$3:$A753,0),if(mod(A624,6)=0,6,mod(A624,6)),0)</f>
        <v/>
      </c>
      <c r="E624" s="54"/>
      <c r="F624" s="55"/>
      <c r="G624" s="67"/>
      <c r="H624" s="67"/>
      <c r="I624" s="67"/>
      <c r="J624" s="67"/>
      <c r="K624" s="67"/>
      <c r="L624" s="67"/>
      <c r="M624" s="60"/>
      <c r="N624" s="57" t="str">
        <f>N622</f>
        <v/>
      </c>
      <c r="O624" s="59" t="str">
        <f>if ( isblank (E624), E624, E624 + F624*'Control PanelOur Matches'!$K$2 + G624*5 + H624*(1/3) + I624*'Control PanelOur Matches'!$M$2 + J624*50)</f>
        <v/>
      </c>
      <c r="P624" s="59" t="str">
        <f t="shared" si="2"/>
        <v/>
      </c>
      <c r="Q624" s="60" t="str">
        <f t="shared" si="3"/>
        <v>no</v>
      </c>
      <c r="R624" s="60" t="str">
        <f t="shared" si="4"/>
        <v/>
      </c>
    </row>
    <row r="625" ht="15.0" customHeight="1">
      <c r="A625" s="65">
        <v>622.0</v>
      </c>
      <c r="B625" s="66">
        <v>104.0</v>
      </c>
      <c r="C625" s="52" t="s">
        <v>42</v>
      </c>
      <c r="D625" s="53" t="str">
        <f t="array" ref="D625">index('Match Sched'!$C$3:$H753,match(B625,'Match Sched'!$A$3:$A753,0),if(mod(A625,6)=0,6,mod(A625,6)),0)</f>
        <v/>
      </c>
      <c r="E625" s="54"/>
      <c r="F625" s="55"/>
      <c r="G625" s="67"/>
      <c r="H625" s="67"/>
      <c r="I625" s="67"/>
      <c r="J625" s="67"/>
      <c r="K625" s="67"/>
      <c r="L625" s="67"/>
      <c r="M625" s="60"/>
      <c r="N625" s="57" t="str">
        <f>if(counta(E625:K625)&gt;0,SUM(I625:I627)+1, )</f>
        <v/>
      </c>
      <c r="O625" s="59" t="str">
        <f>if ( isblank (E625), E625, E625 + F625*'Control PanelOur Matches'!$K$2 + G625*5 + H625*(1/3) + I625*'Control PanelOur Matches'!$M$2 + J625*50)</f>
        <v/>
      </c>
      <c r="P625" s="59" t="str">
        <f t="shared" si="2"/>
        <v/>
      </c>
      <c r="Q625" s="60" t="str">
        <f t="shared" si="3"/>
        <v>no</v>
      </c>
      <c r="R625" s="60" t="str">
        <f t="shared" si="4"/>
        <v/>
      </c>
    </row>
    <row r="626" ht="15.0" customHeight="1">
      <c r="A626" s="65">
        <v>623.0</v>
      </c>
      <c r="B626" s="66">
        <v>104.0</v>
      </c>
      <c r="C626" s="52" t="s">
        <v>43</v>
      </c>
      <c r="D626" s="53" t="str">
        <f t="array" ref="D626">index('Match Sched'!$C$3:$H753,match(B626,'Match Sched'!$A$3:$A753,0),if(mod(A626,6)=0,6,mod(A626,6)),0)</f>
        <v/>
      </c>
      <c r="E626" s="54"/>
      <c r="F626" s="55"/>
      <c r="G626" s="67"/>
      <c r="H626" s="67"/>
      <c r="I626" s="67"/>
      <c r="J626" s="67"/>
      <c r="K626" s="67"/>
      <c r="L626" s="67"/>
      <c r="M626" s="60"/>
      <c r="N626" s="57" t="str">
        <f>N625</f>
        <v/>
      </c>
      <c r="O626" s="59" t="str">
        <f>if ( isblank (E626), E626, E626 + F626*'Control PanelOur Matches'!$K$2 + G626*5 + H626*(1/3) + I626*'Control PanelOur Matches'!$M$2 + J626*50)</f>
        <v/>
      </c>
      <c r="P626" s="59" t="str">
        <f t="shared" si="2"/>
        <v/>
      </c>
      <c r="Q626" s="60" t="str">
        <f t="shared" si="3"/>
        <v>no</v>
      </c>
      <c r="R626" s="60" t="str">
        <f t="shared" si="4"/>
        <v/>
      </c>
    </row>
    <row r="627" ht="15.0" customHeight="1">
      <c r="A627" s="65">
        <v>624.0</v>
      </c>
      <c r="B627" s="66">
        <v>104.0</v>
      </c>
      <c r="C627" s="68" t="s">
        <v>44</v>
      </c>
      <c r="D627" s="53" t="str">
        <f t="array" ref="D627">index('Match Sched'!$C$3:$H753,match(B627,'Match Sched'!$A$3:$A753,0),if(mod(A627,6)=0,6,mod(A627,6)),0)</f>
        <v/>
      </c>
      <c r="E627" s="54"/>
      <c r="F627" s="55"/>
      <c r="G627" s="67"/>
      <c r="H627" s="67"/>
      <c r="I627" s="67"/>
      <c r="J627" s="67"/>
      <c r="K627" s="67"/>
      <c r="L627" s="67"/>
      <c r="M627" s="60"/>
      <c r="N627" s="57" t="str">
        <f>N625</f>
        <v/>
      </c>
      <c r="O627" s="59" t="str">
        <f>if ( isblank (E627), E627, E627 + F627*'Control PanelOur Matches'!$K$2 + G627*5 + H627*(1/3) + I627*'Control PanelOur Matches'!$M$2 + J627*50)</f>
        <v/>
      </c>
      <c r="P627" s="59" t="str">
        <f t="shared" si="2"/>
        <v/>
      </c>
      <c r="Q627" s="60" t="str">
        <f t="shared" si="3"/>
        <v>no</v>
      </c>
      <c r="R627" s="60" t="str">
        <f t="shared" si="4"/>
        <v/>
      </c>
    </row>
    <row r="628" ht="15.0" customHeight="1">
      <c r="A628" s="49">
        <v>625.0</v>
      </c>
      <c r="B628" s="50">
        <v>105.0</v>
      </c>
      <c r="C628" s="52" t="s">
        <v>39</v>
      </c>
      <c r="D628" s="53" t="str">
        <f t="array" ref="D628">index('Match Sched'!$C$3:$H753,match(B628,'Match Sched'!$A$3:$A753,0),if(mod(A628,6)=0,6,mod(A628,6)),0)</f>
        <v/>
      </c>
      <c r="E628" s="54"/>
      <c r="F628" s="55"/>
      <c r="G628" s="54"/>
      <c r="H628" s="54"/>
      <c r="I628" s="54"/>
      <c r="J628" s="54"/>
      <c r="K628" s="54"/>
      <c r="L628" s="54"/>
      <c r="M628" s="60"/>
      <c r="N628" s="57" t="str">
        <f>if(counta(E628:K628)&gt;0,SUM(I628:I630)+1, )</f>
        <v/>
      </c>
      <c r="O628" s="59" t="str">
        <f>if ( isblank (E628), E628, E628 + F628*'Control PanelOur Matches'!$K$2 + G628*5 + H628*(1/3) + I628*'Control PanelOur Matches'!$M$2 + J628*50)</f>
        <v/>
      </c>
      <c r="P628" s="59" t="str">
        <f t="shared" si="2"/>
        <v/>
      </c>
      <c r="Q628" s="60" t="str">
        <f t="shared" si="3"/>
        <v>no</v>
      </c>
      <c r="R628" s="60" t="str">
        <f t="shared" si="4"/>
        <v/>
      </c>
    </row>
    <row r="629" ht="15.0" customHeight="1">
      <c r="A629" s="49">
        <v>626.0</v>
      </c>
      <c r="B629" s="50">
        <v>105.0</v>
      </c>
      <c r="C629" s="52" t="s">
        <v>40</v>
      </c>
      <c r="D629" s="53" t="str">
        <f t="array" ref="D629">index('Match Sched'!$C$3:$H753,match(B629,'Match Sched'!$A$3:$A753,0),if(mod(A629,6)=0,6,mod(A629,6)),0)</f>
        <v/>
      </c>
      <c r="E629" s="54"/>
      <c r="F629" s="55"/>
      <c r="G629" s="54"/>
      <c r="H629" s="54"/>
      <c r="I629" s="54"/>
      <c r="J629" s="54"/>
      <c r="K629" s="54"/>
      <c r="L629" s="54"/>
      <c r="M629" s="60"/>
      <c r="N629" s="57" t="str">
        <f>N628</f>
        <v/>
      </c>
      <c r="O629" s="59" t="str">
        <f>if ( isblank (E629), E629, E629 + F629*'Control PanelOur Matches'!$K$2 + G629*5 + H629*(1/3) + I629*'Control PanelOur Matches'!$M$2 + J629*50)</f>
        <v/>
      </c>
      <c r="P629" s="59" t="str">
        <f t="shared" si="2"/>
        <v/>
      </c>
      <c r="Q629" s="60" t="str">
        <f t="shared" si="3"/>
        <v>no</v>
      </c>
      <c r="R629" s="60" t="str">
        <f t="shared" si="4"/>
        <v/>
      </c>
    </row>
    <row r="630" ht="15.0" customHeight="1">
      <c r="A630" s="49">
        <v>627.0</v>
      </c>
      <c r="B630" s="50">
        <v>105.0</v>
      </c>
      <c r="C630" s="52" t="s">
        <v>41</v>
      </c>
      <c r="D630" s="53" t="str">
        <f t="array" ref="D630">index('Match Sched'!$C$3:$H753,match(B630,'Match Sched'!$A$3:$A753,0),if(mod(A630,6)=0,6,mod(A630,6)),0)</f>
        <v/>
      </c>
      <c r="E630" s="54"/>
      <c r="F630" s="55"/>
      <c r="G630" s="54"/>
      <c r="H630" s="54"/>
      <c r="I630" s="54"/>
      <c r="J630" s="54"/>
      <c r="K630" s="54"/>
      <c r="L630" s="54"/>
      <c r="M630" s="60"/>
      <c r="N630" s="57" t="str">
        <f>N628</f>
        <v/>
      </c>
      <c r="O630" s="59" t="str">
        <f>if ( isblank (E630), E630, E630 + F630*'Control PanelOur Matches'!$K$2 + G630*5 + H630*(1/3) + I630*'Control PanelOur Matches'!$M$2 + J630*50)</f>
        <v/>
      </c>
      <c r="P630" s="59" t="str">
        <f t="shared" si="2"/>
        <v/>
      </c>
      <c r="Q630" s="60" t="str">
        <f t="shared" si="3"/>
        <v>no</v>
      </c>
      <c r="R630" s="60" t="str">
        <f t="shared" si="4"/>
        <v/>
      </c>
    </row>
    <row r="631" ht="15.0" customHeight="1">
      <c r="A631" s="49">
        <v>628.0</v>
      </c>
      <c r="B631" s="50">
        <v>105.0</v>
      </c>
      <c r="C631" s="52" t="s">
        <v>42</v>
      </c>
      <c r="D631" s="53" t="str">
        <f t="array" ref="D631">index('Match Sched'!$C$3:$H753,match(B631,'Match Sched'!$A$3:$A753,0),if(mod(A631,6)=0,6,mod(A631,6)),0)</f>
        <v/>
      </c>
      <c r="E631" s="54"/>
      <c r="F631" s="55"/>
      <c r="G631" s="54"/>
      <c r="H631" s="54"/>
      <c r="I631" s="54"/>
      <c r="J631" s="54"/>
      <c r="K631" s="54"/>
      <c r="L631" s="54"/>
      <c r="M631" s="60"/>
      <c r="N631" s="57" t="str">
        <f>if(counta(E631:K631)&gt;0,SUM(I631:I633)+1, )</f>
        <v/>
      </c>
      <c r="O631" s="59" t="str">
        <f>if ( isblank (E631), E631, E631 + F631*'Control PanelOur Matches'!$K$2 + G631*5 + H631*(1/3) + I631*'Control PanelOur Matches'!$M$2 + J631*50)</f>
        <v/>
      </c>
      <c r="P631" s="59" t="str">
        <f t="shared" si="2"/>
        <v/>
      </c>
      <c r="Q631" s="60" t="str">
        <f t="shared" si="3"/>
        <v>no</v>
      </c>
      <c r="R631" s="60" t="str">
        <f t="shared" si="4"/>
        <v/>
      </c>
    </row>
    <row r="632" ht="15.0" customHeight="1">
      <c r="A632" s="49">
        <v>629.0</v>
      </c>
      <c r="B632" s="50">
        <v>105.0</v>
      </c>
      <c r="C632" s="52" t="s">
        <v>43</v>
      </c>
      <c r="D632" s="53" t="str">
        <f t="array" ref="D632">index('Match Sched'!$C$3:$H753,match(B632,'Match Sched'!$A$3:$A753,0),if(mod(A632,6)=0,6,mod(A632,6)),0)</f>
        <v/>
      </c>
      <c r="E632" s="54"/>
      <c r="F632" s="55"/>
      <c r="G632" s="54"/>
      <c r="H632" s="54"/>
      <c r="I632" s="54"/>
      <c r="J632" s="54"/>
      <c r="K632" s="54"/>
      <c r="L632" s="54"/>
      <c r="M632" s="60"/>
      <c r="N632" s="57" t="str">
        <f>N631</f>
        <v/>
      </c>
      <c r="O632" s="59" t="str">
        <f>if ( isblank (E632), E632, E632 + F632*'Control PanelOur Matches'!$K$2 + G632*5 + H632*(1/3) + I632*'Control PanelOur Matches'!$M$2 + J632*50)</f>
        <v/>
      </c>
      <c r="P632" s="59" t="str">
        <f t="shared" si="2"/>
        <v/>
      </c>
      <c r="Q632" s="60" t="str">
        <f t="shared" si="3"/>
        <v>no</v>
      </c>
      <c r="R632" s="60" t="str">
        <f t="shared" si="4"/>
        <v/>
      </c>
    </row>
    <row r="633" ht="15.0" customHeight="1">
      <c r="A633" s="49">
        <v>630.0</v>
      </c>
      <c r="B633" s="50">
        <v>105.0</v>
      </c>
      <c r="C633" s="52" t="s">
        <v>44</v>
      </c>
      <c r="D633" s="53" t="str">
        <f t="array" ref="D633">index('Match Sched'!$C$3:$H753,match(B633,'Match Sched'!$A$3:$A753,0),if(mod(A633,6)=0,6,mod(A633,6)),0)</f>
        <v/>
      </c>
      <c r="E633" s="54"/>
      <c r="F633" s="55"/>
      <c r="G633" s="54"/>
      <c r="H633" s="54"/>
      <c r="I633" s="54"/>
      <c r="J633" s="54"/>
      <c r="K633" s="54"/>
      <c r="L633" s="54"/>
      <c r="M633" s="60"/>
      <c r="N633" s="57" t="str">
        <f>N631</f>
        <v/>
      </c>
      <c r="O633" s="59" t="str">
        <f>if ( isblank (E633), E633, E633 + F633*'Control PanelOur Matches'!$K$2 + G633*5 + H633*(1/3) + I633*'Control PanelOur Matches'!$M$2 + J633*50)</f>
        <v/>
      </c>
      <c r="P633" s="59" t="str">
        <f t="shared" si="2"/>
        <v/>
      </c>
      <c r="Q633" s="60" t="str">
        <f t="shared" si="3"/>
        <v>no</v>
      </c>
      <c r="R633" s="60" t="str">
        <f t="shared" si="4"/>
        <v/>
      </c>
    </row>
    <row r="634" ht="15.0" customHeight="1">
      <c r="A634" s="65">
        <v>631.0</v>
      </c>
      <c r="B634" s="66">
        <v>106.0</v>
      </c>
      <c r="C634" s="52" t="s">
        <v>39</v>
      </c>
      <c r="D634" s="53" t="str">
        <f t="array" ref="D634">index('Match Sched'!$C$3:$H753,match(B634,'Match Sched'!$A$3:$A753,0),if(mod(A634,6)=0,6,mod(A634,6)),0)</f>
        <v/>
      </c>
      <c r="E634" s="54"/>
      <c r="F634" s="55"/>
      <c r="G634" s="67"/>
      <c r="H634" s="67"/>
      <c r="I634" s="67"/>
      <c r="J634" s="67"/>
      <c r="K634" s="67"/>
      <c r="L634" s="67"/>
      <c r="M634" s="60"/>
      <c r="N634" s="57" t="str">
        <f>if(counta(E634:K634)&gt;0,SUM(I634:I636)+1, )</f>
        <v/>
      </c>
      <c r="O634" s="59" t="str">
        <f>if ( isblank (E634), E634, E634 + F634*'Control PanelOur Matches'!$K$2 + G634*5 + H634*(1/3) + I634*'Control PanelOur Matches'!$M$2 + J634*50)</f>
        <v/>
      </c>
      <c r="P634" s="59" t="str">
        <f t="shared" si="2"/>
        <v/>
      </c>
      <c r="Q634" s="60" t="str">
        <f t="shared" si="3"/>
        <v>no</v>
      </c>
      <c r="R634" s="60" t="str">
        <f t="shared" si="4"/>
        <v/>
      </c>
    </row>
    <row r="635" ht="15.0" customHeight="1">
      <c r="A635" s="65">
        <v>632.0</v>
      </c>
      <c r="B635" s="66">
        <v>106.0</v>
      </c>
      <c r="C635" s="52" t="s">
        <v>40</v>
      </c>
      <c r="D635" s="53" t="str">
        <f t="array" ref="D635">index('Match Sched'!$C$3:$H753,match(B635,'Match Sched'!$A$3:$A753,0),if(mod(A635,6)=0,6,mod(A635,6)),0)</f>
        <v/>
      </c>
      <c r="E635" s="54"/>
      <c r="F635" s="55"/>
      <c r="G635" s="67"/>
      <c r="H635" s="67"/>
      <c r="I635" s="67"/>
      <c r="J635" s="67"/>
      <c r="K635" s="67"/>
      <c r="L635" s="67"/>
      <c r="M635" s="60"/>
      <c r="N635" s="57" t="str">
        <f>N634</f>
        <v/>
      </c>
      <c r="O635" s="59" t="str">
        <f>if ( isblank (E635), E635, E635 + F635*'Control PanelOur Matches'!$K$2 + G635*5 + H635*(1/3) + I635*'Control PanelOur Matches'!$M$2 + J635*50)</f>
        <v/>
      </c>
      <c r="P635" s="59" t="str">
        <f t="shared" si="2"/>
        <v/>
      </c>
      <c r="Q635" s="60" t="str">
        <f t="shared" si="3"/>
        <v>no</v>
      </c>
      <c r="R635" s="60" t="str">
        <f t="shared" si="4"/>
        <v/>
      </c>
    </row>
    <row r="636" ht="15.0" customHeight="1">
      <c r="A636" s="65">
        <v>633.0</v>
      </c>
      <c r="B636" s="66">
        <v>106.0</v>
      </c>
      <c r="C636" s="52" t="s">
        <v>41</v>
      </c>
      <c r="D636" s="53" t="str">
        <f t="array" ref="D636">index('Match Sched'!$C$3:$H753,match(B636,'Match Sched'!$A$3:$A753,0),if(mod(A636,6)=0,6,mod(A636,6)),0)</f>
        <v/>
      </c>
      <c r="E636" s="54"/>
      <c r="F636" s="55"/>
      <c r="G636" s="67"/>
      <c r="H636" s="67"/>
      <c r="I636" s="67"/>
      <c r="J636" s="67"/>
      <c r="K636" s="67"/>
      <c r="L636" s="67"/>
      <c r="M636" s="60"/>
      <c r="N636" s="57" t="str">
        <f>N634</f>
        <v/>
      </c>
      <c r="O636" s="59" t="str">
        <f>if ( isblank (E636), E636, E636 + F636*'Control PanelOur Matches'!$K$2 + G636*5 + H636*(1/3) + I636*'Control PanelOur Matches'!$M$2 + J636*50)</f>
        <v/>
      </c>
      <c r="P636" s="59" t="str">
        <f t="shared" si="2"/>
        <v/>
      </c>
      <c r="Q636" s="60" t="str">
        <f t="shared" si="3"/>
        <v>no</v>
      </c>
      <c r="R636" s="60" t="str">
        <f t="shared" si="4"/>
        <v/>
      </c>
    </row>
    <row r="637" ht="15.0" customHeight="1">
      <c r="A637" s="65">
        <v>634.0</v>
      </c>
      <c r="B637" s="66">
        <v>106.0</v>
      </c>
      <c r="C637" s="52" t="s">
        <v>42</v>
      </c>
      <c r="D637" s="53" t="str">
        <f t="array" ref="D637">index('Match Sched'!$C$3:$H753,match(B637,'Match Sched'!$A$3:$A753,0),if(mod(A637,6)=0,6,mod(A637,6)),0)</f>
        <v/>
      </c>
      <c r="E637" s="54"/>
      <c r="F637" s="55"/>
      <c r="G637" s="67"/>
      <c r="H637" s="67"/>
      <c r="I637" s="67"/>
      <c r="J637" s="67"/>
      <c r="K637" s="67"/>
      <c r="L637" s="67"/>
      <c r="M637" s="60"/>
      <c r="N637" s="57" t="str">
        <f>if(counta(E637:K637)&gt;0,SUM(I637:I639)+1, )</f>
        <v/>
      </c>
      <c r="O637" s="59" t="str">
        <f>if ( isblank (E637), E637, E637 + F637*'Control PanelOur Matches'!$K$2 + G637*5 + H637*(1/3) + I637*'Control PanelOur Matches'!$M$2 + J637*50)</f>
        <v/>
      </c>
      <c r="P637" s="59" t="str">
        <f t="shared" si="2"/>
        <v/>
      </c>
      <c r="Q637" s="60" t="str">
        <f t="shared" si="3"/>
        <v>no</v>
      </c>
      <c r="R637" s="60" t="str">
        <f t="shared" si="4"/>
        <v/>
      </c>
    </row>
    <row r="638" ht="15.0" customHeight="1">
      <c r="A638" s="65">
        <v>635.0</v>
      </c>
      <c r="B638" s="66">
        <v>106.0</v>
      </c>
      <c r="C638" s="52" t="s">
        <v>43</v>
      </c>
      <c r="D638" s="53" t="str">
        <f t="array" ref="D638">index('Match Sched'!$C$3:$H753,match(B638,'Match Sched'!$A$3:$A753,0),if(mod(A638,6)=0,6,mod(A638,6)),0)</f>
        <v/>
      </c>
      <c r="E638" s="54"/>
      <c r="F638" s="55"/>
      <c r="G638" s="67"/>
      <c r="H638" s="67"/>
      <c r="I638" s="67"/>
      <c r="J638" s="67"/>
      <c r="K638" s="67"/>
      <c r="L638" s="67"/>
      <c r="M638" s="60"/>
      <c r="N638" s="57" t="str">
        <f>N637</f>
        <v/>
      </c>
      <c r="O638" s="59" t="str">
        <f>if ( isblank (E638), E638, E638 + F638*'Control PanelOur Matches'!$K$2 + G638*5 + H638*(1/3) + I638*'Control PanelOur Matches'!$M$2 + J638*50)</f>
        <v/>
      </c>
      <c r="P638" s="59" t="str">
        <f t="shared" si="2"/>
        <v/>
      </c>
      <c r="Q638" s="60" t="str">
        <f t="shared" si="3"/>
        <v>no</v>
      </c>
      <c r="R638" s="60" t="str">
        <f t="shared" si="4"/>
        <v/>
      </c>
    </row>
    <row r="639" ht="15.0" customHeight="1">
      <c r="A639" s="65">
        <v>636.0</v>
      </c>
      <c r="B639" s="66">
        <v>106.0</v>
      </c>
      <c r="C639" s="68" t="s">
        <v>44</v>
      </c>
      <c r="D639" s="53" t="str">
        <f t="array" ref="D639">index('Match Sched'!$C$3:$H753,match(B639,'Match Sched'!$A$3:$A753,0),if(mod(A639,6)=0,6,mod(A639,6)),0)</f>
        <v/>
      </c>
      <c r="E639" s="54"/>
      <c r="F639" s="55"/>
      <c r="G639" s="67"/>
      <c r="H639" s="67"/>
      <c r="I639" s="67"/>
      <c r="J639" s="67"/>
      <c r="K639" s="67"/>
      <c r="L639" s="67"/>
      <c r="M639" s="60"/>
      <c r="N639" s="57" t="str">
        <f>N637</f>
        <v/>
      </c>
      <c r="O639" s="59" t="str">
        <f>if ( isblank (E639), E639, E639 + F639*'Control PanelOur Matches'!$K$2 + G639*5 + H639*(1/3) + I639*'Control PanelOur Matches'!$M$2 + J639*50)</f>
        <v/>
      </c>
      <c r="P639" s="59" t="str">
        <f t="shared" si="2"/>
        <v/>
      </c>
      <c r="Q639" s="60" t="str">
        <f t="shared" si="3"/>
        <v>no</v>
      </c>
      <c r="R639" s="60" t="str">
        <f t="shared" si="4"/>
        <v/>
      </c>
    </row>
    <row r="640" ht="15.0" customHeight="1">
      <c r="A640" s="49">
        <v>637.0</v>
      </c>
      <c r="B640" s="50">
        <v>107.0</v>
      </c>
      <c r="C640" s="52" t="s">
        <v>39</v>
      </c>
      <c r="D640" s="53" t="str">
        <f t="array" ref="D640">index('Match Sched'!$C$3:$H753,match(B640,'Match Sched'!$A$3:$A753,0),if(mod(A640,6)=0,6,mod(A640,6)),0)</f>
        <v/>
      </c>
      <c r="E640" s="54"/>
      <c r="F640" s="55"/>
      <c r="G640" s="54"/>
      <c r="H640" s="54"/>
      <c r="I640" s="54"/>
      <c r="J640" s="54"/>
      <c r="K640" s="54"/>
      <c r="L640" s="54"/>
      <c r="M640" s="60"/>
      <c r="N640" s="57" t="str">
        <f>if(counta(E640:K640)&gt;0,SUM(I640:I642)+1, )</f>
        <v/>
      </c>
      <c r="O640" s="59" t="str">
        <f>if ( isblank (E640), E640, E640 + F640*'Control PanelOur Matches'!$K$2 + G640*5 + H640*(1/3) + I640*'Control PanelOur Matches'!$M$2 + J640*50)</f>
        <v/>
      </c>
      <c r="P640" s="59" t="str">
        <f t="shared" si="2"/>
        <v/>
      </c>
      <c r="Q640" s="60" t="str">
        <f t="shared" si="3"/>
        <v>no</v>
      </c>
      <c r="R640" s="60" t="str">
        <f t="shared" si="4"/>
        <v/>
      </c>
    </row>
    <row r="641" ht="15.0" customHeight="1">
      <c r="A641" s="49">
        <v>638.0</v>
      </c>
      <c r="B641" s="50">
        <v>107.0</v>
      </c>
      <c r="C641" s="52" t="s">
        <v>40</v>
      </c>
      <c r="D641" s="53" t="str">
        <f t="array" ref="D641">index('Match Sched'!$C$3:$H753,match(B641,'Match Sched'!$A$3:$A753,0),if(mod(A641,6)=0,6,mod(A641,6)),0)</f>
        <v/>
      </c>
      <c r="E641" s="54"/>
      <c r="F641" s="55"/>
      <c r="G641" s="54"/>
      <c r="H641" s="54"/>
      <c r="I641" s="54"/>
      <c r="J641" s="54"/>
      <c r="K641" s="54"/>
      <c r="L641" s="54"/>
      <c r="M641" s="60"/>
      <c r="N641" s="57" t="str">
        <f>N640</f>
        <v/>
      </c>
      <c r="O641" s="59" t="str">
        <f>if ( isblank (E641), E641, E641 + F641*'Control PanelOur Matches'!$K$2 + G641*5 + H641*(1/3) + I641*'Control PanelOur Matches'!$M$2 + J641*50)</f>
        <v/>
      </c>
      <c r="P641" s="59" t="str">
        <f t="shared" si="2"/>
        <v/>
      </c>
      <c r="Q641" s="60" t="str">
        <f t="shared" si="3"/>
        <v>no</v>
      </c>
      <c r="R641" s="60" t="str">
        <f t="shared" si="4"/>
        <v/>
      </c>
    </row>
    <row r="642" ht="15.0" customHeight="1">
      <c r="A642" s="49">
        <v>639.0</v>
      </c>
      <c r="B642" s="50">
        <v>107.0</v>
      </c>
      <c r="C642" s="52" t="s">
        <v>41</v>
      </c>
      <c r="D642" s="53" t="str">
        <f t="array" ref="D642">index('Match Sched'!$C$3:$H753,match(B642,'Match Sched'!$A$3:$A753,0),if(mod(A642,6)=0,6,mod(A642,6)),0)</f>
        <v/>
      </c>
      <c r="E642" s="54"/>
      <c r="F642" s="55"/>
      <c r="G642" s="54"/>
      <c r="H642" s="54"/>
      <c r="I642" s="54"/>
      <c r="J642" s="54"/>
      <c r="K642" s="54"/>
      <c r="L642" s="54"/>
      <c r="M642" s="60"/>
      <c r="N642" s="57" t="str">
        <f>N640</f>
        <v/>
      </c>
      <c r="O642" s="59" t="str">
        <f>if ( isblank (E642), E642, E642 + F642*'Control PanelOur Matches'!$K$2 + G642*5 + H642*(1/3) + I642*'Control PanelOur Matches'!$M$2 + J642*50)</f>
        <v/>
      </c>
      <c r="P642" s="59" t="str">
        <f t="shared" si="2"/>
        <v/>
      </c>
      <c r="Q642" s="60" t="str">
        <f t="shared" si="3"/>
        <v>no</v>
      </c>
      <c r="R642" s="60" t="str">
        <f t="shared" si="4"/>
        <v/>
      </c>
    </row>
    <row r="643" ht="15.0" customHeight="1">
      <c r="A643" s="49">
        <v>640.0</v>
      </c>
      <c r="B643" s="50">
        <v>107.0</v>
      </c>
      <c r="C643" s="52" t="s">
        <v>42</v>
      </c>
      <c r="D643" s="53" t="str">
        <f t="array" ref="D643">index('Match Sched'!$C$3:$H753,match(B643,'Match Sched'!$A$3:$A753,0),if(mod(A643,6)=0,6,mod(A643,6)),0)</f>
        <v/>
      </c>
      <c r="E643" s="54"/>
      <c r="F643" s="55"/>
      <c r="G643" s="54"/>
      <c r="H643" s="54"/>
      <c r="I643" s="54"/>
      <c r="J643" s="54"/>
      <c r="K643" s="54"/>
      <c r="L643" s="54"/>
      <c r="M643" s="60"/>
      <c r="N643" s="57" t="str">
        <f>if(counta(E643:K643)&gt;0,SUM(I643:I645)+1, )</f>
        <v/>
      </c>
      <c r="O643" s="59" t="str">
        <f>if ( isblank (E643), E643, E643 + F643*'Control PanelOur Matches'!$K$2 + G643*5 + H643*(1/3) + I643*'Control PanelOur Matches'!$M$2 + J643*50)</f>
        <v/>
      </c>
      <c r="P643" s="59" t="str">
        <f t="shared" si="2"/>
        <v/>
      </c>
      <c r="Q643" s="60" t="str">
        <f t="shared" si="3"/>
        <v>no</v>
      </c>
      <c r="R643" s="60" t="str">
        <f t="shared" si="4"/>
        <v/>
      </c>
    </row>
    <row r="644" ht="15.0" customHeight="1">
      <c r="A644" s="49">
        <v>641.0</v>
      </c>
      <c r="B644" s="50">
        <v>107.0</v>
      </c>
      <c r="C644" s="52" t="s">
        <v>43</v>
      </c>
      <c r="D644" s="53" t="str">
        <f t="array" ref="D644">index('Match Sched'!$C$3:$H753,match(B644,'Match Sched'!$A$3:$A753,0),if(mod(A644,6)=0,6,mod(A644,6)),0)</f>
        <v/>
      </c>
      <c r="E644" s="54"/>
      <c r="F644" s="55"/>
      <c r="G644" s="54"/>
      <c r="H644" s="54"/>
      <c r="I644" s="54"/>
      <c r="J644" s="54"/>
      <c r="K644" s="54"/>
      <c r="L644" s="54"/>
      <c r="M644" s="60"/>
      <c r="N644" s="57" t="str">
        <f>N643</f>
        <v/>
      </c>
      <c r="O644" s="59" t="str">
        <f>if ( isblank (E644), E644, E644 + F644*'Control PanelOur Matches'!$K$2 + G644*5 + H644*(1/3) + I644*'Control PanelOur Matches'!$M$2 + J644*50)</f>
        <v/>
      </c>
      <c r="P644" s="59" t="str">
        <f t="shared" si="2"/>
        <v/>
      </c>
      <c r="Q644" s="60" t="str">
        <f t="shared" si="3"/>
        <v>no</v>
      </c>
      <c r="R644" s="60" t="str">
        <f t="shared" si="4"/>
        <v/>
      </c>
    </row>
    <row r="645" ht="15.0" customHeight="1">
      <c r="A645" s="49">
        <v>642.0</v>
      </c>
      <c r="B645" s="50">
        <v>107.0</v>
      </c>
      <c r="C645" s="52" t="s">
        <v>44</v>
      </c>
      <c r="D645" s="53" t="str">
        <f t="array" ref="D645">index('Match Sched'!$C$3:$H753,match(B645,'Match Sched'!$A$3:$A753,0),if(mod(A645,6)=0,6,mod(A645,6)),0)</f>
        <v/>
      </c>
      <c r="E645" s="54"/>
      <c r="F645" s="55"/>
      <c r="G645" s="54"/>
      <c r="H645" s="54"/>
      <c r="I645" s="54"/>
      <c r="J645" s="54"/>
      <c r="K645" s="54"/>
      <c r="L645" s="54"/>
      <c r="M645" s="60"/>
      <c r="N645" s="57" t="str">
        <f>N643</f>
        <v/>
      </c>
      <c r="O645" s="59" t="str">
        <f>if ( isblank (E645), E645, E645 + F645*'Control PanelOur Matches'!$K$2 + G645*5 + H645*(1/3) + I645*'Control PanelOur Matches'!$M$2 + J645*50)</f>
        <v/>
      </c>
      <c r="P645" s="59" t="str">
        <f t="shared" si="2"/>
        <v/>
      </c>
      <c r="Q645" s="60" t="str">
        <f t="shared" si="3"/>
        <v>no</v>
      </c>
      <c r="R645" s="60" t="str">
        <f t="shared" si="4"/>
        <v/>
      </c>
    </row>
    <row r="646" ht="15.0" customHeight="1">
      <c r="A646" s="65">
        <v>643.0</v>
      </c>
      <c r="B646" s="66">
        <v>108.0</v>
      </c>
      <c r="C646" s="52" t="s">
        <v>39</v>
      </c>
      <c r="D646" s="53" t="str">
        <f t="array" ref="D646">index('Match Sched'!$C$3:$H753,match(B646,'Match Sched'!$A$3:$A753,0),if(mod(A646,6)=0,6,mod(A646,6)),0)</f>
        <v/>
      </c>
      <c r="E646" s="54"/>
      <c r="F646" s="55"/>
      <c r="G646" s="67"/>
      <c r="H646" s="67"/>
      <c r="I646" s="67"/>
      <c r="J646" s="67"/>
      <c r="K646" s="67"/>
      <c r="L646" s="67"/>
      <c r="M646" s="60"/>
      <c r="N646" s="57" t="str">
        <f>if(counta(E646:K646)&gt;0,SUM(I646:I648)+1, )</f>
        <v/>
      </c>
      <c r="O646" s="59" t="str">
        <f>if ( isblank (E646), E646, E646 + F646*'Control PanelOur Matches'!$K$2 + G646*5 + H646*(1/3) + I646*'Control PanelOur Matches'!$M$2 + J646*50)</f>
        <v/>
      </c>
      <c r="P646" s="59" t="str">
        <f t="shared" si="2"/>
        <v/>
      </c>
      <c r="Q646" s="60" t="str">
        <f t="shared" si="3"/>
        <v>no</v>
      </c>
      <c r="R646" s="60" t="str">
        <f t="shared" si="4"/>
        <v/>
      </c>
    </row>
    <row r="647" ht="15.0" customHeight="1">
      <c r="A647" s="65">
        <v>644.0</v>
      </c>
      <c r="B647" s="66">
        <v>108.0</v>
      </c>
      <c r="C647" s="69" t="s">
        <v>40</v>
      </c>
      <c r="D647" s="53" t="str">
        <f t="array" ref="D647">index('Match Sched'!$C$3:$H753,match(B647,'Match Sched'!$A$3:$A753,0),if(mod(A647,6)=0,6,mod(A647,6)),0)</f>
        <v/>
      </c>
      <c r="E647" s="54"/>
      <c r="F647" s="55"/>
      <c r="G647" s="67"/>
      <c r="H647" s="67"/>
      <c r="I647" s="67"/>
      <c r="J647" s="67"/>
      <c r="K647" s="67"/>
      <c r="L647" s="67"/>
      <c r="M647" s="60"/>
      <c r="N647" s="57" t="str">
        <f>N646</f>
        <v/>
      </c>
      <c r="O647" s="59" t="str">
        <f>if ( isblank (E647), E647, E647 + F647*'Control PanelOur Matches'!$K$2 + G647*5 + H647*(1/3) + I647*'Control PanelOur Matches'!$M$2 + J647*50)</f>
        <v/>
      </c>
      <c r="P647" s="59" t="str">
        <f t="shared" si="2"/>
        <v/>
      </c>
      <c r="Q647" s="60" t="str">
        <f t="shared" si="3"/>
        <v>no</v>
      </c>
      <c r="R647" s="60" t="str">
        <f t="shared" si="4"/>
        <v/>
      </c>
    </row>
    <row r="648" ht="15.0" customHeight="1">
      <c r="A648" s="65">
        <v>645.0</v>
      </c>
      <c r="B648" s="66">
        <v>108.0</v>
      </c>
      <c r="C648" s="52" t="s">
        <v>41</v>
      </c>
      <c r="D648" s="53" t="str">
        <f t="array" ref="D648">index('Match Sched'!$C$3:$H753,match(B648,'Match Sched'!$A$3:$A753,0),if(mod(A648,6)=0,6,mod(A648,6)),0)</f>
        <v/>
      </c>
      <c r="E648" s="54"/>
      <c r="F648" s="55"/>
      <c r="G648" s="67"/>
      <c r="H648" s="67"/>
      <c r="I648" s="67"/>
      <c r="J648" s="67"/>
      <c r="K648" s="67"/>
      <c r="L648" s="67"/>
      <c r="M648" s="60"/>
      <c r="N648" s="57" t="str">
        <f>N646</f>
        <v/>
      </c>
      <c r="O648" s="59" t="str">
        <f>if ( isblank (E648), E648, E648 + F648*'Control PanelOur Matches'!$K$2 + G648*5 + H648*(1/3) + I648*'Control PanelOur Matches'!$M$2 + J648*50)</f>
        <v/>
      </c>
      <c r="P648" s="59" t="str">
        <f t="shared" si="2"/>
        <v/>
      </c>
      <c r="Q648" s="60" t="str">
        <f t="shared" si="3"/>
        <v>no</v>
      </c>
      <c r="R648" s="60" t="str">
        <f t="shared" si="4"/>
        <v/>
      </c>
    </row>
    <row r="649" ht="15.0" customHeight="1">
      <c r="A649" s="65">
        <v>646.0</v>
      </c>
      <c r="B649" s="66">
        <v>108.0</v>
      </c>
      <c r="C649" s="52" t="s">
        <v>42</v>
      </c>
      <c r="D649" s="53" t="str">
        <f t="array" ref="D649">index('Match Sched'!$C$3:$H753,match(B649,'Match Sched'!$A$3:$A753,0),if(mod(A649,6)=0,6,mod(A649,6)),0)</f>
        <v/>
      </c>
      <c r="E649" s="54"/>
      <c r="F649" s="55"/>
      <c r="G649" s="67"/>
      <c r="H649" s="67"/>
      <c r="I649" s="67"/>
      <c r="J649" s="67"/>
      <c r="K649" s="67"/>
      <c r="L649" s="67"/>
      <c r="M649" s="60"/>
      <c r="N649" s="57" t="str">
        <f>if(counta(E649:K649)&gt;0,SUM(I649:I651)+1, )</f>
        <v/>
      </c>
      <c r="O649" s="59" t="str">
        <f>if ( isblank (E649), E649, E649 + F649*'Control PanelOur Matches'!$K$2 + G649*5 + H649*(1/3) + I649*'Control PanelOur Matches'!$M$2 + J649*50)</f>
        <v/>
      </c>
      <c r="P649" s="59" t="str">
        <f t="shared" si="2"/>
        <v/>
      </c>
      <c r="Q649" s="60" t="str">
        <f t="shared" si="3"/>
        <v>no</v>
      </c>
      <c r="R649" s="60" t="str">
        <f t="shared" si="4"/>
        <v/>
      </c>
    </row>
    <row r="650" ht="15.0" customHeight="1">
      <c r="A650" s="65">
        <v>647.0</v>
      </c>
      <c r="B650" s="66">
        <v>108.0</v>
      </c>
      <c r="C650" s="52" t="s">
        <v>43</v>
      </c>
      <c r="D650" s="53" t="str">
        <f t="array" ref="D650">index('Match Sched'!$C$3:$H753,match(B650,'Match Sched'!$A$3:$A753,0),if(mod(A650,6)=0,6,mod(A650,6)),0)</f>
        <v/>
      </c>
      <c r="E650" s="54"/>
      <c r="F650" s="55"/>
      <c r="G650" s="67"/>
      <c r="H650" s="67"/>
      <c r="I650" s="67"/>
      <c r="J650" s="67"/>
      <c r="K650" s="67"/>
      <c r="L650" s="67"/>
      <c r="M650" s="60"/>
      <c r="N650" s="57" t="str">
        <f>N649</f>
        <v/>
      </c>
      <c r="O650" s="59" t="str">
        <f>if ( isblank (E650), E650, E650 + F650*'Control PanelOur Matches'!$K$2 + G650*5 + H650*(1/3) + I650*'Control PanelOur Matches'!$M$2 + J650*50)</f>
        <v/>
      </c>
      <c r="P650" s="59" t="str">
        <f t="shared" si="2"/>
        <v/>
      </c>
      <c r="Q650" s="60" t="str">
        <f t="shared" si="3"/>
        <v>no</v>
      </c>
      <c r="R650" s="60" t="str">
        <f t="shared" si="4"/>
        <v/>
      </c>
    </row>
    <row r="651" ht="15.0" customHeight="1">
      <c r="A651" s="65">
        <v>648.0</v>
      </c>
      <c r="B651" s="66">
        <v>108.0</v>
      </c>
      <c r="C651" s="68" t="s">
        <v>44</v>
      </c>
      <c r="D651" s="53" t="str">
        <f t="array" ref="D651">index('Match Sched'!$C$3:$H753,match(B651,'Match Sched'!$A$3:$A753,0),if(mod(A651,6)=0,6,mod(A651,6)),0)</f>
        <v/>
      </c>
      <c r="E651" s="54"/>
      <c r="F651" s="55"/>
      <c r="G651" s="67"/>
      <c r="H651" s="67"/>
      <c r="I651" s="67"/>
      <c r="J651" s="67"/>
      <c r="K651" s="67"/>
      <c r="L651" s="67"/>
      <c r="M651" s="60"/>
      <c r="N651" s="57" t="str">
        <f>N649</f>
        <v/>
      </c>
      <c r="O651" s="59" t="str">
        <f>if ( isblank (E651), E651, E651 + F651*'Control PanelOur Matches'!$K$2 + G651*5 + H651*(1/3) + I651*'Control PanelOur Matches'!$M$2 + J651*50)</f>
        <v/>
      </c>
      <c r="P651" s="59" t="str">
        <f t="shared" si="2"/>
        <v/>
      </c>
      <c r="Q651" s="60" t="str">
        <f t="shared" si="3"/>
        <v>no</v>
      </c>
      <c r="R651" s="60" t="str">
        <f t="shared" si="4"/>
        <v/>
      </c>
    </row>
    <row r="652" ht="15.0" customHeight="1">
      <c r="A652" s="49">
        <v>649.0</v>
      </c>
      <c r="B652" s="50">
        <v>109.0</v>
      </c>
      <c r="C652" s="52" t="s">
        <v>39</v>
      </c>
      <c r="D652" s="53" t="str">
        <f t="array" ref="D652">index('Match Sched'!$C$3:$H753,match(B652,'Match Sched'!$A$3:$A753,0),if(mod(A652,6)=0,6,mod(A652,6)),0)</f>
        <v/>
      </c>
      <c r="E652" s="54"/>
      <c r="F652" s="55"/>
      <c r="G652" s="54"/>
      <c r="H652" s="54"/>
      <c r="I652" s="54"/>
      <c r="J652" s="54"/>
      <c r="K652" s="54"/>
      <c r="L652" s="54"/>
      <c r="M652" s="60"/>
      <c r="N652" s="57" t="str">
        <f>if(counta(E652:K652)&gt;0,SUM(I652:I654)+1, )</f>
        <v/>
      </c>
      <c r="O652" s="59" t="str">
        <f>if ( isblank (E652), E652, E652 + F652*'Control PanelOur Matches'!$K$2 + G652*5 + H652*(1/3) + I652*'Control PanelOur Matches'!$M$2 + J652*50)</f>
        <v/>
      </c>
      <c r="P652" s="59" t="str">
        <f t="shared" si="2"/>
        <v/>
      </c>
      <c r="Q652" s="60" t="str">
        <f t="shared" si="3"/>
        <v>no</v>
      </c>
      <c r="R652" s="60" t="str">
        <f t="shared" si="4"/>
        <v/>
      </c>
    </row>
    <row r="653" ht="15.0" customHeight="1">
      <c r="A653" s="49">
        <v>650.0</v>
      </c>
      <c r="B653" s="50">
        <v>109.0</v>
      </c>
      <c r="C653" s="52" t="s">
        <v>40</v>
      </c>
      <c r="D653" s="53" t="str">
        <f t="array" ref="D653">index('Match Sched'!$C$3:$H753,match(B653,'Match Sched'!$A$3:$A753,0),if(mod(A653,6)=0,6,mod(A653,6)),0)</f>
        <v/>
      </c>
      <c r="E653" s="54"/>
      <c r="F653" s="55"/>
      <c r="G653" s="54"/>
      <c r="H653" s="54"/>
      <c r="I653" s="54"/>
      <c r="J653" s="54"/>
      <c r="K653" s="54"/>
      <c r="L653" s="54"/>
      <c r="M653" s="60"/>
      <c r="N653" s="57" t="str">
        <f>N652</f>
        <v/>
      </c>
      <c r="O653" s="59" t="str">
        <f>if ( isblank (E653), E653, E653 + F653*'Control PanelOur Matches'!$K$2 + G653*5 + H653*(1/3) + I653*'Control PanelOur Matches'!$M$2 + J653*50)</f>
        <v/>
      </c>
      <c r="P653" s="59" t="str">
        <f t="shared" si="2"/>
        <v/>
      </c>
      <c r="Q653" s="60" t="str">
        <f t="shared" si="3"/>
        <v>no</v>
      </c>
      <c r="R653" s="60" t="str">
        <f t="shared" si="4"/>
        <v/>
      </c>
    </row>
    <row r="654" ht="15.0" customHeight="1">
      <c r="A654" s="49">
        <v>651.0</v>
      </c>
      <c r="B654" s="50">
        <v>109.0</v>
      </c>
      <c r="C654" s="52" t="s">
        <v>41</v>
      </c>
      <c r="D654" s="53" t="str">
        <f t="array" ref="D654">index('Match Sched'!$C$3:$H753,match(B654,'Match Sched'!$A$3:$A753,0),if(mod(A654,6)=0,6,mod(A654,6)),0)</f>
        <v/>
      </c>
      <c r="E654" s="54"/>
      <c r="F654" s="55"/>
      <c r="G654" s="54"/>
      <c r="H654" s="54"/>
      <c r="I654" s="54"/>
      <c r="J654" s="54"/>
      <c r="K654" s="54"/>
      <c r="L654" s="54"/>
      <c r="M654" s="60"/>
      <c r="N654" s="57" t="str">
        <f>N652</f>
        <v/>
      </c>
      <c r="O654" s="59" t="str">
        <f>if ( isblank (E654), E654, E654 + F654*'Control PanelOur Matches'!$K$2 + G654*5 + H654*(1/3) + I654*'Control PanelOur Matches'!$M$2 + J654*50)</f>
        <v/>
      </c>
      <c r="P654" s="59" t="str">
        <f t="shared" si="2"/>
        <v/>
      </c>
      <c r="Q654" s="60" t="str">
        <f t="shared" si="3"/>
        <v>no</v>
      </c>
      <c r="R654" s="60" t="str">
        <f t="shared" si="4"/>
        <v/>
      </c>
    </row>
    <row r="655" ht="15.0" customHeight="1">
      <c r="A655" s="49">
        <v>652.0</v>
      </c>
      <c r="B655" s="50">
        <v>109.0</v>
      </c>
      <c r="C655" s="52" t="s">
        <v>42</v>
      </c>
      <c r="D655" s="53" t="str">
        <f t="array" ref="D655">index('Match Sched'!$C$3:$H753,match(B655,'Match Sched'!$A$3:$A753,0),if(mod(A655,6)=0,6,mod(A655,6)),0)</f>
        <v/>
      </c>
      <c r="E655" s="54"/>
      <c r="F655" s="55"/>
      <c r="G655" s="54"/>
      <c r="H655" s="54"/>
      <c r="I655" s="54"/>
      <c r="J655" s="54"/>
      <c r="K655" s="54"/>
      <c r="L655" s="54"/>
      <c r="M655" s="60"/>
      <c r="N655" s="57" t="str">
        <f>if(counta(E655:K655)&gt;0,SUM(I655:I657)+1, )</f>
        <v/>
      </c>
      <c r="O655" s="59" t="str">
        <f>if ( isblank (E655), E655, E655 + F655*'Control PanelOur Matches'!$K$2 + G655*5 + H655*(1/3) + I655*'Control PanelOur Matches'!$M$2 + J655*50)</f>
        <v/>
      </c>
      <c r="P655" s="59" t="str">
        <f t="shared" si="2"/>
        <v/>
      </c>
      <c r="Q655" s="60" t="str">
        <f t="shared" si="3"/>
        <v>no</v>
      </c>
      <c r="R655" s="60" t="str">
        <f t="shared" si="4"/>
        <v/>
      </c>
    </row>
    <row r="656" ht="15.0" customHeight="1">
      <c r="A656" s="49">
        <v>653.0</v>
      </c>
      <c r="B656" s="50">
        <v>109.0</v>
      </c>
      <c r="C656" s="52" t="s">
        <v>43</v>
      </c>
      <c r="D656" s="53" t="str">
        <f t="array" ref="D656">index('Match Sched'!$C$3:$H753,match(B656,'Match Sched'!$A$3:$A753,0),if(mod(A656,6)=0,6,mod(A656,6)),0)</f>
        <v/>
      </c>
      <c r="E656" s="54"/>
      <c r="F656" s="55"/>
      <c r="G656" s="54"/>
      <c r="H656" s="54"/>
      <c r="I656" s="54"/>
      <c r="J656" s="54"/>
      <c r="K656" s="54"/>
      <c r="L656" s="54"/>
      <c r="M656" s="60"/>
      <c r="N656" s="57" t="str">
        <f>N655</f>
        <v/>
      </c>
      <c r="O656" s="59" t="str">
        <f>if ( isblank (E656), E656, E656 + F656*'Control PanelOur Matches'!$K$2 + G656*5 + H656*(1/3) + I656*'Control PanelOur Matches'!$M$2 + J656*50)</f>
        <v/>
      </c>
      <c r="P656" s="59" t="str">
        <f t="shared" si="2"/>
        <v/>
      </c>
      <c r="Q656" s="60" t="str">
        <f t="shared" si="3"/>
        <v>no</v>
      </c>
      <c r="R656" s="60" t="str">
        <f t="shared" si="4"/>
        <v/>
      </c>
    </row>
    <row r="657" ht="15.0" customHeight="1">
      <c r="A657" s="49">
        <v>654.0</v>
      </c>
      <c r="B657" s="50">
        <v>109.0</v>
      </c>
      <c r="C657" s="52" t="s">
        <v>44</v>
      </c>
      <c r="D657" s="53" t="str">
        <f t="array" ref="D657">index('Match Sched'!$C$3:$H753,match(B657,'Match Sched'!$A$3:$A753,0),if(mod(A657,6)=0,6,mod(A657,6)),0)</f>
        <v/>
      </c>
      <c r="E657" s="54"/>
      <c r="F657" s="55"/>
      <c r="G657" s="54"/>
      <c r="H657" s="54"/>
      <c r="I657" s="54"/>
      <c r="J657" s="54"/>
      <c r="K657" s="54"/>
      <c r="L657" s="54"/>
      <c r="M657" s="60"/>
      <c r="N657" s="57" t="str">
        <f>N655</f>
        <v/>
      </c>
      <c r="O657" s="59" t="str">
        <f>if ( isblank (E657), E657, E657 + F657*'Control PanelOur Matches'!$K$2 + G657*5 + H657*(1/3) + I657*'Control PanelOur Matches'!$M$2 + J657*50)</f>
        <v/>
      </c>
      <c r="P657" s="59" t="str">
        <f t="shared" si="2"/>
        <v/>
      </c>
      <c r="Q657" s="60" t="str">
        <f t="shared" si="3"/>
        <v>no</v>
      </c>
      <c r="R657" s="60" t="str">
        <f t="shared" si="4"/>
        <v/>
      </c>
    </row>
    <row r="658" ht="15.0" customHeight="1">
      <c r="A658" s="65">
        <v>655.0</v>
      </c>
      <c r="B658" s="66">
        <v>110.0</v>
      </c>
      <c r="C658" s="52" t="s">
        <v>39</v>
      </c>
      <c r="D658" s="53" t="str">
        <f t="array" ref="D658">index('Match Sched'!$C$3:$H753,match(B658,'Match Sched'!$A$3:$A753,0),if(mod(A658,6)=0,6,mod(A658,6)),0)</f>
        <v/>
      </c>
      <c r="E658" s="54"/>
      <c r="F658" s="55"/>
      <c r="G658" s="67"/>
      <c r="H658" s="67"/>
      <c r="I658" s="67"/>
      <c r="J658" s="67"/>
      <c r="K658" s="67"/>
      <c r="L658" s="67"/>
      <c r="M658" s="60"/>
      <c r="N658" s="57" t="str">
        <f>if(counta(E658:K658)&gt;0,SUM(I658:I660)+1, )</f>
        <v/>
      </c>
      <c r="O658" s="59" t="str">
        <f>if ( isblank (E658), E658, E658 + F658*'Control PanelOur Matches'!$K$2 + G658*5 + H658*(1/3) + I658*'Control PanelOur Matches'!$M$2 + J658*50)</f>
        <v/>
      </c>
      <c r="P658" s="59" t="str">
        <f t="shared" si="2"/>
        <v/>
      </c>
      <c r="Q658" s="60" t="str">
        <f t="shared" si="3"/>
        <v>no</v>
      </c>
      <c r="R658" s="60" t="str">
        <f t="shared" si="4"/>
        <v/>
      </c>
    </row>
    <row r="659" ht="15.0" customHeight="1">
      <c r="A659" s="65">
        <v>656.0</v>
      </c>
      <c r="B659" s="66">
        <v>110.0</v>
      </c>
      <c r="C659" s="52" t="s">
        <v>40</v>
      </c>
      <c r="D659" s="53" t="str">
        <f t="array" ref="D659">index('Match Sched'!$C$3:$H753,match(B659,'Match Sched'!$A$3:$A753,0),if(mod(A659,6)=0,6,mod(A659,6)),0)</f>
        <v/>
      </c>
      <c r="E659" s="54"/>
      <c r="F659" s="55"/>
      <c r="G659" s="67"/>
      <c r="H659" s="67"/>
      <c r="I659" s="67"/>
      <c r="J659" s="67"/>
      <c r="K659" s="67"/>
      <c r="L659" s="67"/>
      <c r="M659" s="60"/>
      <c r="N659" s="57" t="str">
        <f>N658</f>
        <v/>
      </c>
      <c r="O659" s="59" t="str">
        <f>if ( isblank (E659), E659, E659 + F659*'Control PanelOur Matches'!$K$2 + G659*5 + H659*(1/3) + I659*'Control PanelOur Matches'!$M$2 + J659*50)</f>
        <v/>
      </c>
      <c r="P659" s="59" t="str">
        <f t="shared" si="2"/>
        <v/>
      </c>
      <c r="Q659" s="60" t="str">
        <f t="shared" si="3"/>
        <v>no</v>
      </c>
      <c r="R659" s="60" t="str">
        <f t="shared" si="4"/>
        <v/>
      </c>
    </row>
    <row r="660" ht="15.0" customHeight="1">
      <c r="A660" s="65">
        <v>657.0</v>
      </c>
      <c r="B660" s="66">
        <v>110.0</v>
      </c>
      <c r="C660" s="52" t="s">
        <v>41</v>
      </c>
      <c r="D660" s="53" t="str">
        <f t="array" ref="D660">index('Match Sched'!$C$3:$H753,match(B660,'Match Sched'!$A$3:$A753,0),if(mod(A660,6)=0,6,mod(A660,6)),0)</f>
        <v/>
      </c>
      <c r="E660" s="54"/>
      <c r="F660" s="55"/>
      <c r="G660" s="67"/>
      <c r="H660" s="67"/>
      <c r="I660" s="67"/>
      <c r="J660" s="67"/>
      <c r="K660" s="67"/>
      <c r="L660" s="67"/>
      <c r="M660" s="60"/>
      <c r="N660" s="57" t="str">
        <f>N658</f>
        <v/>
      </c>
      <c r="O660" s="59" t="str">
        <f>if ( isblank (E660), E660, E660 + F660*'Control PanelOur Matches'!$K$2 + G660*5 + H660*(1/3) + I660*'Control PanelOur Matches'!$M$2 + J660*50)</f>
        <v/>
      </c>
      <c r="P660" s="59" t="str">
        <f t="shared" si="2"/>
        <v/>
      </c>
      <c r="Q660" s="60" t="str">
        <f t="shared" si="3"/>
        <v>no</v>
      </c>
      <c r="R660" s="60" t="str">
        <f t="shared" si="4"/>
        <v/>
      </c>
    </row>
    <row r="661" ht="15.0" customHeight="1">
      <c r="A661" s="65">
        <v>658.0</v>
      </c>
      <c r="B661" s="66">
        <v>110.0</v>
      </c>
      <c r="C661" s="52" t="s">
        <v>42</v>
      </c>
      <c r="D661" s="53" t="str">
        <f t="array" ref="D661">index('Match Sched'!$C$3:$H753,match(B661,'Match Sched'!$A$3:$A753,0),if(mod(A661,6)=0,6,mod(A661,6)),0)</f>
        <v/>
      </c>
      <c r="E661" s="54"/>
      <c r="F661" s="55"/>
      <c r="G661" s="67"/>
      <c r="H661" s="67"/>
      <c r="I661" s="67"/>
      <c r="J661" s="67"/>
      <c r="K661" s="67"/>
      <c r="L661" s="67"/>
      <c r="M661" s="60"/>
      <c r="N661" s="57" t="str">
        <f>if(counta(E661:K661)&gt;0,SUM(I661:I663)+1, )</f>
        <v/>
      </c>
      <c r="O661" s="59" t="str">
        <f>if ( isblank (E661), E661, E661 + F661*'Control PanelOur Matches'!$K$2 + G661*5 + H661*(1/3) + I661*'Control PanelOur Matches'!$M$2 + J661*50)</f>
        <v/>
      </c>
      <c r="P661" s="59" t="str">
        <f t="shared" si="2"/>
        <v/>
      </c>
      <c r="Q661" s="60" t="str">
        <f t="shared" si="3"/>
        <v>no</v>
      </c>
      <c r="R661" s="60" t="str">
        <f t="shared" si="4"/>
        <v/>
      </c>
    </row>
    <row r="662" ht="15.0" customHeight="1">
      <c r="A662" s="65">
        <v>659.0</v>
      </c>
      <c r="B662" s="66">
        <v>110.0</v>
      </c>
      <c r="C662" s="52" t="s">
        <v>43</v>
      </c>
      <c r="D662" s="53" t="str">
        <f t="array" ref="D662">index('Match Sched'!$C$3:$H753,match(B662,'Match Sched'!$A$3:$A753,0),if(mod(A662,6)=0,6,mod(A662,6)),0)</f>
        <v/>
      </c>
      <c r="E662" s="54"/>
      <c r="F662" s="55"/>
      <c r="G662" s="67"/>
      <c r="H662" s="67"/>
      <c r="I662" s="67"/>
      <c r="J662" s="67"/>
      <c r="K662" s="67"/>
      <c r="L662" s="67"/>
      <c r="M662" s="60"/>
      <c r="N662" s="57" t="str">
        <f>N661</f>
        <v/>
      </c>
      <c r="O662" s="59" t="str">
        <f>if ( isblank (E662), E662, E662 + F662*'Control PanelOur Matches'!$K$2 + G662*5 + H662*(1/3) + I662*'Control PanelOur Matches'!$M$2 + J662*50)</f>
        <v/>
      </c>
      <c r="P662" s="59" t="str">
        <f t="shared" si="2"/>
        <v/>
      </c>
      <c r="Q662" s="60" t="str">
        <f t="shared" si="3"/>
        <v>no</v>
      </c>
      <c r="R662" s="60" t="str">
        <f t="shared" si="4"/>
        <v/>
      </c>
    </row>
    <row r="663" ht="15.0" customHeight="1">
      <c r="A663" s="65">
        <v>660.0</v>
      </c>
      <c r="B663" s="66">
        <v>110.0</v>
      </c>
      <c r="C663" s="68" t="s">
        <v>44</v>
      </c>
      <c r="D663" s="53" t="str">
        <f t="array" ref="D663">index('Match Sched'!$C$3:$H753,match(B663,'Match Sched'!$A$3:$A753,0),if(mod(A663,6)=0,6,mod(A663,6)),0)</f>
        <v/>
      </c>
      <c r="E663" s="54"/>
      <c r="F663" s="55"/>
      <c r="G663" s="67"/>
      <c r="H663" s="67"/>
      <c r="I663" s="67"/>
      <c r="J663" s="67"/>
      <c r="K663" s="67"/>
      <c r="L663" s="67"/>
      <c r="M663" s="60"/>
      <c r="N663" s="57" t="str">
        <f>N661</f>
        <v/>
      </c>
      <c r="O663" s="59" t="str">
        <f>if ( isblank (E663), E663, E663 + F663*'Control PanelOur Matches'!$K$2 + G663*5 + H663*(1/3) + I663*'Control PanelOur Matches'!$M$2 + J663*50)</f>
        <v/>
      </c>
      <c r="P663" s="59" t="str">
        <f t="shared" si="2"/>
        <v/>
      </c>
      <c r="Q663" s="60" t="str">
        <f t="shared" si="3"/>
        <v>no</v>
      </c>
      <c r="R663" s="60" t="str">
        <f t="shared" si="4"/>
        <v/>
      </c>
    </row>
    <row r="664" ht="15.0" customHeight="1">
      <c r="A664" s="49">
        <v>661.0</v>
      </c>
      <c r="B664" s="50">
        <v>111.0</v>
      </c>
      <c r="C664" s="52" t="s">
        <v>39</v>
      </c>
      <c r="D664" s="53" t="str">
        <f t="array" ref="D664">index('Match Sched'!$C$3:$H753,match(B664,'Match Sched'!$A$3:$A753,0),if(mod(A664,6)=0,6,mod(A664,6)),0)</f>
        <v/>
      </c>
      <c r="E664" s="54"/>
      <c r="F664" s="55"/>
      <c r="G664" s="54"/>
      <c r="H664" s="54"/>
      <c r="I664" s="54"/>
      <c r="J664" s="54"/>
      <c r="K664" s="54"/>
      <c r="L664" s="54"/>
      <c r="M664" s="60"/>
      <c r="N664" s="57" t="str">
        <f>if(counta(E664:K664)&gt;0,SUM(I664:I666)+1, )</f>
        <v/>
      </c>
      <c r="O664" s="59" t="str">
        <f>if ( isblank (E664), E664, E664 + F664*'Control PanelOur Matches'!$K$2 + G664*5 + H664*(1/3) + I664*'Control PanelOur Matches'!$M$2 + J664*50)</f>
        <v/>
      </c>
      <c r="P664" s="59" t="str">
        <f t="shared" si="2"/>
        <v/>
      </c>
      <c r="Q664" s="60" t="str">
        <f t="shared" si="3"/>
        <v>no</v>
      </c>
      <c r="R664" s="60" t="str">
        <f t="shared" si="4"/>
        <v/>
      </c>
    </row>
    <row r="665" ht="15.0" customHeight="1">
      <c r="A665" s="49">
        <v>662.0</v>
      </c>
      <c r="B665" s="50">
        <v>111.0</v>
      </c>
      <c r="C665" s="52" t="s">
        <v>40</v>
      </c>
      <c r="D665" s="53" t="str">
        <f t="array" ref="D665">index('Match Sched'!$C$3:$H753,match(B665,'Match Sched'!$A$3:$A753,0),if(mod(A665,6)=0,6,mod(A665,6)),0)</f>
        <v/>
      </c>
      <c r="E665" s="54"/>
      <c r="F665" s="55"/>
      <c r="G665" s="54"/>
      <c r="H665" s="54"/>
      <c r="I665" s="54"/>
      <c r="J665" s="54"/>
      <c r="K665" s="54"/>
      <c r="L665" s="54"/>
      <c r="M665" s="60"/>
      <c r="N665" s="57" t="str">
        <f>N664</f>
        <v/>
      </c>
      <c r="O665" s="59" t="str">
        <f>if ( isblank (E665), E665, E665 + F665*'Control PanelOur Matches'!$K$2 + G665*5 + H665*(1/3) + I665*'Control PanelOur Matches'!$M$2 + J665*50)</f>
        <v/>
      </c>
      <c r="P665" s="59" t="str">
        <f t="shared" si="2"/>
        <v/>
      </c>
      <c r="Q665" s="60" t="str">
        <f t="shared" si="3"/>
        <v>no</v>
      </c>
      <c r="R665" s="60" t="str">
        <f t="shared" si="4"/>
        <v/>
      </c>
    </row>
    <row r="666" ht="15.0" customHeight="1">
      <c r="A666" s="49">
        <v>663.0</v>
      </c>
      <c r="B666" s="50">
        <v>111.0</v>
      </c>
      <c r="C666" s="52" t="s">
        <v>41</v>
      </c>
      <c r="D666" s="53" t="str">
        <f t="array" ref="D666">index('Match Sched'!$C$3:$H753,match(B666,'Match Sched'!$A$3:$A753,0),if(mod(A666,6)=0,6,mod(A666,6)),0)</f>
        <v/>
      </c>
      <c r="E666" s="54"/>
      <c r="F666" s="55"/>
      <c r="G666" s="54"/>
      <c r="H666" s="54"/>
      <c r="I666" s="54"/>
      <c r="J666" s="54"/>
      <c r="K666" s="54"/>
      <c r="L666" s="54"/>
      <c r="M666" s="60"/>
      <c r="N666" s="57" t="str">
        <f>N664</f>
        <v/>
      </c>
      <c r="O666" s="59" t="str">
        <f>if ( isblank (E666), E666, E666 + F666*'Control PanelOur Matches'!$K$2 + G666*5 + H666*(1/3) + I666*'Control PanelOur Matches'!$M$2 + J666*50)</f>
        <v/>
      </c>
      <c r="P666" s="59" t="str">
        <f t="shared" si="2"/>
        <v/>
      </c>
      <c r="Q666" s="60" t="str">
        <f t="shared" si="3"/>
        <v>no</v>
      </c>
      <c r="R666" s="60" t="str">
        <f t="shared" si="4"/>
        <v/>
      </c>
    </row>
    <row r="667" ht="15.0" customHeight="1">
      <c r="A667" s="49">
        <v>664.0</v>
      </c>
      <c r="B667" s="50">
        <v>111.0</v>
      </c>
      <c r="C667" s="52" t="s">
        <v>42</v>
      </c>
      <c r="D667" s="53" t="str">
        <f t="array" ref="D667">index('Match Sched'!$C$3:$H753,match(B667,'Match Sched'!$A$3:$A753,0),if(mod(A667,6)=0,6,mod(A667,6)),0)</f>
        <v/>
      </c>
      <c r="E667" s="54"/>
      <c r="F667" s="55"/>
      <c r="G667" s="54"/>
      <c r="H667" s="54"/>
      <c r="I667" s="54"/>
      <c r="J667" s="54"/>
      <c r="K667" s="54"/>
      <c r="L667" s="54"/>
      <c r="M667" s="60"/>
      <c r="N667" s="57" t="str">
        <f>if(counta(E667:K667)&gt;0,SUM(I667:I669)+1, )</f>
        <v/>
      </c>
      <c r="O667" s="59" t="str">
        <f>if ( isblank (E667), E667, E667 + F667*'Control PanelOur Matches'!$K$2 + G667*5 + H667*(1/3) + I667*'Control PanelOur Matches'!$M$2 + J667*50)</f>
        <v/>
      </c>
      <c r="P667" s="59" t="str">
        <f t="shared" si="2"/>
        <v/>
      </c>
      <c r="Q667" s="60" t="str">
        <f t="shared" si="3"/>
        <v>no</v>
      </c>
      <c r="R667" s="60" t="str">
        <f t="shared" si="4"/>
        <v/>
      </c>
    </row>
    <row r="668" ht="15.0" customHeight="1">
      <c r="A668" s="49">
        <v>665.0</v>
      </c>
      <c r="B668" s="50">
        <v>111.0</v>
      </c>
      <c r="C668" s="52" t="s">
        <v>43</v>
      </c>
      <c r="D668" s="53" t="str">
        <f t="array" ref="D668">index('Match Sched'!$C$3:$H753,match(B668,'Match Sched'!$A$3:$A753,0),if(mod(A668,6)=0,6,mod(A668,6)),0)</f>
        <v/>
      </c>
      <c r="E668" s="54"/>
      <c r="F668" s="55"/>
      <c r="G668" s="54"/>
      <c r="H668" s="54"/>
      <c r="I668" s="54"/>
      <c r="J668" s="54"/>
      <c r="K668" s="54"/>
      <c r="L668" s="54"/>
      <c r="M668" s="60"/>
      <c r="N668" s="57" t="str">
        <f>N667</f>
        <v/>
      </c>
      <c r="O668" s="59" t="str">
        <f>if ( isblank (E668), E668, E668 + F668*'Control PanelOur Matches'!$K$2 + G668*5 + H668*(1/3) + I668*'Control PanelOur Matches'!$M$2 + J668*50)</f>
        <v/>
      </c>
      <c r="P668" s="59" t="str">
        <f t="shared" si="2"/>
        <v/>
      </c>
      <c r="Q668" s="60" t="str">
        <f t="shared" si="3"/>
        <v>no</v>
      </c>
      <c r="R668" s="60" t="str">
        <f t="shared" si="4"/>
        <v/>
      </c>
    </row>
    <row r="669" ht="15.0" customHeight="1">
      <c r="A669" s="49">
        <v>666.0</v>
      </c>
      <c r="B669" s="50">
        <v>111.0</v>
      </c>
      <c r="C669" s="52" t="s">
        <v>44</v>
      </c>
      <c r="D669" s="53" t="str">
        <f t="array" ref="D669">index('Match Sched'!$C$3:$H753,match(B669,'Match Sched'!$A$3:$A753,0),if(mod(A669,6)=0,6,mod(A669,6)),0)</f>
        <v/>
      </c>
      <c r="E669" s="54"/>
      <c r="F669" s="55"/>
      <c r="G669" s="54"/>
      <c r="H669" s="54"/>
      <c r="I669" s="54"/>
      <c r="J669" s="54"/>
      <c r="K669" s="54"/>
      <c r="L669" s="54"/>
      <c r="M669" s="60"/>
      <c r="N669" s="57" t="str">
        <f>N667</f>
        <v/>
      </c>
      <c r="O669" s="59" t="str">
        <f>if ( isblank (E669), E669, E669 + F669*'Control PanelOur Matches'!$K$2 + G669*5 + H669*(1/3) + I669*'Control PanelOur Matches'!$M$2 + J669*50)</f>
        <v/>
      </c>
      <c r="P669" s="59" t="str">
        <f t="shared" si="2"/>
        <v/>
      </c>
      <c r="Q669" s="60" t="str">
        <f t="shared" si="3"/>
        <v>no</v>
      </c>
      <c r="R669" s="60" t="str">
        <f t="shared" si="4"/>
        <v/>
      </c>
    </row>
    <row r="670" ht="15.0" customHeight="1">
      <c r="A670" s="65">
        <v>667.0</v>
      </c>
      <c r="B670" s="66">
        <v>112.0</v>
      </c>
      <c r="C670" s="52" t="s">
        <v>39</v>
      </c>
      <c r="D670" s="53" t="str">
        <f t="array" ref="D670">index('Match Sched'!$C$3:$H753,match(B670,'Match Sched'!$A$3:$A753,0),if(mod(A670,6)=0,6,mod(A670,6)),0)</f>
        <v/>
      </c>
      <c r="E670" s="54"/>
      <c r="F670" s="55"/>
      <c r="G670" s="67"/>
      <c r="H670" s="67"/>
      <c r="I670" s="67"/>
      <c r="J670" s="67"/>
      <c r="K670" s="67"/>
      <c r="L670" s="67"/>
      <c r="M670" s="60"/>
      <c r="N670" s="57" t="str">
        <f>if(counta(E670:K670)&gt;0,SUM(I670:I672)+1, )</f>
        <v/>
      </c>
      <c r="O670" s="59" t="str">
        <f>if ( isblank (E670), E670, E670 + F670*'Control PanelOur Matches'!$K$2 + G670*5 + H670*(1/3) + I670*'Control PanelOur Matches'!$M$2 + J670*50)</f>
        <v/>
      </c>
      <c r="P670" s="59" t="str">
        <f t="shared" si="2"/>
        <v/>
      </c>
      <c r="Q670" s="60" t="str">
        <f t="shared" si="3"/>
        <v>no</v>
      </c>
      <c r="R670" s="60" t="str">
        <f t="shared" si="4"/>
        <v/>
      </c>
    </row>
    <row r="671" ht="15.0" customHeight="1">
      <c r="A671" s="65">
        <v>668.0</v>
      </c>
      <c r="B671" s="66">
        <v>112.0</v>
      </c>
      <c r="C671" s="69" t="s">
        <v>40</v>
      </c>
      <c r="D671" s="53" t="str">
        <f t="array" ref="D671">index('Match Sched'!$C$3:$H753,match(B671,'Match Sched'!$A$3:$A753,0),if(mod(A671,6)=0,6,mod(A671,6)),0)</f>
        <v/>
      </c>
      <c r="E671" s="54"/>
      <c r="F671" s="55"/>
      <c r="G671" s="67"/>
      <c r="H671" s="67"/>
      <c r="I671" s="67"/>
      <c r="J671" s="67"/>
      <c r="K671" s="67"/>
      <c r="L671" s="67"/>
      <c r="M671" s="60"/>
      <c r="N671" s="57" t="str">
        <f>N670</f>
        <v/>
      </c>
      <c r="O671" s="59" t="str">
        <f>if ( isblank (E671), E671, E671 + F671*'Control PanelOur Matches'!$K$2 + G671*5 + H671*(1/3) + I671*'Control PanelOur Matches'!$M$2 + J671*50)</f>
        <v/>
      </c>
      <c r="P671" s="59" t="str">
        <f t="shared" si="2"/>
        <v/>
      </c>
      <c r="Q671" s="60" t="str">
        <f t="shared" si="3"/>
        <v>no</v>
      </c>
      <c r="R671" s="60" t="str">
        <f t="shared" si="4"/>
        <v/>
      </c>
    </row>
    <row r="672" ht="15.0" customHeight="1">
      <c r="A672" s="65">
        <v>669.0</v>
      </c>
      <c r="B672" s="66">
        <v>112.0</v>
      </c>
      <c r="C672" s="52" t="s">
        <v>41</v>
      </c>
      <c r="D672" s="53" t="str">
        <f t="array" ref="D672">index('Match Sched'!$C$3:$H753,match(B672,'Match Sched'!$A$3:$A753,0),if(mod(A672,6)=0,6,mod(A672,6)),0)</f>
        <v/>
      </c>
      <c r="E672" s="54"/>
      <c r="F672" s="55"/>
      <c r="G672" s="67"/>
      <c r="H672" s="67"/>
      <c r="I672" s="67"/>
      <c r="J672" s="67"/>
      <c r="K672" s="67"/>
      <c r="L672" s="67"/>
      <c r="M672" s="60"/>
      <c r="N672" s="57" t="str">
        <f>N670</f>
        <v/>
      </c>
      <c r="O672" s="59" t="str">
        <f>if ( isblank (E672), E672, E672 + F672*'Control PanelOur Matches'!$K$2 + G672*5 + H672*(1/3) + I672*'Control PanelOur Matches'!$M$2 + J672*50)</f>
        <v/>
      </c>
      <c r="P672" s="59" t="str">
        <f t="shared" si="2"/>
        <v/>
      </c>
      <c r="Q672" s="60" t="str">
        <f t="shared" si="3"/>
        <v>no</v>
      </c>
      <c r="R672" s="60" t="str">
        <f t="shared" si="4"/>
        <v/>
      </c>
    </row>
    <row r="673" ht="15.0" customHeight="1">
      <c r="A673" s="65">
        <v>670.0</v>
      </c>
      <c r="B673" s="66">
        <v>112.0</v>
      </c>
      <c r="C673" s="52" t="s">
        <v>42</v>
      </c>
      <c r="D673" s="53" t="str">
        <f t="array" ref="D673">index('Match Sched'!$C$3:$H753,match(B673,'Match Sched'!$A$3:$A753,0),if(mod(A673,6)=0,6,mod(A673,6)),0)</f>
        <v/>
      </c>
      <c r="E673" s="54"/>
      <c r="F673" s="55"/>
      <c r="G673" s="67"/>
      <c r="H673" s="67"/>
      <c r="I673" s="67"/>
      <c r="J673" s="67"/>
      <c r="K673" s="67"/>
      <c r="L673" s="67"/>
      <c r="M673" s="60"/>
      <c r="N673" s="57" t="str">
        <f>if(counta(E673:K673)&gt;0,SUM(I673:I675)+1, )</f>
        <v/>
      </c>
      <c r="O673" s="59" t="str">
        <f>if ( isblank (E673), E673, E673 + F673*'Control PanelOur Matches'!$K$2 + G673*5 + H673*(1/3) + I673*'Control PanelOur Matches'!$M$2 + J673*50)</f>
        <v/>
      </c>
      <c r="P673" s="59" t="str">
        <f t="shared" si="2"/>
        <v/>
      </c>
      <c r="Q673" s="60" t="str">
        <f t="shared" si="3"/>
        <v>no</v>
      </c>
      <c r="R673" s="60" t="str">
        <f t="shared" si="4"/>
        <v/>
      </c>
    </row>
    <row r="674" ht="15.0" customHeight="1">
      <c r="A674" s="65">
        <v>671.0</v>
      </c>
      <c r="B674" s="66">
        <v>112.0</v>
      </c>
      <c r="C674" s="52" t="s">
        <v>43</v>
      </c>
      <c r="D674" s="53" t="str">
        <f t="array" ref="D674">index('Match Sched'!$C$3:$H753,match(B674,'Match Sched'!$A$3:$A753,0),if(mod(A674,6)=0,6,mod(A674,6)),0)</f>
        <v/>
      </c>
      <c r="E674" s="54"/>
      <c r="F674" s="55"/>
      <c r="G674" s="67"/>
      <c r="H674" s="67"/>
      <c r="I674" s="67"/>
      <c r="J674" s="67"/>
      <c r="K674" s="67"/>
      <c r="L674" s="67"/>
      <c r="M674" s="60"/>
      <c r="N674" s="57" t="str">
        <f>N673</f>
        <v/>
      </c>
      <c r="O674" s="59" t="str">
        <f>if ( isblank (E674), E674, E674 + F674*'Control PanelOur Matches'!$K$2 + G674*5 + H674*(1/3) + I674*'Control PanelOur Matches'!$M$2 + J674*50)</f>
        <v/>
      </c>
      <c r="P674" s="59" t="str">
        <f t="shared" si="2"/>
        <v/>
      </c>
      <c r="Q674" s="60" t="str">
        <f t="shared" si="3"/>
        <v>no</v>
      </c>
      <c r="R674" s="60" t="str">
        <f t="shared" si="4"/>
        <v/>
      </c>
    </row>
    <row r="675" ht="15.0" customHeight="1">
      <c r="A675" s="65">
        <v>672.0</v>
      </c>
      <c r="B675" s="66">
        <v>112.0</v>
      </c>
      <c r="C675" s="68" t="s">
        <v>44</v>
      </c>
      <c r="D675" s="53" t="str">
        <f t="array" ref="D675">index('Match Sched'!$C$3:$H753,match(B675,'Match Sched'!$A$3:$A753,0),if(mod(A675,6)=0,6,mod(A675,6)),0)</f>
        <v/>
      </c>
      <c r="E675" s="54"/>
      <c r="F675" s="55"/>
      <c r="G675" s="67"/>
      <c r="H675" s="67"/>
      <c r="I675" s="67"/>
      <c r="J675" s="67"/>
      <c r="K675" s="67"/>
      <c r="L675" s="67"/>
      <c r="M675" s="60"/>
      <c r="N675" s="57" t="str">
        <f>N673</f>
        <v/>
      </c>
      <c r="O675" s="59" t="str">
        <f>if ( isblank (E675), E675, E675 + F675*'Control PanelOur Matches'!$K$2 + G675*5 + H675*(1/3) + I675*'Control PanelOur Matches'!$M$2 + J675*50)</f>
        <v/>
      </c>
      <c r="P675" s="59" t="str">
        <f t="shared" si="2"/>
        <v/>
      </c>
      <c r="Q675" s="60" t="str">
        <f t="shared" si="3"/>
        <v>no</v>
      </c>
      <c r="R675" s="60" t="str">
        <f t="shared" si="4"/>
        <v/>
      </c>
    </row>
    <row r="676" ht="15.0" customHeight="1">
      <c r="A676" s="49">
        <v>673.0</v>
      </c>
      <c r="B676" s="50">
        <v>113.0</v>
      </c>
      <c r="C676" s="52" t="s">
        <v>39</v>
      </c>
      <c r="D676" s="53" t="str">
        <f t="array" ref="D676">index('Match Sched'!$C$3:$H753,match(B676,'Match Sched'!$A$3:$A753,0),if(mod(A676,6)=0,6,mod(A676,6)),0)</f>
        <v/>
      </c>
      <c r="E676" s="54"/>
      <c r="F676" s="55"/>
      <c r="G676" s="54"/>
      <c r="H676" s="54"/>
      <c r="I676" s="54"/>
      <c r="J676" s="54"/>
      <c r="K676" s="54"/>
      <c r="L676" s="54"/>
      <c r="M676" s="60"/>
      <c r="N676" s="57" t="str">
        <f>if(counta(E676:K676)&gt;0,SUM(I676:I678)+1, )</f>
        <v/>
      </c>
      <c r="O676" s="59" t="str">
        <f>if ( isblank (E676), E676, E676 + F676*'Control PanelOur Matches'!$K$2 + G676*5 + H676*(1/3) + I676*'Control PanelOur Matches'!$M$2 + J676*50)</f>
        <v/>
      </c>
      <c r="P676" s="59" t="str">
        <f t="shared" si="2"/>
        <v/>
      </c>
      <c r="Q676" s="60" t="str">
        <f t="shared" si="3"/>
        <v>no</v>
      </c>
      <c r="R676" s="60" t="str">
        <f t="shared" si="4"/>
        <v/>
      </c>
    </row>
    <row r="677" ht="15.0" customHeight="1">
      <c r="A677" s="49">
        <v>674.0</v>
      </c>
      <c r="B677" s="50">
        <v>113.0</v>
      </c>
      <c r="C677" s="52" t="s">
        <v>40</v>
      </c>
      <c r="D677" s="53" t="str">
        <f t="array" ref="D677">index('Match Sched'!$C$3:$H753,match(B677,'Match Sched'!$A$3:$A753,0),if(mod(A677,6)=0,6,mod(A677,6)),0)</f>
        <v/>
      </c>
      <c r="E677" s="54"/>
      <c r="F677" s="55"/>
      <c r="G677" s="54"/>
      <c r="H677" s="54"/>
      <c r="I677" s="54"/>
      <c r="J677" s="54"/>
      <c r="K677" s="54"/>
      <c r="L677" s="54"/>
      <c r="M677" s="60"/>
      <c r="N677" s="57" t="str">
        <f>N676</f>
        <v/>
      </c>
      <c r="O677" s="59" t="str">
        <f>if ( isblank (E677), E677, E677 + F677*'Control PanelOur Matches'!$K$2 + G677*5 + H677*(1/3) + I677*'Control PanelOur Matches'!$M$2 + J677*50)</f>
        <v/>
      </c>
      <c r="P677" s="59" t="str">
        <f t="shared" si="2"/>
        <v/>
      </c>
      <c r="Q677" s="60" t="str">
        <f t="shared" si="3"/>
        <v>no</v>
      </c>
      <c r="R677" s="60" t="str">
        <f t="shared" si="4"/>
        <v/>
      </c>
    </row>
    <row r="678" ht="15.0" customHeight="1">
      <c r="A678" s="49">
        <v>675.0</v>
      </c>
      <c r="B678" s="50">
        <v>113.0</v>
      </c>
      <c r="C678" s="52" t="s">
        <v>41</v>
      </c>
      <c r="D678" s="53" t="str">
        <f t="array" ref="D678">index('Match Sched'!$C$3:$H753,match(B678,'Match Sched'!$A$3:$A753,0),if(mod(A678,6)=0,6,mod(A678,6)),0)</f>
        <v/>
      </c>
      <c r="E678" s="54"/>
      <c r="F678" s="55"/>
      <c r="G678" s="54"/>
      <c r="H678" s="54"/>
      <c r="I678" s="54"/>
      <c r="J678" s="54"/>
      <c r="K678" s="54"/>
      <c r="L678" s="54"/>
      <c r="M678" s="60"/>
      <c r="N678" s="57" t="str">
        <f>N676</f>
        <v/>
      </c>
      <c r="O678" s="59" t="str">
        <f>if ( isblank (E678), E678, E678 + F678*'Control PanelOur Matches'!$K$2 + G678*5 + H678*(1/3) + I678*'Control PanelOur Matches'!$M$2 + J678*50)</f>
        <v/>
      </c>
      <c r="P678" s="59" t="str">
        <f t="shared" si="2"/>
        <v/>
      </c>
      <c r="Q678" s="60" t="str">
        <f t="shared" si="3"/>
        <v>no</v>
      </c>
      <c r="R678" s="60" t="str">
        <f t="shared" si="4"/>
        <v/>
      </c>
    </row>
    <row r="679" ht="15.0" customHeight="1">
      <c r="A679" s="49">
        <v>676.0</v>
      </c>
      <c r="B679" s="50">
        <v>113.0</v>
      </c>
      <c r="C679" s="52" t="s">
        <v>42</v>
      </c>
      <c r="D679" s="53" t="str">
        <f t="array" ref="D679">index('Match Sched'!$C$3:$H753,match(B679,'Match Sched'!$A$3:$A753,0),if(mod(A679,6)=0,6,mod(A679,6)),0)</f>
        <v/>
      </c>
      <c r="E679" s="54"/>
      <c r="F679" s="55"/>
      <c r="G679" s="54"/>
      <c r="H679" s="54"/>
      <c r="I679" s="54"/>
      <c r="J679" s="54"/>
      <c r="K679" s="54"/>
      <c r="L679" s="54"/>
      <c r="M679" s="60"/>
      <c r="N679" s="57" t="str">
        <f>if(counta(E679:K679)&gt;0,SUM(I679:I681)+1, )</f>
        <v/>
      </c>
      <c r="O679" s="59" t="str">
        <f>if ( isblank (E679), E679, E679 + F679*'Control PanelOur Matches'!$K$2 + G679*5 + H679*(1/3) + I679*'Control PanelOur Matches'!$M$2 + J679*50)</f>
        <v/>
      </c>
      <c r="P679" s="59" t="str">
        <f t="shared" si="2"/>
        <v/>
      </c>
      <c r="Q679" s="60" t="str">
        <f t="shared" si="3"/>
        <v>no</v>
      </c>
      <c r="R679" s="60" t="str">
        <f t="shared" si="4"/>
        <v/>
      </c>
    </row>
    <row r="680" ht="15.0" customHeight="1">
      <c r="A680" s="49">
        <v>677.0</v>
      </c>
      <c r="B680" s="50">
        <v>113.0</v>
      </c>
      <c r="C680" s="52" t="s">
        <v>43</v>
      </c>
      <c r="D680" s="53" t="str">
        <f t="array" ref="D680">index('Match Sched'!$C$3:$H753,match(B680,'Match Sched'!$A$3:$A753,0),if(mod(A680,6)=0,6,mod(A680,6)),0)</f>
        <v/>
      </c>
      <c r="E680" s="54"/>
      <c r="F680" s="55"/>
      <c r="G680" s="54"/>
      <c r="H680" s="54"/>
      <c r="I680" s="54"/>
      <c r="J680" s="54"/>
      <c r="K680" s="54"/>
      <c r="L680" s="54"/>
      <c r="M680" s="60"/>
      <c r="N680" s="57" t="str">
        <f>N679</f>
        <v/>
      </c>
      <c r="O680" s="59" t="str">
        <f>if ( isblank (E680), E680, E680 + F680*'Control PanelOur Matches'!$K$2 + G680*5 + H680*(1/3) + I680*'Control PanelOur Matches'!$M$2 + J680*50)</f>
        <v/>
      </c>
      <c r="P680" s="59" t="str">
        <f t="shared" si="2"/>
        <v/>
      </c>
      <c r="Q680" s="60" t="str">
        <f t="shared" si="3"/>
        <v>no</v>
      </c>
      <c r="R680" s="60" t="str">
        <f t="shared" si="4"/>
        <v/>
      </c>
    </row>
    <row r="681" ht="15.0" customHeight="1">
      <c r="A681" s="49">
        <v>678.0</v>
      </c>
      <c r="B681" s="50">
        <v>113.0</v>
      </c>
      <c r="C681" s="52" t="s">
        <v>44</v>
      </c>
      <c r="D681" s="53" t="str">
        <f t="array" ref="D681">index('Match Sched'!$C$3:$H753,match(B681,'Match Sched'!$A$3:$A753,0),if(mod(A681,6)=0,6,mod(A681,6)),0)</f>
        <v/>
      </c>
      <c r="E681" s="54"/>
      <c r="F681" s="55"/>
      <c r="G681" s="54"/>
      <c r="H681" s="54"/>
      <c r="I681" s="54"/>
      <c r="J681" s="54"/>
      <c r="K681" s="54"/>
      <c r="L681" s="54"/>
      <c r="M681" s="60"/>
      <c r="N681" s="57" t="str">
        <f>N679</f>
        <v/>
      </c>
      <c r="O681" s="59" t="str">
        <f>if ( isblank (E681), E681, E681 + F681*'Control PanelOur Matches'!$K$2 + G681*5 + H681*(1/3) + I681*'Control PanelOur Matches'!$M$2 + J681*50)</f>
        <v/>
      </c>
      <c r="P681" s="59" t="str">
        <f t="shared" si="2"/>
        <v/>
      </c>
      <c r="Q681" s="60" t="str">
        <f t="shared" si="3"/>
        <v>no</v>
      </c>
      <c r="R681" s="60" t="str">
        <f t="shared" si="4"/>
        <v/>
      </c>
    </row>
    <row r="682" ht="15.0" customHeight="1">
      <c r="A682" s="65">
        <v>679.0</v>
      </c>
      <c r="B682" s="66">
        <v>114.0</v>
      </c>
      <c r="C682" s="52" t="s">
        <v>39</v>
      </c>
      <c r="D682" s="53" t="str">
        <f t="array" ref="D682">index('Match Sched'!$C$3:$H753,match(B682,'Match Sched'!$A$3:$A753,0),if(mod(A682,6)=0,6,mod(A682,6)),0)</f>
        <v/>
      </c>
      <c r="E682" s="54"/>
      <c r="F682" s="55"/>
      <c r="G682" s="67"/>
      <c r="H682" s="67"/>
      <c r="I682" s="67"/>
      <c r="J682" s="67"/>
      <c r="K682" s="67"/>
      <c r="L682" s="67"/>
      <c r="M682" s="60"/>
      <c r="N682" s="57" t="str">
        <f>if(counta(E682:K682)&gt;0,SUM(I682:I684)+1, )</f>
        <v/>
      </c>
      <c r="O682" s="59" t="str">
        <f>if ( isblank (E682), E682, E682 + F682*'Control PanelOur Matches'!$K$2 + G682*5 + H682*(1/3) + I682*'Control PanelOur Matches'!$M$2 + J682*50)</f>
        <v/>
      </c>
      <c r="P682" s="59" t="str">
        <f t="shared" si="2"/>
        <v/>
      </c>
      <c r="Q682" s="60" t="str">
        <f t="shared" si="3"/>
        <v>no</v>
      </c>
      <c r="R682" s="60" t="str">
        <f t="shared" si="4"/>
        <v/>
      </c>
    </row>
    <row r="683" ht="15.0" customHeight="1">
      <c r="A683" s="65">
        <v>680.0</v>
      </c>
      <c r="B683" s="66">
        <v>114.0</v>
      </c>
      <c r="C683" s="52" t="s">
        <v>40</v>
      </c>
      <c r="D683" s="53" t="str">
        <f t="array" ref="D683">index('Match Sched'!$C$3:$H753,match(B683,'Match Sched'!$A$3:$A753,0),if(mod(A683,6)=0,6,mod(A683,6)),0)</f>
        <v/>
      </c>
      <c r="E683" s="54"/>
      <c r="F683" s="55"/>
      <c r="G683" s="67"/>
      <c r="H683" s="67"/>
      <c r="I683" s="67"/>
      <c r="J683" s="67"/>
      <c r="K683" s="67"/>
      <c r="L683" s="67"/>
      <c r="M683" s="60"/>
      <c r="N683" s="57" t="str">
        <f>N682</f>
        <v/>
      </c>
      <c r="O683" s="59" t="str">
        <f>if ( isblank (E683), E683, E683 + F683*'Control PanelOur Matches'!$K$2 + G683*5 + H683*(1/3) + I683*'Control PanelOur Matches'!$M$2 + J683*50)</f>
        <v/>
      </c>
      <c r="P683" s="59" t="str">
        <f t="shared" si="2"/>
        <v/>
      </c>
      <c r="Q683" s="60" t="str">
        <f t="shared" si="3"/>
        <v>no</v>
      </c>
      <c r="R683" s="60" t="str">
        <f t="shared" si="4"/>
        <v/>
      </c>
    </row>
    <row r="684" ht="15.0" customHeight="1">
      <c r="A684" s="65">
        <v>681.0</v>
      </c>
      <c r="B684" s="66">
        <v>114.0</v>
      </c>
      <c r="C684" s="52" t="s">
        <v>41</v>
      </c>
      <c r="D684" s="53" t="str">
        <f t="array" ref="D684">index('Match Sched'!$C$3:$H753,match(B684,'Match Sched'!$A$3:$A753,0),if(mod(A684,6)=0,6,mod(A684,6)),0)</f>
        <v/>
      </c>
      <c r="E684" s="54"/>
      <c r="F684" s="55"/>
      <c r="G684" s="67"/>
      <c r="H684" s="67"/>
      <c r="I684" s="67"/>
      <c r="J684" s="67"/>
      <c r="K684" s="67"/>
      <c r="L684" s="67"/>
      <c r="M684" s="60"/>
      <c r="N684" s="57" t="str">
        <f>N682</f>
        <v/>
      </c>
      <c r="O684" s="59" t="str">
        <f>if ( isblank (E684), E684, E684 + F684*'Control PanelOur Matches'!$K$2 + G684*5 + H684*(1/3) + I684*'Control PanelOur Matches'!$M$2 + J684*50)</f>
        <v/>
      </c>
      <c r="P684" s="59" t="str">
        <f t="shared" si="2"/>
        <v/>
      </c>
      <c r="Q684" s="60" t="str">
        <f t="shared" si="3"/>
        <v>no</v>
      </c>
      <c r="R684" s="60" t="str">
        <f t="shared" si="4"/>
        <v/>
      </c>
    </row>
    <row r="685" ht="15.0" customHeight="1">
      <c r="A685" s="65">
        <v>682.0</v>
      </c>
      <c r="B685" s="66">
        <v>114.0</v>
      </c>
      <c r="C685" s="52" t="s">
        <v>42</v>
      </c>
      <c r="D685" s="53" t="str">
        <f t="array" ref="D685">index('Match Sched'!$C$3:$H753,match(B685,'Match Sched'!$A$3:$A753,0),if(mod(A685,6)=0,6,mod(A685,6)),0)</f>
        <v/>
      </c>
      <c r="E685" s="54"/>
      <c r="F685" s="55"/>
      <c r="G685" s="67"/>
      <c r="H685" s="67"/>
      <c r="I685" s="67"/>
      <c r="J685" s="67"/>
      <c r="K685" s="67"/>
      <c r="L685" s="67"/>
      <c r="M685" s="60"/>
      <c r="N685" s="57" t="str">
        <f>if(counta(E685:K685)&gt;0,SUM(I685:I687)+1, )</f>
        <v/>
      </c>
      <c r="O685" s="59" t="str">
        <f>if ( isblank (E685), E685, E685 + F685*'Control PanelOur Matches'!$K$2 + G685*5 + H685*(1/3) + I685*'Control PanelOur Matches'!$M$2 + J685*50)</f>
        <v/>
      </c>
      <c r="P685" s="59" t="str">
        <f t="shared" si="2"/>
        <v/>
      </c>
      <c r="Q685" s="60" t="str">
        <f t="shared" si="3"/>
        <v>no</v>
      </c>
      <c r="R685" s="60" t="str">
        <f t="shared" si="4"/>
        <v/>
      </c>
    </row>
    <row r="686" ht="15.0" customHeight="1">
      <c r="A686" s="65">
        <v>683.0</v>
      </c>
      <c r="B686" s="66">
        <v>114.0</v>
      </c>
      <c r="C686" s="52" t="s">
        <v>43</v>
      </c>
      <c r="D686" s="53" t="str">
        <f t="array" ref="D686">index('Match Sched'!$C$3:$H753,match(B686,'Match Sched'!$A$3:$A753,0),if(mod(A686,6)=0,6,mod(A686,6)),0)</f>
        <v/>
      </c>
      <c r="E686" s="54"/>
      <c r="F686" s="55"/>
      <c r="G686" s="67"/>
      <c r="H686" s="67"/>
      <c r="I686" s="67"/>
      <c r="J686" s="67"/>
      <c r="K686" s="67"/>
      <c r="L686" s="67"/>
      <c r="M686" s="60"/>
      <c r="N686" s="57" t="str">
        <f>N685</f>
        <v/>
      </c>
      <c r="O686" s="59" t="str">
        <f>if ( isblank (E686), E686, E686 + F686*'Control PanelOur Matches'!$K$2 + G686*5 + H686*(1/3) + I686*'Control PanelOur Matches'!$M$2 + J686*50)</f>
        <v/>
      </c>
      <c r="P686" s="59" t="str">
        <f t="shared" si="2"/>
        <v/>
      </c>
      <c r="Q686" s="60" t="str">
        <f t="shared" si="3"/>
        <v>no</v>
      </c>
      <c r="R686" s="60" t="str">
        <f t="shared" si="4"/>
        <v/>
      </c>
    </row>
    <row r="687" ht="15.0" customHeight="1">
      <c r="A687" s="65">
        <v>684.0</v>
      </c>
      <c r="B687" s="66">
        <v>114.0</v>
      </c>
      <c r="C687" s="68" t="s">
        <v>44</v>
      </c>
      <c r="D687" s="53" t="str">
        <f t="array" ref="D687">index('Match Sched'!$C$3:$H753,match(B687,'Match Sched'!$A$3:$A753,0),if(mod(A687,6)=0,6,mod(A687,6)),0)</f>
        <v/>
      </c>
      <c r="E687" s="54"/>
      <c r="F687" s="55"/>
      <c r="G687" s="67"/>
      <c r="H687" s="67"/>
      <c r="I687" s="67"/>
      <c r="J687" s="67"/>
      <c r="K687" s="67"/>
      <c r="L687" s="67"/>
      <c r="M687" s="60"/>
      <c r="N687" s="57" t="str">
        <f>N685</f>
        <v/>
      </c>
      <c r="O687" s="59" t="str">
        <f>if ( isblank (E687), E687, E687 + F687*'Control PanelOur Matches'!$K$2 + G687*5 + H687*(1/3) + I687*'Control PanelOur Matches'!$M$2 + J687*50)</f>
        <v/>
      </c>
      <c r="P687" s="59" t="str">
        <f t="shared" si="2"/>
        <v/>
      </c>
      <c r="Q687" s="60" t="str">
        <f t="shared" si="3"/>
        <v>no</v>
      </c>
      <c r="R687" s="60" t="str">
        <f t="shared" si="4"/>
        <v/>
      </c>
    </row>
    <row r="688" ht="15.0" customHeight="1">
      <c r="A688" s="49">
        <v>685.0</v>
      </c>
      <c r="B688" s="50">
        <v>115.0</v>
      </c>
      <c r="C688" s="52" t="s">
        <v>39</v>
      </c>
      <c r="D688" s="53" t="str">
        <f t="array" ref="D688">index('Match Sched'!$C$3:$H753,match(B688,'Match Sched'!$A$3:$A753,0),if(mod(A688,6)=0,6,mod(A688,6)),0)</f>
        <v/>
      </c>
      <c r="E688" s="54"/>
      <c r="F688" s="55"/>
      <c r="G688" s="54"/>
      <c r="H688" s="54"/>
      <c r="I688" s="54"/>
      <c r="J688" s="54"/>
      <c r="K688" s="54"/>
      <c r="L688" s="54"/>
      <c r="M688" s="60"/>
      <c r="N688" s="57" t="str">
        <f>if(counta(E688:K688)&gt;0,SUM(I688:I690)+1, )</f>
        <v/>
      </c>
      <c r="O688" s="59" t="str">
        <f>if ( isblank (E688), E688, E688 + F688*'Control PanelOur Matches'!$K$2 + G688*5 + H688*(1/3) + I688*'Control PanelOur Matches'!$M$2 + J688*50)</f>
        <v/>
      </c>
      <c r="P688" s="59" t="str">
        <f t="shared" si="2"/>
        <v/>
      </c>
      <c r="Q688" s="60" t="str">
        <f t="shared" si="3"/>
        <v>no</v>
      </c>
      <c r="R688" s="60" t="str">
        <f t="shared" si="4"/>
        <v/>
      </c>
    </row>
    <row r="689" ht="15.0" customHeight="1">
      <c r="A689" s="49">
        <v>686.0</v>
      </c>
      <c r="B689" s="50">
        <v>115.0</v>
      </c>
      <c r="C689" s="52" t="s">
        <v>40</v>
      </c>
      <c r="D689" s="53" t="str">
        <f t="array" ref="D689">index('Match Sched'!$C$3:$H753,match(B689,'Match Sched'!$A$3:$A753,0),if(mod(A689,6)=0,6,mod(A689,6)),0)</f>
        <v/>
      </c>
      <c r="E689" s="54"/>
      <c r="F689" s="55"/>
      <c r="G689" s="54"/>
      <c r="H689" s="54"/>
      <c r="I689" s="54"/>
      <c r="J689" s="54"/>
      <c r="K689" s="54"/>
      <c r="L689" s="54"/>
      <c r="M689" s="60"/>
      <c r="N689" s="57" t="str">
        <f>N688</f>
        <v/>
      </c>
      <c r="O689" s="59" t="str">
        <f>if ( isblank (E689), E689, E689 + F689*'Control PanelOur Matches'!$K$2 + G689*5 + H689*(1/3) + I689*'Control PanelOur Matches'!$M$2 + J689*50)</f>
        <v/>
      </c>
      <c r="P689" s="59" t="str">
        <f t="shared" si="2"/>
        <v/>
      </c>
      <c r="Q689" s="60" t="str">
        <f t="shared" si="3"/>
        <v>no</v>
      </c>
      <c r="R689" s="60" t="str">
        <f t="shared" si="4"/>
        <v/>
      </c>
    </row>
    <row r="690" ht="15.0" customHeight="1">
      <c r="A690" s="49">
        <v>687.0</v>
      </c>
      <c r="B690" s="50">
        <v>115.0</v>
      </c>
      <c r="C690" s="52" t="s">
        <v>41</v>
      </c>
      <c r="D690" s="53" t="str">
        <f t="array" ref="D690">index('Match Sched'!$C$3:$H753,match(B690,'Match Sched'!$A$3:$A753,0),if(mod(A690,6)=0,6,mod(A690,6)),0)</f>
        <v/>
      </c>
      <c r="E690" s="54"/>
      <c r="F690" s="55"/>
      <c r="G690" s="54"/>
      <c r="H690" s="54"/>
      <c r="I690" s="54"/>
      <c r="J690" s="54"/>
      <c r="K690" s="54"/>
      <c r="L690" s="54"/>
      <c r="M690" s="60"/>
      <c r="N690" s="57" t="str">
        <f>N688</f>
        <v/>
      </c>
      <c r="O690" s="59" t="str">
        <f>if ( isblank (E690), E690, E690 + F690*'Control PanelOur Matches'!$K$2 + G690*5 + H690*(1/3) + I690*'Control PanelOur Matches'!$M$2 + J690*50)</f>
        <v/>
      </c>
      <c r="P690" s="59" t="str">
        <f t="shared" si="2"/>
        <v/>
      </c>
      <c r="Q690" s="60" t="str">
        <f t="shared" si="3"/>
        <v>no</v>
      </c>
      <c r="R690" s="60" t="str">
        <f t="shared" si="4"/>
        <v/>
      </c>
    </row>
    <row r="691" ht="15.0" customHeight="1">
      <c r="A691" s="49">
        <v>688.0</v>
      </c>
      <c r="B691" s="50">
        <v>115.0</v>
      </c>
      <c r="C691" s="52" t="s">
        <v>42</v>
      </c>
      <c r="D691" s="53" t="str">
        <f t="array" ref="D691">index('Match Sched'!$C$3:$H753,match(B691,'Match Sched'!$A$3:$A753,0),if(mod(A691,6)=0,6,mod(A691,6)),0)</f>
        <v/>
      </c>
      <c r="E691" s="54"/>
      <c r="F691" s="55"/>
      <c r="G691" s="54"/>
      <c r="H691" s="54"/>
      <c r="I691" s="54"/>
      <c r="J691" s="54"/>
      <c r="K691" s="54"/>
      <c r="L691" s="54"/>
      <c r="M691" s="60"/>
      <c r="N691" s="57" t="str">
        <f>if(counta(E691:K691)&gt;0,SUM(I691:I693)+1, )</f>
        <v/>
      </c>
      <c r="O691" s="59" t="str">
        <f>if ( isblank (E691), E691, E691 + F691*'Control PanelOur Matches'!$K$2 + G691*5 + H691*(1/3) + I691*'Control PanelOur Matches'!$M$2 + J691*50)</f>
        <v/>
      </c>
      <c r="P691" s="59" t="str">
        <f t="shared" si="2"/>
        <v/>
      </c>
      <c r="Q691" s="60" t="str">
        <f t="shared" si="3"/>
        <v>no</v>
      </c>
      <c r="R691" s="60" t="str">
        <f t="shared" si="4"/>
        <v/>
      </c>
    </row>
    <row r="692" ht="15.0" customHeight="1">
      <c r="A692" s="49">
        <v>689.0</v>
      </c>
      <c r="B692" s="50">
        <v>115.0</v>
      </c>
      <c r="C692" s="52" t="s">
        <v>43</v>
      </c>
      <c r="D692" s="53" t="str">
        <f t="array" ref="D692">index('Match Sched'!$C$3:$H753,match(B692,'Match Sched'!$A$3:$A753,0),if(mod(A692,6)=0,6,mod(A692,6)),0)</f>
        <v/>
      </c>
      <c r="E692" s="54"/>
      <c r="F692" s="55"/>
      <c r="G692" s="54"/>
      <c r="H692" s="54"/>
      <c r="I692" s="54"/>
      <c r="J692" s="54"/>
      <c r="K692" s="54"/>
      <c r="L692" s="54"/>
      <c r="M692" s="60"/>
      <c r="N692" s="57" t="str">
        <f>N691</f>
        <v/>
      </c>
      <c r="O692" s="59" t="str">
        <f>if ( isblank (E692), E692, E692 + F692*'Control PanelOur Matches'!$K$2 + G692*5 + H692*(1/3) + I692*'Control PanelOur Matches'!$M$2 + J692*50)</f>
        <v/>
      </c>
      <c r="P692" s="59" t="str">
        <f t="shared" si="2"/>
        <v/>
      </c>
      <c r="Q692" s="60" t="str">
        <f t="shared" si="3"/>
        <v>no</v>
      </c>
      <c r="R692" s="60" t="str">
        <f t="shared" si="4"/>
        <v/>
      </c>
    </row>
    <row r="693" ht="15.0" customHeight="1">
      <c r="A693" s="49">
        <v>690.0</v>
      </c>
      <c r="B693" s="50">
        <v>115.0</v>
      </c>
      <c r="C693" s="52" t="s">
        <v>44</v>
      </c>
      <c r="D693" s="53" t="str">
        <f t="array" ref="D693">index('Match Sched'!$C$3:$H753,match(B693,'Match Sched'!$A$3:$A753,0),if(mod(A693,6)=0,6,mod(A693,6)),0)</f>
        <v/>
      </c>
      <c r="E693" s="54"/>
      <c r="F693" s="55"/>
      <c r="G693" s="54"/>
      <c r="H693" s="54"/>
      <c r="I693" s="54"/>
      <c r="J693" s="54"/>
      <c r="K693" s="54"/>
      <c r="L693" s="54"/>
      <c r="M693" s="60"/>
      <c r="N693" s="57" t="str">
        <f>N691</f>
        <v/>
      </c>
      <c r="O693" s="59" t="str">
        <f>if ( isblank (E693), E693, E693 + F693*'Control PanelOur Matches'!$K$2 + G693*5 + H693*(1/3) + I693*'Control PanelOur Matches'!$M$2 + J693*50)</f>
        <v/>
      </c>
      <c r="P693" s="59" t="str">
        <f t="shared" si="2"/>
        <v/>
      </c>
      <c r="Q693" s="60" t="str">
        <f t="shared" si="3"/>
        <v>no</v>
      </c>
      <c r="R693" s="60" t="str">
        <f t="shared" si="4"/>
        <v/>
      </c>
    </row>
    <row r="694" ht="15.0" customHeight="1">
      <c r="A694" s="65">
        <v>691.0</v>
      </c>
      <c r="B694" s="66">
        <v>116.0</v>
      </c>
      <c r="C694" s="52" t="s">
        <v>39</v>
      </c>
      <c r="D694" s="53" t="str">
        <f t="array" ref="D694">index('Match Sched'!$C$3:$H753,match(B694,'Match Sched'!$A$3:$A753,0),if(mod(A694,6)=0,6,mod(A694,6)),0)</f>
        <v/>
      </c>
      <c r="E694" s="54"/>
      <c r="F694" s="55"/>
      <c r="G694" s="67"/>
      <c r="H694" s="67"/>
      <c r="I694" s="67"/>
      <c r="J694" s="67"/>
      <c r="K694" s="67"/>
      <c r="L694" s="67"/>
      <c r="M694" s="60"/>
      <c r="N694" s="57" t="str">
        <f>if(counta(E694:K694)&gt;0,SUM(I694:I696)+1, )</f>
        <v/>
      </c>
      <c r="O694" s="59" t="str">
        <f>if ( isblank (E694), E694, E694 + F694*'Control PanelOur Matches'!$K$2 + G694*5 + H694*(1/3) + I694*'Control PanelOur Matches'!$M$2 + J694*50)</f>
        <v/>
      </c>
      <c r="P694" s="59" t="str">
        <f t="shared" si="2"/>
        <v/>
      </c>
      <c r="Q694" s="60" t="str">
        <f t="shared" si="3"/>
        <v>no</v>
      </c>
      <c r="R694" s="60" t="str">
        <f t="shared" si="4"/>
        <v/>
      </c>
    </row>
    <row r="695" ht="15.0" customHeight="1">
      <c r="A695" s="65">
        <v>692.0</v>
      </c>
      <c r="B695" s="66">
        <v>116.0</v>
      </c>
      <c r="C695" s="69" t="s">
        <v>40</v>
      </c>
      <c r="D695" s="53" t="str">
        <f t="array" ref="D695">index('Match Sched'!$C$3:$H753,match(B695,'Match Sched'!$A$3:$A753,0),if(mod(A695,6)=0,6,mod(A695,6)),0)</f>
        <v/>
      </c>
      <c r="E695" s="54"/>
      <c r="F695" s="55"/>
      <c r="G695" s="67"/>
      <c r="H695" s="67"/>
      <c r="I695" s="67"/>
      <c r="J695" s="67"/>
      <c r="K695" s="67"/>
      <c r="L695" s="67"/>
      <c r="M695" s="60"/>
      <c r="N695" s="57" t="str">
        <f>N694</f>
        <v/>
      </c>
      <c r="O695" s="59" t="str">
        <f>if ( isblank (E695), E695, E695 + F695*'Control PanelOur Matches'!$K$2 + G695*5 + H695*(1/3) + I695*'Control PanelOur Matches'!$M$2 + J695*50)</f>
        <v/>
      </c>
      <c r="P695" s="59" t="str">
        <f t="shared" si="2"/>
        <v/>
      </c>
      <c r="Q695" s="60" t="str">
        <f t="shared" si="3"/>
        <v>no</v>
      </c>
      <c r="R695" s="60" t="str">
        <f t="shared" si="4"/>
        <v/>
      </c>
    </row>
    <row r="696" ht="15.0" customHeight="1">
      <c r="A696" s="65">
        <v>693.0</v>
      </c>
      <c r="B696" s="66">
        <v>116.0</v>
      </c>
      <c r="C696" s="52" t="s">
        <v>41</v>
      </c>
      <c r="D696" s="53" t="str">
        <f t="array" ref="D696">index('Match Sched'!$C$3:$H753,match(B696,'Match Sched'!$A$3:$A753,0),if(mod(A696,6)=0,6,mod(A696,6)),0)</f>
        <v/>
      </c>
      <c r="E696" s="54"/>
      <c r="F696" s="55"/>
      <c r="G696" s="67"/>
      <c r="H696" s="67"/>
      <c r="I696" s="67"/>
      <c r="J696" s="67"/>
      <c r="K696" s="67"/>
      <c r="L696" s="67"/>
      <c r="M696" s="60"/>
      <c r="N696" s="57" t="str">
        <f>N694</f>
        <v/>
      </c>
      <c r="O696" s="59" t="str">
        <f>if ( isblank (E696), E696, E696 + F696*'Control PanelOur Matches'!$K$2 + G696*5 + H696*(1/3) + I696*'Control PanelOur Matches'!$M$2 + J696*50)</f>
        <v/>
      </c>
      <c r="P696" s="59" t="str">
        <f t="shared" si="2"/>
        <v/>
      </c>
      <c r="Q696" s="60" t="str">
        <f t="shared" si="3"/>
        <v>no</v>
      </c>
      <c r="R696" s="60" t="str">
        <f t="shared" si="4"/>
        <v/>
      </c>
    </row>
    <row r="697" ht="15.0" customHeight="1">
      <c r="A697" s="65">
        <v>694.0</v>
      </c>
      <c r="B697" s="66">
        <v>116.0</v>
      </c>
      <c r="C697" s="52" t="s">
        <v>42</v>
      </c>
      <c r="D697" s="53" t="str">
        <f t="array" ref="D697">index('Match Sched'!$C$3:$H753,match(B697,'Match Sched'!$A$3:$A753,0),if(mod(A697,6)=0,6,mod(A697,6)),0)</f>
        <v/>
      </c>
      <c r="E697" s="54"/>
      <c r="F697" s="55"/>
      <c r="G697" s="67"/>
      <c r="H697" s="67"/>
      <c r="I697" s="67"/>
      <c r="J697" s="67"/>
      <c r="K697" s="67"/>
      <c r="L697" s="67"/>
      <c r="M697" s="60"/>
      <c r="N697" s="57" t="str">
        <f>if(counta(E697:K697)&gt;0,SUM(I697:I699)+1, )</f>
        <v/>
      </c>
      <c r="O697" s="59" t="str">
        <f>if ( isblank (E697), E697, E697 + F697*'Control PanelOur Matches'!$K$2 + G697*5 + H697*(1/3) + I697*'Control PanelOur Matches'!$M$2 + J697*50)</f>
        <v/>
      </c>
      <c r="P697" s="59" t="str">
        <f t="shared" si="2"/>
        <v/>
      </c>
      <c r="Q697" s="60" t="str">
        <f t="shared" si="3"/>
        <v>no</v>
      </c>
      <c r="R697" s="60" t="str">
        <f t="shared" si="4"/>
        <v/>
      </c>
    </row>
    <row r="698" ht="15.0" customHeight="1">
      <c r="A698" s="65">
        <v>695.0</v>
      </c>
      <c r="B698" s="66">
        <v>116.0</v>
      </c>
      <c r="C698" s="52" t="s">
        <v>43</v>
      </c>
      <c r="D698" s="53" t="str">
        <f t="array" ref="D698">index('Match Sched'!$C$3:$H753,match(B698,'Match Sched'!$A$3:$A753,0),if(mod(A698,6)=0,6,mod(A698,6)),0)</f>
        <v/>
      </c>
      <c r="E698" s="54"/>
      <c r="F698" s="55"/>
      <c r="G698" s="67"/>
      <c r="H698" s="67"/>
      <c r="I698" s="67"/>
      <c r="J698" s="67"/>
      <c r="K698" s="67"/>
      <c r="L698" s="67"/>
      <c r="M698" s="60"/>
      <c r="N698" s="57" t="str">
        <f>N697</f>
        <v/>
      </c>
      <c r="O698" s="59" t="str">
        <f>if ( isblank (E698), E698, E698 + F698*'Control PanelOur Matches'!$K$2 + G698*5 + H698*(1/3) + I698*'Control PanelOur Matches'!$M$2 + J698*50)</f>
        <v/>
      </c>
      <c r="P698" s="59" t="str">
        <f t="shared" si="2"/>
        <v/>
      </c>
      <c r="Q698" s="60" t="str">
        <f t="shared" si="3"/>
        <v>no</v>
      </c>
      <c r="R698" s="60" t="str">
        <f t="shared" si="4"/>
        <v/>
      </c>
    </row>
    <row r="699" ht="15.0" customHeight="1">
      <c r="A699" s="65">
        <v>696.0</v>
      </c>
      <c r="B699" s="66">
        <v>116.0</v>
      </c>
      <c r="C699" s="68" t="s">
        <v>44</v>
      </c>
      <c r="D699" s="53" t="str">
        <f t="array" ref="D699">index('Match Sched'!$C$3:$H753,match(B699,'Match Sched'!$A$3:$A753,0),if(mod(A699,6)=0,6,mod(A699,6)),0)</f>
        <v/>
      </c>
      <c r="E699" s="54"/>
      <c r="F699" s="55"/>
      <c r="G699" s="67"/>
      <c r="H699" s="67"/>
      <c r="I699" s="67"/>
      <c r="J699" s="67"/>
      <c r="K699" s="67"/>
      <c r="L699" s="67"/>
      <c r="M699" s="60"/>
      <c r="N699" s="57" t="str">
        <f>N697</f>
        <v/>
      </c>
      <c r="O699" s="59" t="str">
        <f>if ( isblank (E699), E699, E699 + F699*'Control PanelOur Matches'!$K$2 + G699*5 + H699*(1/3) + I699*'Control PanelOur Matches'!$M$2 + J699*50)</f>
        <v/>
      </c>
      <c r="P699" s="59" t="str">
        <f t="shared" si="2"/>
        <v/>
      </c>
      <c r="Q699" s="60" t="str">
        <f t="shared" si="3"/>
        <v>no</v>
      </c>
      <c r="R699" s="60" t="str">
        <f t="shared" si="4"/>
        <v/>
      </c>
    </row>
    <row r="700" ht="15.0" customHeight="1">
      <c r="A700" s="49">
        <v>697.0</v>
      </c>
      <c r="B700" s="50">
        <v>117.0</v>
      </c>
      <c r="C700" s="52" t="s">
        <v>39</v>
      </c>
      <c r="D700" s="53" t="str">
        <f t="array" ref="D700">index('Match Sched'!$C$3:$H753,match(B700,'Match Sched'!$A$3:$A753,0),if(mod(A700,6)=0,6,mod(A700,6)),0)</f>
        <v/>
      </c>
      <c r="E700" s="54"/>
      <c r="F700" s="55"/>
      <c r="G700" s="54"/>
      <c r="H700" s="54"/>
      <c r="I700" s="54"/>
      <c r="J700" s="54"/>
      <c r="K700" s="54"/>
      <c r="L700" s="54"/>
      <c r="M700" s="60"/>
      <c r="N700" s="57" t="str">
        <f>if(counta(E700:K700)&gt;0,SUM(I700:I702)+1, )</f>
        <v/>
      </c>
      <c r="O700" s="59" t="str">
        <f>if ( isblank (E700), E700, E700 + F700*'Control PanelOur Matches'!$K$2 + G700*5 + H700*(1/3) + I700*'Control PanelOur Matches'!$M$2 + J700*50)</f>
        <v/>
      </c>
      <c r="P700" s="59" t="str">
        <f t="shared" si="2"/>
        <v/>
      </c>
      <c r="Q700" s="60" t="str">
        <f t="shared" si="3"/>
        <v>no</v>
      </c>
      <c r="R700" s="60" t="str">
        <f t="shared" si="4"/>
        <v/>
      </c>
    </row>
    <row r="701" ht="15.0" customHeight="1">
      <c r="A701" s="49">
        <v>698.0</v>
      </c>
      <c r="B701" s="50">
        <v>117.0</v>
      </c>
      <c r="C701" s="52" t="s">
        <v>40</v>
      </c>
      <c r="D701" s="53" t="str">
        <f t="array" ref="D701">index('Match Sched'!$C$3:$H753,match(B701,'Match Sched'!$A$3:$A753,0),if(mod(A701,6)=0,6,mod(A701,6)),0)</f>
        <v/>
      </c>
      <c r="E701" s="54"/>
      <c r="F701" s="55"/>
      <c r="G701" s="54"/>
      <c r="H701" s="54"/>
      <c r="I701" s="54"/>
      <c r="J701" s="54"/>
      <c r="K701" s="54"/>
      <c r="L701" s="54"/>
      <c r="M701" s="60"/>
      <c r="N701" s="57" t="str">
        <f>N700</f>
        <v/>
      </c>
      <c r="O701" s="59" t="str">
        <f>if ( isblank (E701), E701, E701 + F701*'Control PanelOur Matches'!$K$2 + G701*5 + H701*(1/3) + I701*'Control PanelOur Matches'!$M$2 + J701*50)</f>
        <v/>
      </c>
      <c r="P701" s="59" t="str">
        <f t="shared" si="2"/>
        <v/>
      </c>
      <c r="Q701" s="60" t="str">
        <f t="shared" si="3"/>
        <v>no</v>
      </c>
      <c r="R701" s="60" t="str">
        <f t="shared" si="4"/>
        <v/>
      </c>
    </row>
    <row r="702" ht="15.0" customHeight="1">
      <c r="A702" s="49">
        <v>699.0</v>
      </c>
      <c r="B702" s="50">
        <v>117.0</v>
      </c>
      <c r="C702" s="52" t="s">
        <v>41</v>
      </c>
      <c r="D702" s="53" t="str">
        <f t="array" ref="D702">index('Match Sched'!$C$3:$H753,match(B702,'Match Sched'!$A$3:$A753,0),if(mod(A702,6)=0,6,mod(A702,6)),0)</f>
        <v/>
      </c>
      <c r="E702" s="54"/>
      <c r="F702" s="55"/>
      <c r="G702" s="54"/>
      <c r="H702" s="54"/>
      <c r="I702" s="54"/>
      <c r="J702" s="54"/>
      <c r="K702" s="54"/>
      <c r="L702" s="54"/>
      <c r="M702" s="60"/>
      <c r="N702" s="57" t="str">
        <f>N700</f>
        <v/>
      </c>
      <c r="O702" s="59" t="str">
        <f>if ( isblank (E702), E702, E702 + F702*'Control PanelOur Matches'!$K$2 + G702*5 + H702*(1/3) + I702*'Control PanelOur Matches'!$M$2 + J702*50)</f>
        <v/>
      </c>
      <c r="P702" s="59" t="str">
        <f t="shared" si="2"/>
        <v/>
      </c>
      <c r="Q702" s="60" t="str">
        <f t="shared" si="3"/>
        <v>no</v>
      </c>
      <c r="R702" s="60" t="str">
        <f t="shared" si="4"/>
        <v/>
      </c>
    </row>
    <row r="703" ht="15.0" customHeight="1">
      <c r="A703" s="49">
        <v>700.0</v>
      </c>
      <c r="B703" s="50">
        <v>117.0</v>
      </c>
      <c r="C703" s="52" t="s">
        <v>42</v>
      </c>
      <c r="D703" s="53" t="str">
        <f t="array" ref="D703">index('Match Sched'!$C$3:$H753,match(B703,'Match Sched'!$A$3:$A753,0),if(mod(A703,6)=0,6,mod(A703,6)),0)</f>
        <v/>
      </c>
      <c r="E703" s="54"/>
      <c r="F703" s="55"/>
      <c r="G703" s="54"/>
      <c r="H703" s="54"/>
      <c r="I703" s="54"/>
      <c r="J703" s="54"/>
      <c r="K703" s="54"/>
      <c r="L703" s="54"/>
      <c r="M703" s="60"/>
      <c r="N703" s="57" t="str">
        <f>if(counta(E703:K703)&gt;0,SUM(I703:I705)+1, )</f>
        <v/>
      </c>
      <c r="O703" s="59" t="str">
        <f>if ( isblank (E703), E703, E703 + F703*'Control PanelOur Matches'!$K$2 + G703*5 + H703*(1/3) + I703*'Control PanelOur Matches'!$M$2 + J703*50)</f>
        <v/>
      </c>
      <c r="P703" s="59" t="str">
        <f t="shared" si="2"/>
        <v/>
      </c>
      <c r="Q703" s="60" t="str">
        <f t="shared" si="3"/>
        <v>no</v>
      </c>
      <c r="R703" s="60" t="str">
        <f t="shared" si="4"/>
        <v/>
      </c>
    </row>
    <row r="704" ht="15.0" customHeight="1">
      <c r="A704" s="49">
        <v>701.0</v>
      </c>
      <c r="B704" s="50">
        <v>117.0</v>
      </c>
      <c r="C704" s="52" t="s">
        <v>43</v>
      </c>
      <c r="D704" s="53" t="str">
        <f t="array" ref="D704">index('Match Sched'!$C$3:$H753,match(B704,'Match Sched'!$A$3:$A753,0),if(mod(A704,6)=0,6,mod(A704,6)),0)</f>
        <v/>
      </c>
      <c r="E704" s="54"/>
      <c r="F704" s="55"/>
      <c r="G704" s="54"/>
      <c r="H704" s="54"/>
      <c r="I704" s="54"/>
      <c r="J704" s="54"/>
      <c r="K704" s="54"/>
      <c r="L704" s="54"/>
      <c r="M704" s="60"/>
      <c r="N704" s="57" t="str">
        <f>N703</f>
        <v/>
      </c>
      <c r="O704" s="59" t="str">
        <f>if ( isblank (E704), E704, E704 + F704*'Control PanelOur Matches'!$K$2 + G704*5 + H704*(1/3) + I704*'Control PanelOur Matches'!$M$2 + J704*50)</f>
        <v/>
      </c>
      <c r="P704" s="59" t="str">
        <f t="shared" si="2"/>
        <v/>
      </c>
      <c r="Q704" s="60" t="str">
        <f t="shared" si="3"/>
        <v>no</v>
      </c>
      <c r="R704" s="60" t="str">
        <f t="shared" si="4"/>
        <v/>
      </c>
    </row>
    <row r="705" ht="15.0" customHeight="1">
      <c r="A705" s="49">
        <v>702.0</v>
      </c>
      <c r="B705" s="50">
        <v>117.0</v>
      </c>
      <c r="C705" s="52" t="s">
        <v>44</v>
      </c>
      <c r="D705" s="53" t="str">
        <f t="array" ref="D705">index('Match Sched'!$C$3:$H753,match(B705,'Match Sched'!$A$3:$A753,0),if(mod(A705,6)=0,6,mod(A705,6)),0)</f>
        <v/>
      </c>
      <c r="E705" s="54"/>
      <c r="F705" s="55"/>
      <c r="G705" s="54"/>
      <c r="H705" s="54"/>
      <c r="I705" s="54"/>
      <c r="J705" s="54"/>
      <c r="K705" s="54"/>
      <c r="L705" s="54"/>
      <c r="M705" s="60"/>
      <c r="N705" s="57" t="str">
        <f>N703</f>
        <v/>
      </c>
      <c r="O705" s="59" t="str">
        <f>if ( isblank (E705), E705, E705 + F705*'Control PanelOur Matches'!$K$2 + G705*5 + H705*(1/3) + I705*'Control PanelOur Matches'!$M$2 + J705*50)</f>
        <v/>
      </c>
      <c r="P705" s="59" t="str">
        <f t="shared" si="2"/>
        <v/>
      </c>
      <c r="Q705" s="60" t="str">
        <f t="shared" si="3"/>
        <v>no</v>
      </c>
      <c r="R705" s="60" t="str">
        <f t="shared" si="4"/>
        <v/>
      </c>
    </row>
    <row r="706" ht="15.0" customHeight="1">
      <c r="A706" s="65">
        <v>703.0</v>
      </c>
      <c r="B706" s="66">
        <v>118.0</v>
      </c>
      <c r="C706" s="52" t="s">
        <v>39</v>
      </c>
      <c r="D706" s="53" t="str">
        <f t="array" ref="D706">index('Match Sched'!$C$3:$H753,match(B706,'Match Sched'!$A$3:$A753,0),if(mod(A706,6)=0,6,mod(A706,6)),0)</f>
        <v/>
      </c>
      <c r="E706" s="54"/>
      <c r="F706" s="55"/>
      <c r="G706" s="67"/>
      <c r="H706" s="67"/>
      <c r="I706" s="67"/>
      <c r="J706" s="67"/>
      <c r="K706" s="67"/>
      <c r="L706" s="67"/>
      <c r="M706" s="60"/>
      <c r="N706" s="57" t="str">
        <f>if(counta(E706:K706)&gt;0,SUM(I706:I708)+1, )</f>
        <v/>
      </c>
      <c r="O706" s="59" t="str">
        <f>if ( isblank (E706), E706, E706 + F706*'Control PanelOur Matches'!$K$2 + G706*5 + H706*(1/3) + I706*'Control PanelOur Matches'!$M$2 + J706*50)</f>
        <v/>
      </c>
      <c r="P706" s="59" t="str">
        <f t="shared" si="2"/>
        <v/>
      </c>
      <c r="Q706" s="60" t="str">
        <f t="shared" si="3"/>
        <v>no</v>
      </c>
      <c r="R706" s="60" t="str">
        <f t="shared" si="4"/>
        <v/>
      </c>
    </row>
    <row r="707" ht="15.0" customHeight="1">
      <c r="A707" s="65">
        <v>704.0</v>
      </c>
      <c r="B707" s="66">
        <v>118.0</v>
      </c>
      <c r="C707" s="52" t="s">
        <v>40</v>
      </c>
      <c r="D707" s="53" t="str">
        <f t="array" ref="D707">index('Match Sched'!$C$3:$H753,match(B707,'Match Sched'!$A$3:$A753,0),if(mod(A707,6)=0,6,mod(A707,6)),0)</f>
        <v/>
      </c>
      <c r="E707" s="54"/>
      <c r="F707" s="55"/>
      <c r="G707" s="67"/>
      <c r="H707" s="67"/>
      <c r="I707" s="67"/>
      <c r="J707" s="67"/>
      <c r="K707" s="67"/>
      <c r="L707" s="67"/>
      <c r="M707" s="60"/>
      <c r="N707" s="57" t="str">
        <f>N706</f>
        <v/>
      </c>
      <c r="O707" s="59" t="str">
        <f>if ( isblank (E707), E707, E707 + F707*'Control PanelOur Matches'!$K$2 + G707*5 + H707*(1/3) + I707*'Control PanelOur Matches'!$M$2 + J707*50)</f>
        <v/>
      </c>
      <c r="P707" s="59" t="str">
        <f t="shared" si="2"/>
        <v/>
      </c>
      <c r="Q707" s="60" t="str">
        <f t="shared" si="3"/>
        <v>no</v>
      </c>
      <c r="R707" s="60" t="str">
        <f t="shared" si="4"/>
        <v/>
      </c>
    </row>
    <row r="708" ht="15.0" customHeight="1">
      <c r="A708" s="65">
        <v>705.0</v>
      </c>
      <c r="B708" s="66">
        <v>118.0</v>
      </c>
      <c r="C708" s="52" t="s">
        <v>41</v>
      </c>
      <c r="D708" s="53" t="str">
        <f t="array" ref="D708">index('Match Sched'!$C$3:$H753,match(B708,'Match Sched'!$A$3:$A753,0),if(mod(A708,6)=0,6,mod(A708,6)),0)</f>
        <v/>
      </c>
      <c r="E708" s="54"/>
      <c r="F708" s="55"/>
      <c r="G708" s="67"/>
      <c r="H708" s="67"/>
      <c r="I708" s="67"/>
      <c r="J708" s="67"/>
      <c r="K708" s="67"/>
      <c r="L708" s="67"/>
      <c r="M708" s="60"/>
      <c r="N708" s="57" t="str">
        <f>N706</f>
        <v/>
      </c>
      <c r="O708" s="59" t="str">
        <f>if ( isblank (E708), E708, E708 + F708*'Control PanelOur Matches'!$K$2 + G708*5 + H708*(1/3) + I708*'Control PanelOur Matches'!$M$2 + J708*50)</f>
        <v/>
      </c>
      <c r="P708" s="59" t="str">
        <f t="shared" si="2"/>
        <v/>
      </c>
      <c r="Q708" s="60" t="str">
        <f t="shared" si="3"/>
        <v>no</v>
      </c>
      <c r="R708" s="60" t="str">
        <f t="shared" si="4"/>
        <v/>
      </c>
    </row>
    <row r="709" ht="15.0" customHeight="1">
      <c r="A709" s="65">
        <v>706.0</v>
      </c>
      <c r="B709" s="66">
        <v>118.0</v>
      </c>
      <c r="C709" s="52" t="s">
        <v>42</v>
      </c>
      <c r="D709" s="53" t="str">
        <f t="array" ref="D709">index('Match Sched'!$C$3:$H753,match(B709,'Match Sched'!$A$3:$A753,0),if(mod(A709,6)=0,6,mod(A709,6)),0)</f>
        <v/>
      </c>
      <c r="E709" s="54"/>
      <c r="F709" s="55"/>
      <c r="G709" s="67"/>
      <c r="H709" s="67"/>
      <c r="I709" s="67"/>
      <c r="J709" s="67"/>
      <c r="K709" s="67"/>
      <c r="L709" s="67"/>
      <c r="M709" s="60"/>
      <c r="N709" s="57" t="str">
        <f>if(counta(E709:K709)&gt;0,SUM(I709:I711)+1, )</f>
        <v/>
      </c>
      <c r="O709" s="59" t="str">
        <f>if ( isblank (E709), E709, E709 + F709*'Control PanelOur Matches'!$K$2 + G709*5 + H709*(1/3) + I709*'Control PanelOur Matches'!$M$2 + J709*50)</f>
        <v/>
      </c>
      <c r="P709" s="59" t="str">
        <f t="shared" si="2"/>
        <v/>
      </c>
      <c r="Q709" s="60" t="str">
        <f t="shared" si="3"/>
        <v>no</v>
      </c>
      <c r="R709" s="60" t="str">
        <f t="shared" si="4"/>
        <v/>
      </c>
    </row>
    <row r="710" ht="15.0" customHeight="1">
      <c r="A710" s="65">
        <v>707.0</v>
      </c>
      <c r="B710" s="66">
        <v>118.0</v>
      </c>
      <c r="C710" s="52" t="s">
        <v>43</v>
      </c>
      <c r="D710" s="53" t="str">
        <f t="array" ref="D710">index('Match Sched'!$C$3:$H753,match(B710,'Match Sched'!$A$3:$A753,0),if(mod(A710,6)=0,6,mod(A710,6)),0)</f>
        <v/>
      </c>
      <c r="E710" s="54"/>
      <c r="F710" s="55"/>
      <c r="G710" s="67"/>
      <c r="H710" s="67"/>
      <c r="I710" s="67"/>
      <c r="J710" s="67"/>
      <c r="K710" s="67"/>
      <c r="L710" s="67"/>
      <c r="M710" s="60"/>
      <c r="N710" s="57" t="str">
        <f>N709</f>
        <v/>
      </c>
      <c r="O710" s="59" t="str">
        <f>if ( isblank (E710), E710, E710 + F710*'Control PanelOur Matches'!$K$2 + G710*5 + H710*(1/3) + I710*'Control PanelOur Matches'!$M$2 + J710*50)</f>
        <v/>
      </c>
      <c r="P710" s="59" t="str">
        <f t="shared" si="2"/>
        <v/>
      </c>
      <c r="Q710" s="60" t="str">
        <f t="shared" si="3"/>
        <v>no</v>
      </c>
      <c r="R710" s="60" t="str">
        <f t="shared" si="4"/>
        <v/>
      </c>
    </row>
    <row r="711" ht="15.0" customHeight="1">
      <c r="A711" s="65">
        <v>708.0</v>
      </c>
      <c r="B711" s="66">
        <v>118.0</v>
      </c>
      <c r="C711" s="68" t="s">
        <v>44</v>
      </c>
      <c r="D711" s="53" t="str">
        <f t="array" ref="D711">index('Match Sched'!$C$3:$H753,match(B711,'Match Sched'!$A$3:$A753,0),if(mod(A711,6)=0,6,mod(A711,6)),0)</f>
        <v/>
      </c>
      <c r="E711" s="54"/>
      <c r="F711" s="55"/>
      <c r="G711" s="67"/>
      <c r="H711" s="67"/>
      <c r="I711" s="67"/>
      <c r="J711" s="67"/>
      <c r="K711" s="67"/>
      <c r="L711" s="67"/>
      <c r="M711" s="60"/>
      <c r="N711" s="57" t="str">
        <f>N709</f>
        <v/>
      </c>
      <c r="O711" s="59" t="str">
        <f>if ( isblank (E711), E711, E711 + F711*'Control PanelOur Matches'!$K$2 + G711*5 + H711*(1/3) + I711*'Control PanelOur Matches'!$M$2 + J711*50)</f>
        <v/>
      </c>
      <c r="P711" s="59" t="str">
        <f t="shared" si="2"/>
        <v/>
      </c>
      <c r="Q711" s="60" t="str">
        <f t="shared" si="3"/>
        <v>no</v>
      </c>
      <c r="R711" s="60" t="str">
        <f t="shared" si="4"/>
        <v/>
      </c>
    </row>
    <row r="712" ht="15.0" customHeight="1">
      <c r="A712" s="49">
        <v>709.0</v>
      </c>
      <c r="B712" s="50">
        <v>119.0</v>
      </c>
      <c r="C712" s="52" t="s">
        <v>39</v>
      </c>
      <c r="D712" s="53" t="str">
        <f t="array" ref="D712">index('Match Sched'!$C$3:$H753,match(B712,'Match Sched'!$A$3:$A753,0),if(mod(A712,6)=0,6,mod(A712,6)),0)</f>
        <v/>
      </c>
      <c r="E712" s="54"/>
      <c r="F712" s="55"/>
      <c r="G712" s="54"/>
      <c r="H712" s="54"/>
      <c r="I712" s="54"/>
      <c r="J712" s="54"/>
      <c r="K712" s="54"/>
      <c r="L712" s="54"/>
      <c r="M712" s="60"/>
      <c r="N712" s="57" t="str">
        <f>if(counta(E712:K712)&gt;0,SUM(I712:I714)+1, )</f>
        <v/>
      </c>
      <c r="O712" s="59" t="str">
        <f>if ( isblank (E712), E712, E712 + F712*'Control PanelOur Matches'!$K$2 + G712*5 + H712*(1/3) + I712*'Control PanelOur Matches'!$M$2 + J712*50)</f>
        <v/>
      </c>
      <c r="P712" s="59" t="str">
        <f t="shared" si="2"/>
        <v/>
      </c>
      <c r="Q712" s="60" t="str">
        <f t="shared" si="3"/>
        <v>no</v>
      </c>
      <c r="R712" s="60" t="str">
        <f t="shared" si="4"/>
        <v/>
      </c>
    </row>
    <row r="713" ht="15.0" customHeight="1">
      <c r="A713" s="49">
        <v>710.0</v>
      </c>
      <c r="B713" s="50">
        <v>119.0</v>
      </c>
      <c r="C713" s="52" t="s">
        <v>40</v>
      </c>
      <c r="D713" s="53" t="str">
        <f t="array" ref="D713">index('Match Sched'!$C$3:$H753,match(B713,'Match Sched'!$A$3:$A753,0),if(mod(A713,6)=0,6,mod(A713,6)),0)</f>
        <v/>
      </c>
      <c r="E713" s="54"/>
      <c r="F713" s="55"/>
      <c r="G713" s="54"/>
      <c r="H713" s="54"/>
      <c r="I713" s="54"/>
      <c r="J713" s="54"/>
      <c r="K713" s="54"/>
      <c r="L713" s="54"/>
      <c r="M713" s="60"/>
      <c r="N713" s="57" t="str">
        <f>N712</f>
        <v/>
      </c>
      <c r="O713" s="59" t="str">
        <f>if ( isblank (E713), E713, E713 + F713*'Control PanelOur Matches'!$K$2 + G713*5 + H713*(1/3) + I713*'Control PanelOur Matches'!$M$2 + J713*50)</f>
        <v/>
      </c>
      <c r="P713" s="59" t="str">
        <f t="shared" si="2"/>
        <v/>
      </c>
      <c r="Q713" s="60" t="str">
        <f t="shared" si="3"/>
        <v>no</v>
      </c>
      <c r="R713" s="60" t="str">
        <f t="shared" si="4"/>
        <v/>
      </c>
    </row>
    <row r="714" ht="15.0" customHeight="1">
      <c r="A714" s="49">
        <v>711.0</v>
      </c>
      <c r="B714" s="50">
        <v>119.0</v>
      </c>
      <c r="C714" s="52" t="s">
        <v>41</v>
      </c>
      <c r="D714" s="53" t="str">
        <f t="array" ref="D714">index('Match Sched'!$C$3:$H753,match(B714,'Match Sched'!$A$3:$A753,0),if(mod(A714,6)=0,6,mod(A714,6)),0)</f>
        <v/>
      </c>
      <c r="E714" s="54"/>
      <c r="F714" s="55"/>
      <c r="G714" s="54"/>
      <c r="H714" s="54"/>
      <c r="I714" s="54"/>
      <c r="J714" s="54"/>
      <c r="K714" s="54"/>
      <c r="L714" s="54"/>
      <c r="M714" s="60"/>
      <c r="N714" s="57" t="str">
        <f>N712</f>
        <v/>
      </c>
      <c r="O714" s="59" t="str">
        <f>if ( isblank (E714), E714, E714 + F714*'Control PanelOur Matches'!$K$2 + G714*5 + H714*(1/3) + I714*'Control PanelOur Matches'!$M$2 + J714*50)</f>
        <v/>
      </c>
      <c r="P714" s="59" t="str">
        <f t="shared" si="2"/>
        <v/>
      </c>
      <c r="Q714" s="60" t="str">
        <f t="shared" si="3"/>
        <v>no</v>
      </c>
      <c r="R714" s="60" t="str">
        <f t="shared" si="4"/>
        <v/>
      </c>
    </row>
    <row r="715" ht="15.0" customHeight="1">
      <c r="A715" s="49">
        <v>712.0</v>
      </c>
      <c r="B715" s="50">
        <v>119.0</v>
      </c>
      <c r="C715" s="52" t="s">
        <v>42</v>
      </c>
      <c r="D715" s="53" t="str">
        <f t="array" ref="D715">index('Match Sched'!$C$3:$H753,match(B715,'Match Sched'!$A$3:$A753,0),if(mod(A715,6)=0,6,mod(A715,6)),0)</f>
        <v/>
      </c>
      <c r="E715" s="54"/>
      <c r="F715" s="55"/>
      <c r="G715" s="54"/>
      <c r="H715" s="54"/>
      <c r="I715" s="54"/>
      <c r="J715" s="54"/>
      <c r="K715" s="54"/>
      <c r="L715" s="54"/>
      <c r="M715" s="60"/>
      <c r="N715" s="57" t="str">
        <f>if(counta(E715:K715)&gt;0,SUM(I715:I717)+1, )</f>
        <v/>
      </c>
      <c r="O715" s="59" t="str">
        <f>if ( isblank (E715), E715, E715 + F715*'Control PanelOur Matches'!$K$2 + G715*5 + H715*(1/3) + I715*'Control PanelOur Matches'!$M$2 + J715*50)</f>
        <v/>
      </c>
      <c r="P715" s="59" t="str">
        <f t="shared" si="2"/>
        <v/>
      </c>
      <c r="Q715" s="60" t="str">
        <f t="shared" si="3"/>
        <v>no</v>
      </c>
      <c r="R715" s="60" t="str">
        <f t="shared" si="4"/>
        <v/>
      </c>
    </row>
    <row r="716" ht="15.0" customHeight="1">
      <c r="A716" s="49">
        <v>713.0</v>
      </c>
      <c r="B716" s="50">
        <v>119.0</v>
      </c>
      <c r="C716" s="52" t="s">
        <v>43</v>
      </c>
      <c r="D716" s="53" t="str">
        <f t="array" ref="D716">index('Match Sched'!$C$3:$H753,match(B716,'Match Sched'!$A$3:$A753,0),if(mod(A716,6)=0,6,mod(A716,6)),0)</f>
        <v/>
      </c>
      <c r="E716" s="54"/>
      <c r="F716" s="55"/>
      <c r="G716" s="54"/>
      <c r="H716" s="54"/>
      <c r="I716" s="54"/>
      <c r="J716" s="54"/>
      <c r="K716" s="54"/>
      <c r="L716" s="54"/>
      <c r="M716" s="60"/>
      <c r="N716" s="57" t="str">
        <f>N715</f>
        <v/>
      </c>
      <c r="O716" s="59" t="str">
        <f>if ( isblank (E716), E716, E716 + F716*'Control PanelOur Matches'!$K$2 + G716*5 + H716*(1/3) + I716*'Control PanelOur Matches'!$M$2 + J716*50)</f>
        <v/>
      </c>
      <c r="P716" s="59" t="str">
        <f t="shared" si="2"/>
        <v/>
      </c>
      <c r="Q716" s="60" t="str">
        <f t="shared" si="3"/>
        <v>no</v>
      </c>
      <c r="R716" s="60" t="str">
        <f t="shared" si="4"/>
        <v/>
      </c>
    </row>
    <row r="717" ht="15.0" customHeight="1">
      <c r="A717" s="49">
        <v>714.0</v>
      </c>
      <c r="B717" s="50">
        <v>119.0</v>
      </c>
      <c r="C717" s="52" t="s">
        <v>44</v>
      </c>
      <c r="D717" s="53" t="str">
        <f t="array" ref="D717">index('Match Sched'!$C$3:$H753,match(B717,'Match Sched'!$A$3:$A753,0),if(mod(A717,6)=0,6,mod(A717,6)),0)</f>
        <v/>
      </c>
      <c r="E717" s="54"/>
      <c r="F717" s="55"/>
      <c r="G717" s="54"/>
      <c r="H717" s="54"/>
      <c r="I717" s="54"/>
      <c r="J717" s="54"/>
      <c r="K717" s="54"/>
      <c r="L717" s="54"/>
      <c r="M717" s="60"/>
      <c r="N717" s="57" t="str">
        <f>N715</f>
        <v/>
      </c>
      <c r="O717" s="59" t="str">
        <f>if ( isblank (E717), E717, E717 + F717*'Control PanelOur Matches'!$K$2 + G717*5 + H717*(1/3) + I717*'Control PanelOur Matches'!$M$2 + J717*50)</f>
        <v/>
      </c>
      <c r="P717" s="59" t="str">
        <f t="shared" si="2"/>
        <v/>
      </c>
      <c r="Q717" s="60" t="str">
        <f t="shared" si="3"/>
        <v>no</v>
      </c>
      <c r="R717" s="60" t="str">
        <f t="shared" si="4"/>
        <v/>
      </c>
    </row>
    <row r="718" ht="15.0" customHeight="1">
      <c r="A718" s="65">
        <v>715.0</v>
      </c>
      <c r="B718" s="66">
        <v>120.0</v>
      </c>
      <c r="C718" s="52" t="s">
        <v>39</v>
      </c>
      <c r="D718" s="53" t="str">
        <f t="array" ref="D718">index('Match Sched'!$C$3:$H753,match(B718,'Match Sched'!$A$3:$A753,0),if(mod(A718,6)=0,6,mod(A718,6)),0)</f>
        <v/>
      </c>
      <c r="E718" s="54"/>
      <c r="F718" s="55"/>
      <c r="G718" s="67"/>
      <c r="H718" s="67"/>
      <c r="I718" s="67"/>
      <c r="J718" s="67"/>
      <c r="K718" s="67"/>
      <c r="L718" s="67"/>
      <c r="M718" s="60"/>
      <c r="N718" s="57" t="str">
        <f>if(counta(E718:K718)&gt;0,SUM(I718:I720)+1, )</f>
        <v/>
      </c>
      <c r="O718" s="59" t="str">
        <f>if ( isblank (E718), E718, E718 + F718*'Control PanelOur Matches'!$K$2 + G718*5 + H718*(1/3) + I718*'Control PanelOur Matches'!$M$2 + J718*50)</f>
        <v/>
      </c>
      <c r="P718" s="59" t="str">
        <f t="shared" si="2"/>
        <v/>
      </c>
      <c r="Q718" s="60" t="str">
        <f t="shared" si="3"/>
        <v>no</v>
      </c>
      <c r="R718" s="60" t="str">
        <f t="shared" si="4"/>
        <v/>
      </c>
    </row>
    <row r="719" ht="15.0" customHeight="1">
      <c r="A719" s="65">
        <v>716.0</v>
      </c>
      <c r="B719" s="66">
        <v>120.0</v>
      </c>
      <c r="C719" s="69" t="s">
        <v>40</v>
      </c>
      <c r="D719" s="53" t="str">
        <f t="array" ref="D719">index('Match Sched'!$C$3:$H753,match(B719,'Match Sched'!$A$3:$A753,0),if(mod(A719,6)=0,6,mod(A719,6)),0)</f>
        <v/>
      </c>
      <c r="E719" s="54"/>
      <c r="F719" s="55"/>
      <c r="G719" s="67"/>
      <c r="H719" s="67"/>
      <c r="I719" s="67"/>
      <c r="J719" s="67"/>
      <c r="K719" s="67"/>
      <c r="L719" s="67"/>
      <c r="M719" s="60"/>
      <c r="N719" s="57" t="str">
        <f>N718</f>
        <v/>
      </c>
      <c r="O719" s="59" t="str">
        <f>if ( isblank (E719), E719, E719 + F719*'Control PanelOur Matches'!$K$2 + G719*5 + H719*(1/3) + I719*'Control PanelOur Matches'!$M$2 + J719*50)</f>
        <v/>
      </c>
      <c r="P719" s="59" t="str">
        <f t="shared" si="2"/>
        <v/>
      </c>
      <c r="Q719" s="60" t="str">
        <f t="shared" si="3"/>
        <v>no</v>
      </c>
      <c r="R719" s="60" t="str">
        <f t="shared" si="4"/>
        <v/>
      </c>
    </row>
    <row r="720" ht="15.0" customHeight="1">
      <c r="A720" s="65">
        <v>717.0</v>
      </c>
      <c r="B720" s="66">
        <v>120.0</v>
      </c>
      <c r="C720" s="52" t="s">
        <v>41</v>
      </c>
      <c r="D720" s="53" t="str">
        <f t="array" ref="D720">index('Match Sched'!$C$3:$H753,match(B720,'Match Sched'!$A$3:$A753,0),if(mod(A720,6)=0,6,mod(A720,6)),0)</f>
        <v/>
      </c>
      <c r="E720" s="54"/>
      <c r="F720" s="55"/>
      <c r="G720" s="67"/>
      <c r="H720" s="67"/>
      <c r="I720" s="67"/>
      <c r="J720" s="67"/>
      <c r="K720" s="67"/>
      <c r="L720" s="67"/>
      <c r="M720" s="60"/>
      <c r="N720" s="57" t="str">
        <f>N718</f>
        <v/>
      </c>
      <c r="O720" s="59" t="str">
        <f>if ( isblank (E720), E720, E720 + F720*'Control PanelOur Matches'!$K$2 + G720*5 + H720*(1/3) + I720*'Control PanelOur Matches'!$M$2 + J720*50)</f>
        <v/>
      </c>
      <c r="P720" s="59" t="str">
        <f t="shared" si="2"/>
        <v/>
      </c>
      <c r="Q720" s="60" t="str">
        <f t="shared" si="3"/>
        <v>no</v>
      </c>
      <c r="R720" s="60" t="str">
        <f t="shared" si="4"/>
        <v/>
      </c>
    </row>
    <row r="721" ht="15.0" customHeight="1">
      <c r="A721" s="65">
        <v>718.0</v>
      </c>
      <c r="B721" s="66">
        <v>120.0</v>
      </c>
      <c r="C721" s="52" t="s">
        <v>42</v>
      </c>
      <c r="D721" s="53" t="str">
        <f t="array" ref="D721">index('Match Sched'!$C$3:$H753,match(B721,'Match Sched'!$A$3:$A753,0),if(mod(A721,6)=0,6,mod(A721,6)),0)</f>
        <v/>
      </c>
      <c r="E721" s="54"/>
      <c r="F721" s="55"/>
      <c r="G721" s="67"/>
      <c r="H721" s="67"/>
      <c r="I721" s="67"/>
      <c r="J721" s="67"/>
      <c r="K721" s="67"/>
      <c r="L721" s="67"/>
      <c r="M721" s="60"/>
      <c r="N721" s="57" t="str">
        <f>if(counta(E721:K721)&gt;0,SUM(I721:I723)+1, )</f>
        <v/>
      </c>
      <c r="O721" s="59" t="str">
        <f>if ( isblank (E721), E721, E721 + F721*'Control PanelOur Matches'!$K$2 + G721*5 + H721*(1/3) + I721*'Control PanelOur Matches'!$M$2 + J721*50)</f>
        <v/>
      </c>
      <c r="P721" s="59" t="str">
        <f t="shared" si="2"/>
        <v/>
      </c>
      <c r="Q721" s="60" t="str">
        <f t="shared" si="3"/>
        <v>no</v>
      </c>
      <c r="R721" s="60" t="str">
        <f t="shared" si="4"/>
        <v/>
      </c>
    </row>
    <row r="722" ht="15.0" customHeight="1">
      <c r="A722" s="65">
        <v>719.0</v>
      </c>
      <c r="B722" s="66">
        <v>120.0</v>
      </c>
      <c r="C722" s="52" t="s">
        <v>43</v>
      </c>
      <c r="D722" s="53" t="str">
        <f t="array" ref="D722">index('Match Sched'!$C$3:$H753,match(B722,'Match Sched'!$A$3:$A753,0),if(mod(A722,6)=0,6,mod(A722,6)),0)</f>
        <v/>
      </c>
      <c r="E722" s="54"/>
      <c r="F722" s="55"/>
      <c r="G722" s="67"/>
      <c r="H722" s="67"/>
      <c r="I722" s="67"/>
      <c r="J722" s="67"/>
      <c r="K722" s="67"/>
      <c r="L722" s="67"/>
      <c r="M722" s="60"/>
      <c r="N722" s="57" t="str">
        <f>N721</f>
        <v/>
      </c>
      <c r="O722" s="59" t="str">
        <f>if ( isblank (E722), E722, E722 + F722*'Control PanelOur Matches'!$K$2 + G722*5 + H722*(1/3) + I722*'Control PanelOur Matches'!$M$2 + J722*50)</f>
        <v/>
      </c>
      <c r="P722" s="59" t="str">
        <f t="shared" si="2"/>
        <v/>
      </c>
      <c r="Q722" s="60" t="str">
        <f t="shared" si="3"/>
        <v>no</v>
      </c>
      <c r="R722" s="60" t="str">
        <f t="shared" si="4"/>
        <v/>
      </c>
    </row>
    <row r="723" ht="15.0" customHeight="1">
      <c r="A723" s="65">
        <v>720.0</v>
      </c>
      <c r="B723" s="66">
        <v>120.0</v>
      </c>
      <c r="C723" s="68" t="s">
        <v>44</v>
      </c>
      <c r="D723" s="53" t="str">
        <f t="array" ref="D723">index('Match Sched'!$C$3:$H753,match(B723,'Match Sched'!$A$3:$A753,0),if(mod(A723,6)=0,6,mod(A723,6)),0)</f>
        <v/>
      </c>
      <c r="E723" s="54"/>
      <c r="F723" s="55"/>
      <c r="G723" s="67"/>
      <c r="H723" s="67"/>
      <c r="I723" s="67"/>
      <c r="J723" s="67"/>
      <c r="K723" s="67"/>
      <c r="L723" s="67"/>
      <c r="M723" s="60"/>
      <c r="N723" s="57" t="str">
        <f>N721</f>
        <v/>
      </c>
      <c r="O723" s="59" t="str">
        <f>if ( isblank (E723), E723, E723 + F723*'Control PanelOur Matches'!$K$2 + G723*5 + H723*(1/3) + I723*'Control PanelOur Matches'!$M$2 + J723*50)</f>
        <v/>
      </c>
      <c r="P723" s="59" t="str">
        <f t="shared" si="2"/>
        <v/>
      </c>
      <c r="Q723" s="60" t="str">
        <f t="shared" si="3"/>
        <v>no</v>
      </c>
      <c r="R723" s="60" t="str">
        <f t="shared" si="4"/>
        <v/>
      </c>
    </row>
    <row r="724" ht="15.0" customHeight="1">
      <c r="A724" s="49">
        <v>721.0</v>
      </c>
      <c r="B724" s="50">
        <v>121.0</v>
      </c>
      <c r="C724" s="52" t="s">
        <v>39</v>
      </c>
      <c r="D724" s="53" t="str">
        <f t="array" ref="D724">index('Match Sched'!$C$3:$H753,match(B724,'Match Sched'!$A$3:$A753,0),if(mod(A724,6)=0,6,mod(A724,6)),0)</f>
        <v/>
      </c>
      <c r="E724" s="54"/>
      <c r="F724" s="55"/>
      <c r="G724" s="54"/>
      <c r="H724" s="54"/>
      <c r="I724" s="54"/>
      <c r="J724" s="54"/>
      <c r="K724" s="54"/>
      <c r="L724" s="54"/>
      <c r="M724" s="60"/>
      <c r="N724" s="57" t="str">
        <f>if(counta(E724:K724)&gt;0,SUM(I724:I726)+1, )</f>
        <v/>
      </c>
      <c r="O724" s="59" t="str">
        <f>if ( isblank (E724), E724, E724 + F724*'Control PanelOur Matches'!$K$2 + G724*5 + H724*(1/3) + I724*'Control PanelOur Matches'!$M$2 + J724*50)</f>
        <v/>
      </c>
      <c r="P724" s="59" t="str">
        <f t="shared" si="2"/>
        <v/>
      </c>
      <c r="Q724" s="60" t="str">
        <f t="shared" si="3"/>
        <v>no</v>
      </c>
      <c r="R724" s="60" t="str">
        <f t="shared" si="4"/>
        <v/>
      </c>
    </row>
    <row r="725" ht="15.0" customHeight="1">
      <c r="A725" s="49">
        <v>722.0</v>
      </c>
      <c r="B725" s="50">
        <v>121.0</v>
      </c>
      <c r="C725" s="52" t="s">
        <v>40</v>
      </c>
      <c r="D725" s="53" t="str">
        <f t="array" ref="D725">index('Match Sched'!$C$3:$H753,match(B725,'Match Sched'!$A$3:$A753,0),if(mod(A725,6)=0,6,mod(A725,6)),0)</f>
        <v/>
      </c>
      <c r="E725" s="54"/>
      <c r="F725" s="55"/>
      <c r="G725" s="54"/>
      <c r="H725" s="54"/>
      <c r="I725" s="54"/>
      <c r="J725" s="54"/>
      <c r="K725" s="54"/>
      <c r="L725" s="54"/>
      <c r="M725" s="60"/>
      <c r="N725" s="57" t="str">
        <f>N724</f>
        <v/>
      </c>
      <c r="O725" s="59" t="str">
        <f>if ( isblank (E725), E725, E725 + F725*'Control PanelOur Matches'!$K$2 + G725*5 + H725*(1/3) + I725*'Control PanelOur Matches'!$M$2 + J725*50)</f>
        <v/>
      </c>
      <c r="P725" s="59" t="str">
        <f t="shared" si="2"/>
        <v/>
      </c>
      <c r="Q725" s="60" t="str">
        <f t="shared" si="3"/>
        <v>no</v>
      </c>
      <c r="R725" s="60" t="str">
        <f t="shared" si="4"/>
        <v/>
      </c>
    </row>
    <row r="726" ht="15.0" customHeight="1">
      <c r="A726" s="49">
        <v>723.0</v>
      </c>
      <c r="B726" s="50">
        <v>121.0</v>
      </c>
      <c r="C726" s="52" t="s">
        <v>41</v>
      </c>
      <c r="D726" s="53" t="str">
        <f t="array" ref="D726">index('Match Sched'!$C$3:$H753,match(B726,'Match Sched'!$A$3:$A753,0),if(mod(A726,6)=0,6,mod(A726,6)),0)</f>
        <v/>
      </c>
      <c r="E726" s="54"/>
      <c r="F726" s="55"/>
      <c r="G726" s="54"/>
      <c r="H726" s="54"/>
      <c r="I726" s="54"/>
      <c r="J726" s="54"/>
      <c r="K726" s="54"/>
      <c r="L726" s="54"/>
      <c r="M726" s="60"/>
      <c r="N726" s="57" t="str">
        <f>N724</f>
        <v/>
      </c>
      <c r="O726" s="59" t="str">
        <f>if ( isblank (E726), E726, E726 + F726*'Control PanelOur Matches'!$K$2 + G726*5 + H726*(1/3) + I726*'Control PanelOur Matches'!$M$2 + J726*50)</f>
        <v/>
      </c>
      <c r="P726" s="59" t="str">
        <f t="shared" si="2"/>
        <v/>
      </c>
      <c r="Q726" s="60" t="str">
        <f t="shared" si="3"/>
        <v>no</v>
      </c>
      <c r="R726" s="60" t="str">
        <f t="shared" si="4"/>
        <v/>
      </c>
    </row>
    <row r="727" ht="15.0" customHeight="1">
      <c r="A727" s="49">
        <v>724.0</v>
      </c>
      <c r="B727" s="50">
        <v>121.0</v>
      </c>
      <c r="C727" s="52" t="s">
        <v>42</v>
      </c>
      <c r="D727" s="53" t="str">
        <f t="array" ref="D727">index('Match Sched'!$C$3:$H753,match(B727,'Match Sched'!$A$3:$A753,0),if(mod(A727,6)=0,6,mod(A727,6)),0)</f>
        <v/>
      </c>
      <c r="E727" s="54"/>
      <c r="F727" s="55"/>
      <c r="G727" s="54"/>
      <c r="H727" s="54"/>
      <c r="I727" s="54"/>
      <c r="J727" s="54"/>
      <c r="K727" s="54"/>
      <c r="L727" s="54"/>
      <c r="M727" s="60"/>
      <c r="N727" s="57" t="str">
        <f>if(counta(E727:K727)&gt;0,SUM(I727:I729)+1, )</f>
        <v/>
      </c>
      <c r="O727" s="59" t="str">
        <f>if ( isblank (E727), E727, E727 + F727*'Control PanelOur Matches'!$K$2 + G727*5 + H727*(1/3) + I727*'Control PanelOur Matches'!$M$2 + J727*50)</f>
        <v/>
      </c>
      <c r="P727" s="59" t="str">
        <f t="shared" si="2"/>
        <v/>
      </c>
      <c r="Q727" s="60" t="str">
        <f t="shared" si="3"/>
        <v>no</v>
      </c>
      <c r="R727" s="60" t="str">
        <f t="shared" si="4"/>
        <v/>
      </c>
    </row>
    <row r="728" ht="15.0" customHeight="1">
      <c r="A728" s="49">
        <v>725.0</v>
      </c>
      <c r="B728" s="50">
        <v>121.0</v>
      </c>
      <c r="C728" s="52" t="s">
        <v>43</v>
      </c>
      <c r="D728" s="53" t="str">
        <f t="array" ref="D728">index('Match Sched'!$C$3:$H753,match(B728,'Match Sched'!$A$3:$A753,0),if(mod(A728,6)=0,6,mod(A728,6)),0)</f>
        <v/>
      </c>
      <c r="E728" s="54"/>
      <c r="F728" s="55"/>
      <c r="G728" s="54"/>
      <c r="H728" s="54"/>
      <c r="I728" s="54"/>
      <c r="J728" s="54"/>
      <c r="K728" s="54"/>
      <c r="L728" s="54"/>
      <c r="M728" s="60"/>
      <c r="N728" s="57" t="str">
        <f>N727</f>
        <v/>
      </c>
      <c r="O728" s="59" t="str">
        <f>if ( isblank (E728), E728, E728 + F728*'Control PanelOur Matches'!$K$2 + G728*5 + H728*(1/3) + I728*'Control PanelOur Matches'!$M$2 + J728*50)</f>
        <v/>
      </c>
      <c r="P728" s="59" t="str">
        <f t="shared" si="2"/>
        <v/>
      </c>
      <c r="Q728" s="60" t="str">
        <f t="shared" si="3"/>
        <v>no</v>
      </c>
      <c r="R728" s="60" t="str">
        <f t="shared" si="4"/>
        <v/>
      </c>
    </row>
    <row r="729" ht="15.0" customHeight="1">
      <c r="A729" s="49">
        <v>726.0</v>
      </c>
      <c r="B729" s="50">
        <v>121.0</v>
      </c>
      <c r="C729" s="52" t="s">
        <v>44</v>
      </c>
      <c r="D729" s="53" t="str">
        <f t="array" ref="D729">index('Match Sched'!$C$3:$H753,match(B729,'Match Sched'!$A$3:$A753,0),if(mod(A729,6)=0,6,mod(A729,6)),0)</f>
        <v/>
      </c>
      <c r="E729" s="54"/>
      <c r="F729" s="55"/>
      <c r="G729" s="54"/>
      <c r="H729" s="54"/>
      <c r="I729" s="54"/>
      <c r="J729" s="54"/>
      <c r="K729" s="54"/>
      <c r="L729" s="54"/>
      <c r="M729" s="60"/>
      <c r="N729" s="57" t="str">
        <f>N727</f>
        <v/>
      </c>
      <c r="O729" s="59" t="str">
        <f>if ( isblank (E729), E729, E729 + F729*'Control PanelOur Matches'!$K$2 + G729*5 + H729*(1/3) + I729*'Control PanelOur Matches'!$M$2 + J729*50)</f>
        <v/>
      </c>
      <c r="P729" s="59" t="str">
        <f t="shared" si="2"/>
        <v/>
      </c>
      <c r="Q729" s="60" t="str">
        <f t="shared" si="3"/>
        <v>no</v>
      </c>
      <c r="R729" s="60" t="str">
        <f t="shared" si="4"/>
        <v/>
      </c>
    </row>
    <row r="730" ht="15.0" customHeight="1">
      <c r="A730" s="65">
        <v>727.0</v>
      </c>
      <c r="B730" s="66">
        <v>122.0</v>
      </c>
      <c r="C730" s="52" t="s">
        <v>39</v>
      </c>
      <c r="D730" s="53" t="str">
        <f t="array" ref="D730">index('Match Sched'!$C$3:$H753,match(B730,'Match Sched'!$A$3:$A753,0),if(mod(A730,6)=0,6,mod(A730,6)),0)</f>
        <v/>
      </c>
      <c r="E730" s="54"/>
      <c r="F730" s="55"/>
      <c r="G730" s="67"/>
      <c r="H730" s="67"/>
      <c r="I730" s="67"/>
      <c r="J730" s="67"/>
      <c r="K730" s="67"/>
      <c r="L730" s="67"/>
      <c r="M730" s="60"/>
      <c r="N730" s="57" t="str">
        <f>if(counta(E730:K730)&gt;0,SUM(I730:I732)+1, )</f>
        <v/>
      </c>
      <c r="O730" s="59" t="str">
        <f>if ( isblank (E730), E730, E730 + F730*'Control PanelOur Matches'!$K$2 + G730*5 + H730*(1/3) + I730*'Control PanelOur Matches'!$M$2 + J730*50)</f>
        <v/>
      </c>
      <c r="P730" s="59" t="str">
        <f t="shared" si="2"/>
        <v/>
      </c>
      <c r="Q730" s="60" t="str">
        <f t="shared" si="3"/>
        <v>no</v>
      </c>
      <c r="R730" s="60" t="str">
        <f t="shared" si="4"/>
        <v/>
      </c>
    </row>
    <row r="731" ht="15.0" customHeight="1">
      <c r="A731" s="65">
        <v>728.0</v>
      </c>
      <c r="B731" s="66">
        <v>122.0</v>
      </c>
      <c r="C731" s="52" t="s">
        <v>40</v>
      </c>
      <c r="D731" s="53" t="str">
        <f t="array" ref="D731">index('Match Sched'!$C$3:$H753,match(B731,'Match Sched'!$A$3:$A753,0),if(mod(A731,6)=0,6,mod(A731,6)),0)</f>
        <v/>
      </c>
      <c r="E731" s="54"/>
      <c r="F731" s="55"/>
      <c r="G731" s="67"/>
      <c r="H731" s="67"/>
      <c r="I731" s="67"/>
      <c r="J731" s="67"/>
      <c r="K731" s="67"/>
      <c r="L731" s="67"/>
      <c r="M731" s="60"/>
      <c r="N731" s="57" t="str">
        <f>N730</f>
        <v/>
      </c>
      <c r="O731" s="59" t="str">
        <f>if ( isblank (E731), E731, E731 + F731*'Control PanelOur Matches'!$K$2 + G731*5 + H731*(1/3) + I731*'Control PanelOur Matches'!$M$2 + J731*50)</f>
        <v/>
      </c>
      <c r="P731" s="59" t="str">
        <f t="shared" si="2"/>
        <v/>
      </c>
      <c r="Q731" s="60" t="str">
        <f t="shared" si="3"/>
        <v>no</v>
      </c>
      <c r="R731" s="60" t="str">
        <f t="shared" si="4"/>
        <v/>
      </c>
    </row>
    <row r="732" ht="15.0" customHeight="1">
      <c r="A732" s="65">
        <v>729.0</v>
      </c>
      <c r="B732" s="66">
        <v>122.0</v>
      </c>
      <c r="C732" s="52" t="s">
        <v>41</v>
      </c>
      <c r="D732" s="53" t="str">
        <f t="array" ref="D732">index('Match Sched'!$C$3:$H753,match(B732,'Match Sched'!$A$3:$A753,0),if(mod(A732,6)=0,6,mod(A732,6)),0)</f>
        <v/>
      </c>
      <c r="E732" s="54"/>
      <c r="F732" s="55"/>
      <c r="G732" s="67"/>
      <c r="H732" s="67"/>
      <c r="I732" s="67"/>
      <c r="J732" s="67"/>
      <c r="K732" s="67"/>
      <c r="L732" s="67"/>
      <c r="M732" s="60"/>
      <c r="N732" s="57" t="str">
        <f>N730</f>
        <v/>
      </c>
      <c r="O732" s="59" t="str">
        <f>if ( isblank (E732), E732, E732 + F732*'Control PanelOur Matches'!$K$2 + G732*5 + H732*(1/3) + I732*'Control PanelOur Matches'!$M$2 + J732*50)</f>
        <v/>
      </c>
      <c r="P732" s="59" t="str">
        <f t="shared" si="2"/>
        <v/>
      </c>
      <c r="Q732" s="60" t="str">
        <f t="shared" si="3"/>
        <v>no</v>
      </c>
      <c r="R732" s="60" t="str">
        <f t="shared" si="4"/>
        <v/>
      </c>
    </row>
    <row r="733" ht="15.0" customHeight="1">
      <c r="A733" s="65">
        <v>730.0</v>
      </c>
      <c r="B733" s="66">
        <v>122.0</v>
      </c>
      <c r="C733" s="52" t="s">
        <v>42</v>
      </c>
      <c r="D733" s="53" t="str">
        <f t="array" ref="D733">index('Match Sched'!$C$3:$H753,match(B733,'Match Sched'!$A$3:$A753,0),if(mod(A733,6)=0,6,mod(A733,6)),0)</f>
        <v/>
      </c>
      <c r="E733" s="54"/>
      <c r="F733" s="55"/>
      <c r="G733" s="67"/>
      <c r="H733" s="67"/>
      <c r="I733" s="67"/>
      <c r="J733" s="67"/>
      <c r="K733" s="67"/>
      <c r="L733" s="67"/>
      <c r="M733" s="60"/>
      <c r="N733" s="57" t="str">
        <f>if(counta(E733:K733)&gt;0,SUM(I733:I735)+1, )</f>
        <v/>
      </c>
      <c r="O733" s="59" t="str">
        <f>if ( isblank (E733), E733, E733 + F733*'Control PanelOur Matches'!$K$2 + G733*5 + H733*(1/3) + I733*'Control PanelOur Matches'!$M$2 + J733*50)</f>
        <v/>
      </c>
      <c r="P733" s="59" t="str">
        <f t="shared" si="2"/>
        <v/>
      </c>
      <c r="Q733" s="60" t="str">
        <f t="shared" si="3"/>
        <v>no</v>
      </c>
      <c r="R733" s="60" t="str">
        <f t="shared" si="4"/>
        <v/>
      </c>
    </row>
    <row r="734" ht="15.0" customHeight="1">
      <c r="A734" s="65">
        <v>731.0</v>
      </c>
      <c r="B734" s="66">
        <v>122.0</v>
      </c>
      <c r="C734" s="52" t="s">
        <v>43</v>
      </c>
      <c r="D734" s="53" t="str">
        <f t="array" ref="D734">index('Match Sched'!$C$3:$H753,match(B734,'Match Sched'!$A$3:$A753,0),if(mod(A734,6)=0,6,mod(A734,6)),0)</f>
        <v/>
      </c>
      <c r="E734" s="54"/>
      <c r="F734" s="55"/>
      <c r="G734" s="67"/>
      <c r="H734" s="67"/>
      <c r="I734" s="67"/>
      <c r="J734" s="67"/>
      <c r="K734" s="67"/>
      <c r="L734" s="67"/>
      <c r="M734" s="60"/>
      <c r="N734" s="57" t="str">
        <f>N733</f>
        <v/>
      </c>
      <c r="O734" s="59" t="str">
        <f>if ( isblank (E734), E734, E734 + F734*'Control PanelOur Matches'!$K$2 + G734*5 + H734*(1/3) + I734*'Control PanelOur Matches'!$M$2 + J734*50)</f>
        <v/>
      </c>
      <c r="P734" s="59" t="str">
        <f t="shared" si="2"/>
        <v/>
      </c>
      <c r="Q734" s="60" t="str">
        <f t="shared" si="3"/>
        <v>no</v>
      </c>
      <c r="R734" s="60" t="str">
        <f t="shared" si="4"/>
        <v/>
      </c>
    </row>
    <row r="735" ht="15.0" customHeight="1">
      <c r="A735" s="65">
        <v>732.0</v>
      </c>
      <c r="B735" s="66">
        <v>122.0</v>
      </c>
      <c r="C735" s="68" t="s">
        <v>44</v>
      </c>
      <c r="D735" s="53" t="str">
        <f t="array" ref="D735">index('Match Sched'!$C$3:$H753,match(B735,'Match Sched'!$A$3:$A753,0),if(mod(A735,6)=0,6,mod(A735,6)),0)</f>
        <v/>
      </c>
      <c r="E735" s="54"/>
      <c r="F735" s="55"/>
      <c r="G735" s="67"/>
      <c r="H735" s="67"/>
      <c r="I735" s="67"/>
      <c r="J735" s="67"/>
      <c r="K735" s="67"/>
      <c r="L735" s="67"/>
      <c r="M735" s="60"/>
      <c r="N735" s="57" t="str">
        <f>N733</f>
        <v/>
      </c>
      <c r="O735" s="59" t="str">
        <f>if ( isblank (E735), E735, E735 + F735*'Control PanelOur Matches'!$K$2 + G735*5 + H735*(1/3) + I735*'Control PanelOur Matches'!$M$2 + J735*50)</f>
        <v/>
      </c>
      <c r="P735" s="59" t="str">
        <f t="shared" si="2"/>
        <v/>
      </c>
      <c r="Q735" s="60" t="str">
        <f t="shared" si="3"/>
        <v>no</v>
      </c>
      <c r="R735" s="60" t="str">
        <f t="shared" si="4"/>
        <v/>
      </c>
    </row>
    <row r="736" ht="15.0" customHeight="1">
      <c r="A736" s="49">
        <v>733.0</v>
      </c>
      <c r="B736" s="50">
        <v>123.0</v>
      </c>
      <c r="C736" s="52" t="s">
        <v>39</v>
      </c>
      <c r="D736" s="53" t="str">
        <f t="array" ref="D736">index('Match Sched'!$C$3:$H753,match(B736,'Match Sched'!$A$3:$A753,0),if(mod(A736,6)=0,6,mod(A736,6)),0)</f>
        <v/>
      </c>
      <c r="E736" s="54"/>
      <c r="F736" s="55"/>
      <c r="G736" s="54"/>
      <c r="H736" s="54"/>
      <c r="I736" s="54"/>
      <c r="J736" s="54"/>
      <c r="K736" s="54"/>
      <c r="L736" s="54"/>
      <c r="M736" s="60"/>
      <c r="N736" s="57" t="str">
        <f>if(counta(E736:K736)&gt;0,SUM(I736:I738)+1, )</f>
        <v/>
      </c>
      <c r="O736" s="59" t="str">
        <f>if ( isblank (E736), E736, E736 + F736*'Control PanelOur Matches'!$K$2 + G736*5 + H736*(1/3) + I736*'Control PanelOur Matches'!$M$2 + J736*50)</f>
        <v/>
      </c>
      <c r="P736" s="59" t="str">
        <f t="shared" si="2"/>
        <v/>
      </c>
      <c r="Q736" s="60" t="str">
        <f t="shared" si="3"/>
        <v>no</v>
      </c>
      <c r="R736" s="60" t="str">
        <f t="shared" si="4"/>
        <v/>
      </c>
    </row>
    <row r="737" ht="15.0" customHeight="1">
      <c r="A737" s="49">
        <v>734.0</v>
      </c>
      <c r="B737" s="50">
        <v>123.0</v>
      </c>
      <c r="C737" s="52" t="s">
        <v>40</v>
      </c>
      <c r="D737" s="53" t="str">
        <f t="array" ref="D737">index('Match Sched'!$C$3:$H753,match(B737,'Match Sched'!$A$3:$A753,0),if(mod(A737,6)=0,6,mod(A737,6)),0)</f>
        <v/>
      </c>
      <c r="E737" s="54"/>
      <c r="F737" s="55"/>
      <c r="G737" s="54"/>
      <c r="H737" s="54"/>
      <c r="I737" s="54"/>
      <c r="J737" s="54"/>
      <c r="K737" s="54"/>
      <c r="L737" s="54"/>
      <c r="M737" s="60"/>
      <c r="N737" s="57" t="str">
        <f>N736</f>
        <v/>
      </c>
      <c r="O737" s="59" t="str">
        <f>if ( isblank (E737), E737, E737 + F737*'Control PanelOur Matches'!$K$2 + G737*5 + H737*(1/3) + I737*'Control PanelOur Matches'!$M$2 + J737*50)</f>
        <v/>
      </c>
      <c r="P737" s="59" t="str">
        <f t="shared" si="2"/>
        <v/>
      </c>
      <c r="Q737" s="60" t="str">
        <f t="shared" si="3"/>
        <v>no</v>
      </c>
      <c r="R737" s="60" t="str">
        <f t="shared" si="4"/>
        <v/>
      </c>
    </row>
    <row r="738" ht="15.0" customHeight="1">
      <c r="A738" s="49">
        <v>735.0</v>
      </c>
      <c r="B738" s="50">
        <v>123.0</v>
      </c>
      <c r="C738" s="52" t="s">
        <v>41</v>
      </c>
      <c r="D738" s="53" t="str">
        <f t="array" ref="D738">index('Match Sched'!$C$3:$H753,match(B738,'Match Sched'!$A$3:$A753,0),if(mod(A738,6)=0,6,mod(A738,6)),0)</f>
        <v/>
      </c>
      <c r="E738" s="54"/>
      <c r="F738" s="55"/>
      <c r="G738" s="54"/>
      <c r="H738" s="54"/>
      <c r="I738" s="54"/>
      <c r="J738" s="54"/>
      <c r="K738" s="54"/>
      <c r="L738" s="54"/>
      <c r="M738" s="60"/>
      <c r="N738" s="57" t="str">
        <f>N736</f>
        <v/>
      </c>
      <c r="O738" s="59" t="str">
        <f>if ( isblank (E738), E738, E738 + F738*'Control PanelOur Matches'!$K$2 + G738*5 + H738*(1/3) + I738*'Control PanelOur Matches'!$M$2 + J738*50)</f>
        <v/>
      </c>
      <c r="P738" s="59" t="str">
        <f t="shared" si="2"/>
        <v/>
      </c>
      <c r="Q738" s="60" t="str">
        <f t="shared" si="3"/>
        <v>no</v>
      </c>
      <c r="R738" s="60" t="str">
        <f t="shared" si="4"/>
        <v/>
      </c>
    </row>
    <row r="739" ht="15.0" customHeight="1">
      <c r="A739" s="49">
        <v>736.0</v>
      </c>
      <c r="B739" s="50">
        <v>123.0</v>
      </c>
      <c r="C739" s="52" t="s">
        <v>42</v>
      </c>
      <c r="D739" s="53" t="str">
        <f t="array" ref="D739">index('Match Sched'!$C$3:$H753,match(B739,'Match Sched'!$A$3:$A753,0),if(mod(A739,6)=0,6,mod(A739,6)),0)</f>
        <v/>
      </c>
      <c r="E739" s="54"/>
      <c r="F739" s="55"/>
      <c r="G739" s="54"/>
      <c r="H739" s="54"/>
      <c r="I739" s="54"/>
      <c r="J739" s="54"/>
      <c r="K739" s="54"/>
      <c r="L739" s="54"/>
      <c r="M739" s="60"/>
      <c r="N739" s="57" t="str">
        <f>if(counta(E739:K739)&gt;0,SUM(I739:I741)+1, )</f>
        <v/>
      </c>
      <c r="O739" s="59" t="str">
        <f>if ( isblank (E739), E739, E739 + F739*'Control PanelOur Matches'!$K$2 + G739*5 + H739*(1/3) + I739*'Control PanelOur Matches'!$M$2 + J739*50)</f>
        <v/>
      </c>
      <c r="P739" s="59" t="str">
        <f t="shared" si="2"/>
        <v/>
      </c>
      <c r="Q739" s="60" t="str">
        <f t="shared" si="3"/>
        <v>no</v>
      </c>
      <c r="R739" s="60" t="str">
        <f t="shared" si="4"/>
        <v/>
      </c>
    </row>
    <row r="740" ht="15.0" customHeight="1">
      <c r="A740" s="49">
        <v>737.0</v>
      </c>
      <c r="B740" s="50">
        <v>123.0</v>
      </c>
      <c r="C740" s="52" t="s">
        <v>43</v>
      </c>
      <c r="D740" s="53" t="str">
        <f t="array" ref="D740">index('Match Sched'!$C$3:$H753,match(B740,'Match Sched'!$A$3:$A753,0),if(mod(A740,6)=0,6,mod(A740,6)),0)</f>
        <v/>
      </c>
      <c r="E740" s="54"/>
      <c r="F740" s="55"/>
      <c r="G740" s="54"/>
      <c r="H740" s="54"/>
      <c r="I740" s="54"/>
      <c r="J740" s="54"/>
      <c r="K740" s="54"/>
      <c r="L740" s="54"/>
      <c r="M740" s="60"/>
      <c r="N740" s="57" t="str">
        <f>N739</f>
        <v/>
      </c>
      <c r="O740" s="59" t="str">
        <f>if ( isblank (E740), E740, E740 + F740*'Control PanelOur Matches'!$K$2 + G740*5 + H740*(1/3) + I740*'Control PanelOur Matches'!$M$2 + J740*50)</f>
        <v/>
      </c>
      <c r="P740" s="59" t="str">
        <f t="shared" si="2"/>
        <v/>
      </c>
      <c r="Q740" s="60" t="str">
        <f t="shared" si="3"/>
        <v>no</v>
      </c>
      <c r="R740" s="60" t="str">
        <f t="shared" si="4"/>
        <v/>
      </c>
    </row>
    <row r="741" ht="15.0" customHeight="1">
      <c r="A741" s="49">
        <v>738.0</v>
      </c>
      <c r="B741" s="50">
        <v>123.0</v>
      </c>
      <c r="C741" s="52" t="s">
        <v>44</v>
      </c>
      <c r="D741" s="53" t="str">
        <f t="array" ref="D741">index('Match Sched'!$C$3:$H753,match(B741,'Match Sched'!$A$3:$A753,0),if(mod(A741,6)=0,6,mod(A741,6)),0)</f>
        <v/>
      </c>
      <c r="E741" s="54"/>
      <c r="F741" s="55"/>
      <c r="G741" s="54"/>
      <c r="H741" s="54"/>
      <c r="I741" s="54"/>
      <c r="J741" s="54"/>
      <c r="K741" s="54"/>
      <c r="L741" s="54"/>
      <c r="M741" s="60"/>
      <c r="N741" s="57" t="str">
        <f>N739</f>
        <v/>
      </c>
      <c r="O741" s="59" t="str">
        <f>if ( isblank (E741), E741, E741 + F741*'Control PanelOur Matches'!$K$2 + G741*5 + H741*(1/3) + I741*'Control PanelOur Matches'!$M$2 + J741*50)</f>
        <v/>
      </c>
      <c r="P741" s="59" t="str">
        <f t="shared" si="2"/>
        <v/>
      </c>
      <c r="Q741" s="60" t="str">
        <f t="shared" si="3"/>
        <v>no</v>
      </c>
      <c r="R741" s="60" t="str">
        <f t="shared" si="4"/>
        <v/>
      </c>
    </row>
    <row r="742" ht="15.0" customHeight="1">
      <c r="A742" s="65">
        <v>739.0</v>
      </c>
      <c r="B742" s="66">
        <v>124.0</v>
      </c>
      <c r="C742" s="52" t="s">
        <v>39</v>
      </c>
      <c r="D742" s="53" t="str">
        <f t="array" ref="D742">index('Match Sched'!$C$3:$H753,match(B742,'Match Sched'!$A$3:$A753,0),if(mod(A742,6)=0,6,mod(A742,6)),0)</f>
        <v/>
      </c>
      <c r="E742" s="54"/>
      <c r="F742" s="55"/>
      <c r="G742" s="67"/>
      <c r="H742" s="67"/>
      <c r="I742" s="67"/>
      <c r="J742" s="67"/>
      <c r="K742" s="67"/>
      <c r="L742" s="67"/>
      <c r="M742" s="60"/>
      <c r="N742" s="57" t="str">
        <f>if(counta(E742:K742)&gt;0,SUM(I742:I744)+1, )</f>
        <v/>
      </c>
      <c r="O742" s="59" t="str">
        <f>if ( isblank (E742), E742, E742 + F742*'Control PanelOur Matches'!$K$2 + G742*5 + H742*(1/3) + I742*'Control PanelOur Matches'!$M$2 + J742*50)</f>
        <v/>
      </c>
      <c r="P742" s="59" t="str">
        <f t="shared" si="2"/>
        <v/>
      </c>
      <c r="Q742" s="60" t="str">
        <f t="shared" si="3"/>
        <v>no</v>
      </c>
      <c r="R742" s="60" t="str">
        <f t="shared" si="4"/>
        <v/>
      </c>
    </row>
    <row r="743" ht="15.0" customHeight="1">
      <c r="A743" s="65">
        <v>740.0</v>
      </c>
      <c r="B743" s="66">
        <v>124.0</v>
      </c>
      <c r="C743" s="69" t="s">
        <v>40</v>
      </c>
      <c r="D743" s="53" t="str">
        <f t="array" ref="D743">index('Match Sched'!$C$3:$H753,match(B743,'Match Sched'!$A$3:$A753,0),if(mod(A743,6)=0,6,mod(A743,6)),0)</f>
        <v/>
      </c>
      <c r="E743" s="54"/>
      <c r="F743" s="55"/>
      <c r="G743" s="67"/>
      <c r="H743" s="67"/>
      <c r="I743" s="67"/>
      <c r="J743" s="67"/>
      <c r="K743" s="67"/>
      <c r="L743" s="67"/>
      <c r="M743" s="60"/>
      <c r="N743" s="57" t="str">
        <f>N742</f>
        <v/>
      </c>
      <c r="O743" s="59" t="str">
        <f>if ( isblank (E743), E743, E743 + F743*'Control PanelOur Matches'!$K$2 + G743*5 + H743*(1/3) + I743*'Control PanelOur Matches'!$M$2 + J743*50)</f>
        <v/>
      </c>
      <c r="P743" s="59" t="str">
        <f t="shared" si="2"/>
        <v/>
      </c>
      <c r="Q743" s="60" t="str">
        <f t="shared" si="3"/>
        <v>no</v>
      </c>
      <c r="R743" s="60" t="str">
        <f t="shared" si="4"/>
        <v/>
      </c>
    </row>
    <row r="744" ht="15.0" customHeight="1">
      <c r="A744" s="65">
        <v>741.0</v>
      </c>
      <c r="B744" s="66">
        <v>124.0</v>
      </c>
      <c r="C744" s="52" t="s">
        <v>41</v>
      </c>
      <c r="D744" s="53" t="str">
        <f t="array" ref="D744">index('Match Sched'!$C$3:$H753,match(B744,'Match Sched'!$A$3:$A753,0),if(mod(A744,6)=0,6,mod(A744,6)),0)</f>
        <v/>
      </c>
      <c r="E744" s="54"/>
      <c r="F744" s="55"/>
      <c r="G744" s="67"/>
      <c r="H744" s="67"/>
      <c r="I744" s="67"/>
      <c r="J744" s="67"/>
      <c r="K744" s="67"/>
      <c r="L744" s="67"/>
      <c r="M744" s="60"/>
      <c r="N744" s="57" t="str">
        <f>N742</f>
        <v/>
      </c>
      <c r="O744" s="59" t="str">
        <f>if ( isblank (E744), E744, E744 + F744*'Control PanelOur Matches'!$K$2 + G744*5 + H744*(1/3) + I744*'Control PanelOur Matches'!$M$2 + J744*50)</f>
        <v/>
      </c>
      <c r="P744" s="59" t="str">
        <f t="shared" si="2"/>
        <v/>
      </c>
      <c r="Q744" s="60" t="str">
        <f t="shared" si="3"/>
        <v>no</v>
      </c>
      <c r="R744" s="60" t="str">
        <f t="shared" si="4"/>
        <v/>
      </c>
    </row>
    <row r="745" ht="15.0" customHeight="1">
      <c r="A745" s="65">
        <v>742.0</v>
      </c>
      <c r="B745" s="66">
        <v>124.0</v>
      </c>
      <c r="C745" s="52" t="s">
        <v>42</v>
      </c>
      <c r="D745" s="53" t="str">
        <f t="array" ref="D745">index('Match Sched'!$C$3:$H753,match(B745,'Match Sched'!$A$3:$A753,0),if(mod(A745,6)=0,6,mod(A745,6)),0)</f>
        <v/>
      </c>
      <c r="E745" s="54"/>
      <c r="F745" s="55"/>
      <c r="G745" s="67"/>
      <c r="H745" s="67"/>
      <c r="I745" s="67"/>
      <c r="J745" s="67"/>
      <c r="K745" s="67"/>
      <c r="L745" s="67"/>
      <c r="M745" s="60"/>
      <c r="N745" s="57" t="str">
        <f>if(counta(E745:K745)&gt;0,SUM(I745:I747)+1, )</f>
        <v/>
      </c>
      <c r="O745" s="59" t="str">
        <f>if ( isblank (E745), E745, E745 + F745*'Control PanelOur Matches'!$K$2 + G745*5 + H745*(1/3) + I745*'Control PanelOur Matches'!$M$2 + J745*50)</f>
        <v/>
      </c>
      <c r="P745" s="59" t="str">
        <f t="shared" si="2"/>
        <v/>
      </c>
      <c r="Q745" s="60" t="str">
        <f t="shared" si="3"/>
        <v>no</v>
      </c>
      <c r="R745" s="60" t="str">
        <f t="shared" si="4"/>
        <v/>
      </c>
    </row>
    <row r="746" ht="15.0" customHeight="1">
      <c r="A746" s="65">
        <v>743.0</v>
      </c>
      <c r="B746" s="66">
        <v>124.0</v>
      </c>
      <c r="C746" s="52" t="s">
        <v>43</v>
      </c>
      <c r="D746" s="53" t="str">
        <f t="array" ref="D746">index('Match Sched'!$C$3:$H753,match(B746,'Match Sched'!$A$3:$A753,0),if(mod(A746,6)=0,6,mod(A746,6)),0)</f>
        <v/>
      </c>
      <c r="E746" s="54"/>
      <c r="F746" s="55"/>
      <c r="G746" s="67"/>
      <c r="H746" s="67"/>
      <c r="I746" s="67"/>
      <c r="J746" s="67"/>
      <c r="K746" s="67"/>
      <c r="L746" s="67"/>
      <c r="M746" s="60"/>
      <c r="N746" s="57" t="str">
        <f>N745</f>
        <v/>
      </c>
      <c r="O746" s="59" t="str">
        <f>if ( isblank (E746), E746, E746 + F746*'Control PanelOur Matches'!$K$2 + G746*5 + H746*(1/3) + I746*'Control PanelOur Matches'!$M$2 + J746*50)</f>
        <v/>
      </c>
      <c r="P746" s="59" t="str">
        <f t="shared" si="2"/>
        <v/>
      </c>
      <c r="Q746" s="60" t="str">
        <f t="shared" si="3"/>
        <v>no</v>
      </c>
      <c r="R746" s="60" t="str">
        <f t="shared" si="4"/>
        <v/>
      </c>
    </row>
    <row r="747" ht="15.0" customHeight="1">
      <c r="A747" s="65">
        <v>744.0</v>
      </c>
      <c r="B747" s="66">
        <v>124.0</v>
      </c>
      <c r="C747" s="68" t="s">
        <v>44</v>
      </c>
      <c r="D747" s="53" t="str">
        <f t="array" ref="D747">index('Match Sched'!$C$3:$H753,match(B747,'Match Sched'!$A$3:$A753,0),if(mod(A747,6)=0,6,mod(A747,6)),0)</f>
        <v/>
      </c>
      <c r="E747" s="54"/>
      <c r="F747" s="55"/>
      <c r="G747" s="67"/>
      <c r="H747" s="67"/>
      <c r="I747" s="67"/>
      <c r="J747" s="67"/>
      <c r="K747" s="67"/>
      <c r="L747" s="67"/>
      <c r="M747" s="60"/>
      <c r="N747" s="57" t="str">
        <f>N745</f>
        <v/>
      </c>
      <c r="O747" s="59" t="str">
        <f>if ( isblank (E747), E747, E747 + F747*'Control PanelOur Matches'!$K$2 + G747*5 + H747*(1/3) + I747*'Control PanelOur Matches'!$M$2 + J747*50)</f>
        <v/>
      </c>
      <c r="P747" s="59" t="str">
        <f t="shared" si="2"/>
        <v/>
      </c>
      <c r="Q747" s="60" t="str">
        <f t="shared" si="3"/>
        <v>no</v>
      </c>
      <c r="R747" s="60" t="str">
        <f t="shared" si="4"/>
        <v/>
      </c>
    </row>
    <row r="748" ht="15.0" customHeight="1">
      <c r="A748" s="49">
        <v>745.0</v>
      </c>
      <c r="B748" s="50">
        <v>125.0</v>
      </c>
      <c r="C748" s="52" t="s">
        <v>39</v>
      </c>
      <c r="D748" s="53" t="str">
        <f t="array" ref="D748">index('Match Sched'!$C$3:$H753,match(B748,'Match Sched'!$A$3:$A753,0),if(mod(A748,6)=0,6,mod(A748,6)),0)</f>
        <v>#N/A</v>
      </c>
      <c r="E748" s="54"/>
      <c r="F748" s="55"/>
      <c r="G748" s="54"/>
      <c r="H748" s="54"/>
      <c r="I748" s="54"/>
      <c r="J748" s="54"/>
      <c r="K748" s="54"/>
      <c r="L748" s="54"/>
      <c r="M748" s="60"/>
      <c r="N748" s="57" t="str">
        <f>if(counta(E748:K748)&gt;0,SUM(I748:I750)+1, )</f>
        <v/>
      </c>
      <c r="O748" s="59" t="str">
        <f>if ( isblank (E748), E748, E748 + F748*'Control PanelOur Matches'!$K$2 + G748*5 + H748*(1/3) + I748*'Control PanelOur Matches'!$M$2 + J748*50)</f>
        <v/>
      </c>
      <c r="P748" s="59" t="str">
        <f t="shared" ref="P748:P753" si="320">if ( isblank (E748), E748, E748 + iferror(((if(M748&gt;=3,120,if(M748&gt;=1,60,0)))*F748/M748),0) + G748*5 + H748/3 + iferror(if(M748=3,
    if(N748&gt;=10,80,if(N748&gt;=4,40,0)),
    if(M748=2,
    if(N748&gt;=11,120,if(N748&gt;=5,80,if(N748&gt;=1,40,0))),
    if(M748=1,
    if(N748&gt;=12,120,if(N748&gt;=6,80,if(N748&gt;=2,40,0))),
    if(N748=13,160,if(N748&gt;=7,120,if(N748&gt;=3,80,if(N748&gt;=1,40,0)))))))*(I748/N748)) + J748*50)</f>
        <v/>
      </c>
      <c r="Q748" s="60" t="str">
        <f t="shared" si="3"/>
        <v>no</v>
      </c>
      <c r="R748" s="60" t="str">
        <f t="shared" si="4"/>
        <v/>
      </c>
    </row>
    <row r="749" ht="15.0" customHeight="1">
      <c r="A749" s="49">
        <v>746.0</v>
      </c>
      <c r="B749" s="50">
        <v>125.0</v>
      </c>
      <c r="C749" s="52" t="s">
        <v>40</v>
      </c>
      <c r="D749" s="53" t="str">
        <f t="array" ref="D749">index('Match Sched'!$C$3:$H753,match(B749,'Match Sched'!$A$3:$A753,0),if(mod(A749,6)=0,6,mod(A749,6)),0)</f>
        <v>#N/A</v>
      </c>
      <c r="E749" s="54"/>
      <c r="F749" s="55"/>
      <c r="G749" s="54"/>
      <c r="H749" s="54"/>
      <c r="I749" s="54"/>
      <c r="J749" s="54"/>
      <c r="K749" s="54"/>
      <c r="L749" s="54"/>
      <c r="M749" s="60"/>
      <c r="N749" s="57" t="str">
        <f>N748</f>
        <v/>
      </c>
      <c r="O749" s="59" t="str">
        <f>if ( isblank (E749), E749, E749 + F749*'Control PanelOur Matches'!$K$2 + G749*5 + H749*(1/3) + I749*'Control PanelOur Matches'!$M$2 + J749*50)</f>
        <v/>
      </c>
      <c r="P749" s="59" t="str">
        <f t="shared" si="320"/>
        <v/>
      </c>
      <c r="Q749" s="60" t="str">
        <f t="shared" si="3"/>
        <v>no</v>
      </c>
      <c r="R749" s="60" t="str">
        <f t="shared" si="4"/>
        <v/>
      </c>
    </row>
    <row r="750" ht="15.0" customHeight="1">
      <c r="A750" s="49">
        <v>747.0</v>
      </c>
      <c r="B750" s="50">
        <v>125.0</v>
      </c>
      <c r="C750" s="52" t="s">
        <v>41</v>
      </c>
      <c r="D750" s="53" t="str">
        <f t="array" ref="D750">index('Match Sched'!$C$3:$H753,match(B750,'Match Sched'!$A$3:$A753,0),if(mod(A750,6)=0,6,mod(A750,6)),0)</f>
        <v>#N/A</v>
      </c>
      <c r="E750" s="54"/>
      <c r="F750" s="55"/>
      <c r="G750" s="54"/>
      <c r="H750" s="54"/>
      <c r="I750" s="54"/>
      <c r="J750" s="54"/>
      <c r="K750" s="54"/>
      <c r="L750" s="54"/>
      <c r="M750" s="60"/>
      <c r="N750" s="57" t="str">
        <f>N748</f>
        <v/>
      </c>
      <c r="O750" s="59" t="str">
        <f>if ( isblank (E750), E750, E750 + F750*'Control PanelOur Matches'!$K$2 + G750*5 + H750*(1/3) + I750*'Control PanelOur Matches'!$M$2 + J750*50)</f>
        <v/>
      </c>
      <c r="P750" s="59" t="str">
        <f t="shared" si="320"/>
        <v/>
      </c>
      <c r="Q750" s="60" t="str">
        <f t="shared" si="3"/>
        <v>no</v>
      </c>
      <c r="R750" s="60" t="str">
        <f t="shared" si="4"/>
        <v/>
      </c>
    </row>
    <row r="751" ht="15.0" customHeight="1">
      <c r="A751" s="49">
        <v>748.0</v>
      </c>
      <c r="B751" s="50">
        <v>125.0</v>
      </c>
      <c r="C751" s="52" t="s">
        <v>42</v>
      </c>
      <c r="D751" s="53" t="str">
        <f t="array" ref="D751">index('Match Sched'!$C$3:$H753,match(B751,'Match Sched'!$A$3:$A753,0),if(mod(A751,6)=0,6,mod(A751,6)),0)</f>
        <v>#N/A</v>
      </c>
      <c r="E751" s="54"/>
      <c r="F751" s="55"/>
      <c r="G751" s="54"/>
      <c r="H751" s="54"/>
      <c r="I751" s="54"/>
      <c r="J751" s="54"/>
      <c r="K751" s="54"/>
      <c r="L751" s="54"/>
      <c r="M751" s="60"/>
      <c r="N751" s="57" t="str">
        <f>if(counta(E751:K751)&gt;0,SUM(I751:I753)+1, )</f>
        <v/>
      </c>
      <c r="O751" s="59" t="str">
        <f>if ( isblank (E751), E751, E751 + F751*'Control PanelOur Matches'!$K$2 + G751*5 + H751*(1/3) + I751*'Control PanelOur Matches'!$M$2 + J751*50)</f>
        <v/>
      </c>
      <c r="P751" s="59" t="str">
        <f t="shared" si="320"/>
        <v/>
      </c>
      <c r="Q751" s="60" t="str">
        <f t="shared" si="3"/>
        <v>no</v>
      </c>
      <c r="R751" s="60" t="str">
        <f t="shared" si="4"/>
        <v/>
      </c>
    </row>
    <row r="752" ht="15.0" customHeight="1">
      <c r="A752" s="49">
        <v>749.0</v>
      </c>
      <c r="B752" s="50">
        <v>125.0</v>
      </c>
      <c r="C752" s="52" t="s">
        <v>43</v>
      </c>
      <c r="D752" s="53" t="str">
        <f t="array" ref="D752">index('Match Sched'!$C$3:$H753,match(B752,'Match Sched'!$A$3:$A753,0),if(mod(A752,6)=0,6,mod(A752,6)),0)</f>
        <v>#N/A</v>
      </c>
      <c r="E752" s="54"/>
      <c r="F752" s="55"/>
      <c r="G752" s="54"/>
      <c r="H752" s="54"/>
      <c r="I752" s="54"/>
      <c r="J752" s="54"/>
      <c r="K752" s="54"/>
      <c r="L752" s="54"/>
      <c r="M752" s="60"/>
      <c r="N752" s="57" t="str">
        <f>N751</f>
        <v/>
      </c>
      <c r="O752" s="59" t="str">
        <f>if ( isblank (E752), E752, E752 + F752*'Control PanelOur Matches'!$K$2 + G752*5 + H752*(1/3) + I752*'Control PanelOur Matches'!$M$2 + J752*50)</f>
        <v/>
      </c>
      <c r="P752" s="59" t="str">
        <f t="shared" si="320"/>
        <v/>
      </c>
      <c r="Q752" s="60" t="str">
        <f t="shared" si="3"/>
        <v>no</v>
      </c>
      <c r="R752" s="60" t="str">
        <f t="shared" si="4"/>
        <v/>
      </c>
    </row>
    <row r="753" ht="15.0" customHeight="1">
      <c r="A753" s="49">
        <v>750.0</v>
      </c>
      <c r="B753" s="50">
        <v>125.0</v>
      </c>
      <c r="C753" s="52" t="s">
        <v>44</v>
      </c>
      <c r="D753" s="53" t="str">
        <f t="array" ref="D753">index('Match Sched'!$C$3:$H753,match(B753,'Match Sched'!$A$3:$A753,0),if(mod(A753,6)=0,6,mod(A753,6)),0)</f>
        <v>#N/A</v>
      </c>
      <c r="E753" s="54"/>
      <c r="F753" s="55"/>
      <c r="G753" s="54"/>
      <c r="H753" s="54"/>
      <c r="I753" s="54"/>
      <c r="J753" s="54"/>
      <c r="K753" s="54"/>
      <c r="L753" s="54"/>
      <c r="M753" s="60"/>
      <c r="N753" s="57" t="str">
        <f>N751</f>
        <v/>
      </c>
      <c r="O753" s="59" t="str">
        <f>if ( isblank (E753), E753, E753 + F753*'Control PanelOur Matches'!$K$2 + G753*5 + H753*(1/3) + I753*'Control PanelOur Matches'!$M$2 + J753*50)</f>
        <v/>
      </c>
      <c r="P753" s="59" t="str">
        <f t="shared" si="320"/>
        <v/>
      </c>
      <c r="Q753" s="60" t="str">
        <f t="shared" si="3"/>
        <v>no</v>
      </c>
      <c r="R753" s="60" t="str">
        <f t="shared" si="4"/>
        <v/>
      </c>
    </row>
  </sheetData>
  <mergeCells count="21">
    <mergeCell ref="F2:F3"/>
    <mergeCell ref="E2:E3"/>
    <mergeCell ref="C1:C3"/>
    <mergeCell ref="D1:D3"/>
    <mergeCell ref="B1:B3"/>
    <mergeCell ref="A1:A3"/>
    <mergeCell ref="F1:G1"/>
    <mergeCell ref="G2:G3"/>
    <mergeCell ref="L1:L3"/>
    <mergeCell ref="J2:J3"/>
    <mergeCell ref="I2:I3"/>
    <mergeCell ref="H2:H3"/>
    <mergeCell ref="K2:K3"/>
    <mergeCell ref="I1:K1"/>
    <mergeCell ref="M1:M3"/>
    <mergeCell ref="O1:O3"/>
    <mergeCell ref="N1:N3"/>
    <mergeCell ref="Q2:Q3"/>
    <mergeCell ref="R2:R3"/>
    <mergeCell ref="Q1:R1"/>
    <mergeCell ref="P1:P3"/>
  </mergeCells>
  <conditionalFormatting sqref="C4:C753">
    <cfRule type="containsText" dxfId="1" priority="1" operator="containsText" text="R">
      <formula>NOT(ISERROR(SEARCH(("R"),(C4))))</formula>
    </cfRule>
  </conditionalFormatting>
  <conditionalFormatting sqref="C4:C753">
    <cfRule type="containsText" dxfId="2" priority="2" operator="containsText" text="B">
      <formula>NOT(ISERROR(SEARCH(("B"),(C4))))</formula>
    </cfRule>
  </conditionalFormatting>
  <conditionalFormatting sqref="J4:J753">
    <cfRule type="cellIs" dxfId="3" priority="3" operator="greaterThan">
      <formula>1</formula>
    </cfRule>
  </conditionalFormatting>
  <conditionalFormatting sqref="K4:L753">
    <cfRule type="cellIs" dxfId="3" priority="4" operator="greaterThan">
      <formula>6</formula>
    </cfRule>
  </conditionalFormatting>
  <conditionalFormatting sqref="I4:I753">
    <cfRule type="cellIs" dxfId="4" priority="5" operator="between">
      <formula>6</formula>
      <formula>12</formula>
    </cfRule>
  </conditionalFormatting>
  <conditionalFormatting sqref="I4:I753">
    <cfRule type="cellIs" dxfId="3" priority="6" operator="greaterThan">
      <formula>12</formula>
    </cfRule>
  </conditionalFormatting>
  <conditionalFormatting sqref="H4:H753">
    <cfRule type="cellIs" dxfId="4" priority="7" operator="between">
      <formula>100</formula>
      <formula>500</formula>
    </cfRule>
  </conditionalFormatting>
  <conditionalFormatting sqref="H4:H753">
    <cfRule type="cellIs" dxfId="3" priority="8" operator="greaterThan">
      <formula>500</formula>
    </cfRule>
  </conditionalFormatting>
  <conditionalFormatting sqref="G4:G753">
    <cfRule type="cellIs" dxfId="3" priority="9" operator="greaterThan">
      <formula>1</formula>
    </cfRule>
  </conditionalFormatting>
  <conditionalFormatting sqref="F4:F753">
    <cfRule type="cellIs" dxfId="3" priority="10" operator="greaterThan">
      <formula>2</formula>
    </cfRule>
  </conditionalFormatting>
  <conditionalFormatting sqref="F4:F753">
    <cfRule type="cellIs" dxfId="4" priority="11" operator="equal">
      <formula>2</formula>
    </cfRule>
  </conditionalFormatting>
  <conditionalFormatting sqref="E4:E753">
    <cfRule type="cellIs" dxfId="4" priority="12" operator="between">
      <formula>11</formula>
      <formula>50</formula>
    </cfRule>
  </conditionalFormatting>
  <conditionalFormatting sqref="E4:E753">
    <cfRule type="cellIs" dxfId="3" priority="13" operator="greaterThan">
      <formula>50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3" width="8.71"/>
    <col customWidth="1" hidden="1" min="4" max="5" width="8.71"/>
    <col customWidth="1" min="6" max="8" width="8.71"/>
    <col customWidth="1" hidden="1" min="9" max="10" width="8.71"/>
    <col customWidth="1" min="11" max="23" width="8.71"/>
    <col customWidth="1" min="24" max="24" width="9.29"/>
  </cols>
  <sheetData>
    <row r="1" ht="15.75" customHeight="1">
      <c r="A1" s="3" t="s">
        <v>1</v>
      </c>
      <c r="B1" s="5" t="s">
        <v>3</v>
      </c>
      <c r="C1" s="7"/>
      <c r="D1" s="9" t="s">
        <v>5</v>
      </c>
      <c r="E1" s="7"/>
      <c r="F1" s="11" t="s">
        <v>7</v>
      </c>
      <c r="G1" s="12"/>
      <c r="H1" s="14" t="s">
        <v>8</v>
      </c>
      <c r="I1" s="9" t="s">
        <v>9</v>
      </c>
      <c r="J1" s="7"/>
      <c r="K1" s="5" t="s">
        <v>10</v>
      </c>
      <c r="L1" s="7"/>
      <c r="M1" s="14" t="s">
        <v>11</v>
      </c>
      <c r="N1" s="14" t="s">
        <v>12</v>
      </c>
      <c r="O1" s="18" t="s">
        <v>13</v>
      </c>
      <c r="P1" s="12"/>
      <c r="Q1" s="7"/>
      <c r="R1" s="20" t="s">
        <v>15</v>
      </c>
      <c r="S1" s="16"/>
      <c r="T1" s="16"/>
      <c r="U1" s="16"/>
      <c r="V1" s="16"/>
      <c r="W1" s="24"/>
      <c r="X1" s="26" t="s">
        <v>19</v>
      </c>
    </row>
    <row r="2" ht="15.0" customHeight="1">
      <c r="A2" s="28"/>
      <c r="B2" s="30" t="s">
        <v>22</v>
      </c>
      <c r="C2" s="30" t="s">
        <v>23</v>
      </c>
      <c r="D2" s="32" t="s">
        <v>22</v>
      </c>
      <c r="E2" s="32" t="s">
        <v>24</v>
      </c>
      <c r="F2" s="32" t="s">
        <v>22</v>
      </c>
      <c r="G2" s="32" t="s">
        <v>24</v>
      </c>
      <c r="H2" s="28"/>
      <c r="I2" s="32" t="s">
        <v>22</v>
      </c>
      <c r="J2" s="34" t="s">
        <v>24</v>
      </c>
      <c r="K2" s="30" t="s">
        <v>22</v>
      </c>
      <c r="L2" s="30" t="s">
        <v>24</v>
      </c>
      <c r="M2" s="28"/>
      <c r="N2" s="28"/>
      <c r="O2" s="36" t="s">
        <v>26</v>
      </c>
      <c r="P2" s="40" t="s">
        <v>27</v>
      </c>
      <c r="Q2" s="40" t="s">
        <v>29</v>
      </c>
      <c r="R2" s="32" t="s">
        <v>30</v>
      </c>
      <c r="S2" s="32" t="s">
        <v>31</v>
      </c>
      <c r="T2" s="32" t="s">
        <v>32</v>
      </c>
      <c r="U2" s="32" t="s">
        <v>33</v>
      </c>
      <c r="V2" s="32" t="s">
        <v>34</v>
      </c>
      <c r="W2" s="32" t="s">
        <v>35</v>
      </c>
      <c r="X2" s="28"/>
    </row>
    <row r="3" ht="15.0" customHeight="1">
      <c r="A3" s="42">
        <v>1323.0</v>
      </c>
      <c r="B3" s="48">
        <f>iferror((sumif('Raw Data'!$Q:$Q,$A3,'Raw Data'!P:P)/countif('Raw Data'!$Q:$Q,$A3))+R3+(T3/3),0)</f>
        <v>50.7755102</v>
      </c>
      <c r="C3" s="48">
        <f t="array" ref="C3">max(if('Raw Data'!$Q:$Q=$A3,'Raw Data'!$P:$P))</f>
        <v>73.57142857</v>
      </c>
      <c r="D3" s="58">
        <f>iferror(sumif('Raw Data'!$Q:$Q,$A3,'Raw Data'!E:E)/countif('Raw Data'!$Q:$Q,$A3),0)</f>
        <v>0</v>
      </c>
      <c r="E3" s="58">
        <f t="array" ref="E3">max(if('Raw Data'!$Q:$Q=$A3,'Raw Data'!$E:$E))</f>
        <v>0</v>
      </c>
      <c r="F3" s="58">
        <f>iferror(sumif('Raw Data'!$Q:$Q,$A3,'Raw Data'!F:F)/countif('Raw Data'!$Q:$Q,$A3),0)</f>
        <v>0</v>
      </c>
      <c r="G3" s="58">
        <f t="array" ref="G3">max(if('Raw Data'!$Q:$Q=$A3,'Raw Data'!$F:$F))</f>
        <v>0</v>
      </c>
      <c r="H3" s="58">
        <f>iferror(sumif('Raw Data'!$Q:$Q,$A3,'Raw Data'!G:G)/countif('Raw Data'!$Q:$Q,$A3),0)</f>
        <v>0.7142857143</v>
      </c>
      <c r="I3" s="58">
        <f>iferror(sumif('Raw Data'!$Q:$Q,$A3,'Raw Data'!H:H)/countif('Raw Data'!$Q:$Q,$A3),0)</f>
        <v>0</v>
      </c>
      <c r="J3" s="58">
        <f t="array" ref="J3">max(if('Raw Data'!$Q:$Q=$A3,'Raw Data'!$H:$H))</f>
        <v>0</v>
      </c>
      <c r="K3" s="48">
        <f>iferror(sumif('Raw Data'!$Q:$Q,$A3,'Raw Data'!I:I)/countif('Raw Data'!$Q:$Q,$A3),0)</f>
        <v>2.857142857</v>
      </c>
      <c r="L3" s="48">
        <f t="array" ref="L3">max(if('Raw Data'!$Q:$Q=$A3,'Raw Data'!$I:$I))</f>
        <v>4</v>
      </c>
      <c r="M3" s="58">
        <f>iferror(sumif('Raw Data'!$Q:$Q,$A3,'Raw Data'!J:J)/countif('Raw Data'!$Q:$Q,$A3),0)</f>
        <v>0</v>
      </c>
      <c r="N3" s="58">
        <f>iferror(sumif('Raw Data'!$Q:$Q,$A3,'Raw Data'!K:K)/countif('Raw Data'!$Q:$Q,$A3),0)</f>
        <v>0</v>
      </c>
      <c r="O3" s="64">
        <f>F3*'Control PanelOur Matches'!$K$2</f>
        <v>0</v>
      </c>
      <c r="P3" s="64">
        <f t="shared" ref="P3:P84" si="1">D3+I3*(1/3)</f>
        <v>0</v>
      </c>
      <c r="Q3" s="64">
        <f t="shared" ref="Q3:Q84" si="2">F3+K3</f>
        <v>2.857142857</v>
      </c>
      <c r="R3" s="58" t="str">
        <f>'Component OPR Dump'!F11</f>
        <v/>
      </c>
      <c r="S3" s="58" t="str">
        <f>'Component OPR Dump'!D11</f>
        <v/>
      </c>
      <c r="T3" s="58" t="str">
        <f>'Component OPR Dump'!I11</f>
        <v/>
      </c>
      <c r="U3" s="58" t="str">
        <f>'Component OPR Dump'!H11</f>
        <v/>
      </c>
      <c r="V3" s="58" t="str">
        <f>'Component OPR Dump'!G11</f>
        <v/>
      </c>
      <c r="W3" s="58" t="str">
        <f>'Component OPR Dump'!J11</f>
        <v/>
      </c>
      <c r="X3" s="48">
        <f>iferror(sumif('Raw Data'!$Q:$Q,$A3,'Raw Data'!L:L)/countif('Raw Data'!$Q:$Q,$A3), )</f>
        <v>0</v>
      </c>
    </row>
    <row r="4" ht="15.0" customHeight="1">
      <c r="A4" s="42">
        <v>973.0</v>
      </c>
      <c r="B4" s="48">
        <f>iferror((sumif('Raw Data'!$Q:$Q,$A4,'Raw Data'!P:P)/countif('Raw Data'!$Q:$Q,$A4))+R4+(T4/3),0)</f>
        <v>91.85714286</v>
      </c>
      <c r="C4" s="48">
        <f t="array" ref="C4">max(if('Raw Data'!$Q:$Q=$A4,'Raw Data'!$P:$P))</f>
        <v>119</v>
      </c>
      <c r="D4" s="58">
        <f>iferror(sumif('Raw Data'!$Q:$Q,$A4,'Raw Data'!E:E)/countif('Raw Data'!$Q:$Q,$A4),0)</f>
        <v>0</v>
      </c>
      <c r="E4" s="58">
        <f t="array" ref="E4">max(if('Raw Data'!$Q:$Q=$A4,'Raw Data'!$E:$E))</f>
        <v>0</v>
      </c>
      <c r="F4" s="58">
        <f>iferror(sumif('Raw Data'!$Q:$Q,$A4,'Raw Data'!F:F)/countif('Raw Data'!$Q:$Q,$A4),0)</f>
        <v>0</v>
      </c>
      <c r="G4" s="58">
        <f t="array" ref="G4">max(if('Raw Data'!$Q:$Q=$A4,'Raw Data'!$F:$F))</f>
        <v>0</v>
      </c>
      <c r="H4" s="58">
        <f>iferror(sumif('Raw Data'!$Q:$Q,$A4,'Raw Data'!G:G)/countif('Raw Data'!$Q:$Q,$A4),0)</f>
        <v>0.6666666667</v>
      </c>
      <c r="I4" s="58">
        <f>iferror(sumif('Raw Data'!$Q:$Q,$A4,'Raw Data'!H:H)/countif('Raw Data'!$Q:$Q,$A4),0)</f>
        <v>0</v>
      </c>
      <c r="J4" s="58">
        <f t="array" ref="J4">max(if('Raw Data'!$Q:$Q=$A4,'Raw Data'!$H:$H))</f>
        <v>0</v>
      </c>
      <c r="K4" s="48">
        <f>iferror(sumif('Raw Data'!$Q:$Q,$A4,'Raw Data'!I:I)/countif('Raw Data'!$Q:$Q,$A4),0)</f>
        <v>2.833333333</v>
      </c>
      <c r="L4" s="48">
        <f t="array" ref="L4">max(if('Raw Data'!$Q:$Q=$A4,'Raw Data'!$I:$I))</f>
        <v>4</v>
      </c>
      <c r="M4" s="58">
        <f>iferror(sumif('Raw Data'!$Q:$Q,$A4,'Raw Data'!J:J)/countif('Raw Data'!$Q:$Q,$A4),0)</f>
        <v>0.8333333333</v>
      </c>
      <c r="N4" s="58">
        <f>iferror(sumif('Raw Data'!$Q:$Q,$A4,'Raw Data'!K:K)/countif('Raw Data'!$Q:$Q,$A4),0)</f>
        <v>0</v>
      </c>
      <c r="O4" s="64">
        <f>F4*'Control PanelOur Matches'!$K$2</f>
        <v>0</v>
      </c>
      <c r="P4" s="64">
        <f t="shared" si="1"/>
        <v>0</v>
      </c>
      <c r="Q4" s="64">
        <f t="shared" si="2"/>
        <v>2.833333333</v>
      </c>
      <c r="R4" s="58" t="str">
        <f>'Component OPR Dump'!F8</f>
        <v/>
      </c>
      <c r="S4" s="58" t="str">
        <f>'Component OPR Dump'!D8</f>
        <v/>
      </c>
      <c r="T4" s="58" t="str">
        <f>'Component OPR Dump'!I8</f>
        <v/>
      </c>
      <c r="U4" s="58" t="str">
        <f>'Component OPR Dump'!H8</f>
        <v/>
      </c>
      <c r="V4" s="58" t="str">
        <f>'Component OPR Dump'!G8</f>
        <v/>
      </c>
      <c r="W4" s="58" t="str">
        <f>'Component OPR Dump'!J8</f>
        <v/>
      </c>
      <c r="X4" s="48">
        <f>iferror(sumif('Raw Data'!$Q:$Q,$A4,'Raw Data'!L:L)/countif('Raw Data'!$Q:$Q,$A4), )</f>
        <v>0</v>
      </c>
    </row>
    <row r="5" ht="15.0" customHeight="1">
      <c r="A5" s="42">
        <v>751.0</v>
      </c>
      <c r="B5" s="48">
        <f>iferror((sumif('Raw Data'!$Q:$Q,$A5,'Raw Data'!P:P)/countif('Raw Data'!$Q:$Q,$A5))+R5+(T5/3),0)</f>
        <v>91.8968254</v>
      </c>
      <c r="C5" s="48">
        <f t="array" ref="C5">max(if('Raw Data'!$Q:$Q=$A5,'Raw Data'!$P:$P))</f>
        <v>147</v>
      </c>
      <c r="D5" s="58">
        <f>iferror(sumif('Raw Data'!$Q:$Q,$A5,'Raw Data'!E:E)/countif('Raw Data'!$Q:$Q,$A5),0)</f>
        <v>0</v>
      </c>
      <c r="E5" s="58">
        <f t="array" ref="E5">max(if('Raw Data'!$Q:$Q=$A5,'Raw Data'!$E:$E))</f>
        <v>0</v>
      </c>
      <c r="F5" s="58">
        <f>iferror(sumif('Raw Data'!$Q:$Q,$A5,'Raw Data'!F:F)/countif('Raw Data'!$Q:$Q,$A5),0)</f>
        <v>0.1666666667</v>
      </c>
      <c r="G5" s="58">
        <f t="array" ref="G5">max(if('Raw Data'!$Q:$Q=$A5,'Raw Data'!$F:$F))</f>
        <v>1</v>
      </c>
      <c r="H5" s="58">
        <f>iferror(sumif('Raw Data'!$Q:$Q,$A5,'Raw Data'!G:G)/countif('Raw Data'!$Q:$Q,$A5),0)</f>
        <v>0.8333333333</v>
      </c>
      <c r="I5" s="58">
        <f>iferror(sumif('Raw Data'!$Q:$Q,$A5,'Raw Data'!H:H)/countif('Raw Data'!$Q:$Q,$A5),0)</f>
        <v>0</v>
      </c>
      <c r="J5" s="58">
        <f t="array" ref="J5">max(if('Raw Data'!$Q:$Q=$A5,'Raw Data'!$H:$H))</f>
        <v>0</v>
      </c>
      <c r="K5" s="48">
        <f>iferror(sumif('Raw Data'!$Q:$Q,$A5,'Raw Data'!I:I)/countif('Raw Data'!$Q:$Q,$A5),0)</f>
        <v>2.666666667</v>
      </c>
      <c r="L5" s="48">
        <f t="array" ref="L5">max(if('Raw Data'!$Q:$Q=$A5,'Raw Data'!$I:$I))</f>
        <v>4</v>
      </c>
      <c r="M5" s="58">
        <f>iferror(sumif('Raw Data'!$Q:$Q,$A5,'Raw Data'!J:J)/countif('Raw Data'!$Q:$Q,$A5),0)</f>
        <v>0.8333333333</v>
      </c>
      <c r="N5" s="58">
        <f>iferror(sumif('Raw Data'!$Q:$Q,$A5,'Raw Data'!K:K)/countif('Raw Data'!$Q:$Q,$A5),0)</f>
        <v>0</v>
      </c>
      <c r="O5" s="64">
        <f>F5*'Control PanelOur Matches'!$K$2</f>
        <v>10</v>
      </c>
      <c r="P5" s="64">
        <f t="shared" si="1"/>
        <v>0</v>
      </c>
      <c r="Q5" s="64">
        <f t="shared" si="2"/>
        <v>2.833333333</v>
      </c>
      <c r="R5" s="58" t="str">
        <f>'Component OPR Dump'!F5</f>
        <v/>
      </c>
      <c r="S5" s="58" t="str">
        <f>'Component OPR Dump'!D5</f>
        <v/>
      </c>
      <c r="T5" s="58" t="str">
        <f>'Component OPR Dump'!I5</f>
        <v/>
      </c>
      <c r="U5" s="58" t="str">
        <f>'Component OPR Dump'!H5</f>
        <v/>
      </c>
      <c r="V5" s="58" t="str">
        <f>'Component OPR Dump'!G5</f>
        <v/>
      </c>
      <c r="W5" s="58" t="str">
        <f>'Component OPR Dump'!J5</f>
        <v/>
      </c>
      <c r="X5" s="48">
        <f>iferror(sumif('Raw Data'!$Q:$Q,$A5,'Raw Data'!L:L)/countif('Raw Data'!$Q:$Q,$A5), )</f>
        <v>0</v>
      </c>
    </row>
    <row r="6" ht="15.0" customHeight="1">
      <c r="A6" s="70">
        <v>4643.0</v>
      </c>
      <c r="B6" s="48">
        <f>iferror((sumif('Raw Data'!$Q:$Q,$A6,'Raw Data'!P:P)/countif('Raw Data'!$Q:$Q,$A6))+R6+(T6/3),0)</f>
        <v>42.76190476</v>
      </c>
      <c r="C6" s="48">
        <f t="array" ref="C6">max(if('Raw Data'!$Q:$Q=$A6,'Raw Data'!$P:$P))</f>
        <v>73.57142857</v>
      </c>
      <c r="D6" s="58">
        <f>iferror(sumif('Raw Data'!$Q:$Q,$A6,'Raw Data'!E:E)/countif('Raw Data'!$Q:$Q,$A6),0)</f>
        <v>0</v>
      </c>
      <c r="E6" s="58">
        <f t="array" ref="E6">max(if('Raw Data'!$Q:$Q=$A6,'Raw Data'!$E:$E))</f>
        <v>0</v>
      </c>
      <c r="F6" s="58">
        <f>iferror(sumif('Raw Data'!$Q:$Q,$A6,'Raw Data'!F:F)/countif('Raw Data'!$Q:$Q,$A6),0)</f>
        <v>0</v>
      </c>
      <c r="G6" s="58">
        <f t="array" ref="G6">max(if('Raw Data'!$Q:$Q=$A6,'Raw Data'!$F:$F))</f>
        <v>0</v>
      </c>
      <c r="H6" s="58">
        <f>iferror(sumif('Raw Data'!$Q:$Q,$A6,'Raw Data'!G:G)/countif('Raw Data'!$Q:$Q,$A6),0)</f>
        <v>1</v>
      </c>
      <c r="I6" s="58">
        <f>iferror(sumif('Raw Data'!$Q:$Q,$A6,'Raw Data'!H:H)/countif('Raw Data'!$Q:$Q,$A6),0)</f>
        <v>0</v>
      </c>
      <c r="J6" s="58">
        <f t="array" ref="J6">max(if('Raw Data'!$Q:$Q=$A6,'Raw Data'!$H:$H))</f>
        <v>0</v>
      </c>
      <c r="K6" s="48">
        <f>iferror(sumif('Raw Data'!$Q:$Q,$A6,'Raw Data'!I:I)/countif('Raw Data'!$Q:$Q,$A6),0)</f>
        <v>2.166666667</v>
      </c>
      <c r="L6" s="48">
        <f t="array" ref="L6">max(if('Raw Data'!$Q:$Q=$A6,'Raw Data'!$I:$I))</f>
        <v>4</v>
      </c>
      <c r="M6" s="58">
        <f>iferror(sumif('Raw Data'!$Q:$Q,$A6,'Raw Data'!J:J)/countif('Raw Data'!$Q:$Q,$A6),0)</f>
        <v>0</v>
      </c>
      <c r="N6" s="58">
        <f>iferror(sumif('Raw Data'!$Q:$Q,$A6,'Raw Data'!K:K)/countif('Raw Data'!$Q:$Q,$A6),0)</f>
        <v>0</v>
      </c>
      <c r="O6" s="64">
        <f>F6*'Control PanelOur Matches'!$K$2</f>
        <v>0</v>
      </c>
      <c r="P6" s="64">
        <f t="shared" si="1"/>
        <v>0</v>
      </c>
      <c r="Q6" s="64">
        <f t="shared" si="2"/>
        <v>2.166666667</v>
      </c>
      <c r="R6" s="58" t="str">
        <f>'Component OPR Dump'!F36</f>
        <v/>
      </c>
      <c r="S6" s="58" t="str">
        <f>'Component OPR Dump'!D36</f>
        <v/>
      </c>
      <c r="T6" s="58" t="str">
        <f>'Component OPR Dump'!I36</f>
        <v/>
      </c>
      <c r="U6" s="58" t="str">
        <f>'Component OPR Dump'!H36</f>
        <v/>
      </c>
      <c r="V6" s="58" t="str">
        <f>'Component OPR Dump'!G36</f>
        <v/>
      </c>
      <c r="W6" s="58" t="str">
        <f>'Component OPR Dump'!J36</f>
        <v/>
      </c>
      <c r="X6" s="48">
        <f>iferror(sumif('Raw Data'!$Q:$Q,$A6,'Raw Data'!L:L)/countif('Raw Data'!$Q:$Q,$A6), )</f>
        <v>0</v>
      </c>
    </row>
    <row r="7" ht="15.0" customHeight="1">
      <c r="A7" s="70">
        <v>4415.0</v>
      </c>
      <c r="B7" s="48">
        <f>iferror((sumif('Raw Data'!$Q:$Q,$A7,'Raw Data'!P:P)/countif('Raw Data'!$Q:$Q,$A7))+R7+(T7/3),0)</f>
        <v>96.63265306</v>
      </c>
      <c r="C7" s="48">
        <f t="array" ref="C7">max(if('Raw Data'!$Q:$Q=$A7,'Raw Data'!$P:$P))</f>
        <v>149.2857143</v>
      </c>
      <c r="D7" s="58">
        <f>iferror(sumif('Raw Data'!$Q:$Q,$A7,'Raw Data'!E:E)/countif('Raw Data'!$Q:$Q,$A7),0)</f>
        <v>0</v>
      </c>
      <c r="E7" s="58">
        <f t="array" ref="E7">max(if('Raw Data'!$Q:$Q=$A7,'Raw Data'!$E:$E))</f>
        <v>0</v>
      </c>
      <c r="F7" s="58">
        <f>iferror(sumif('Raw Data'!$Q:$Q,$A7,'Raw Data'!F:F)/countif('Raw Data'!$Q:$Q,$A7),0)</f>
        <v>0.4285714286</v>
      </c>
      <c r="G7" s="58">
        <f t="array" ref="G7">max(if('Raw Data'!$Q:$Q=$A7,'Raw Data'!$F:$F))</f>
        <v>1</v>
      </c>
      <c r="H7" s="58">
        <f>iferror(sumif('Raw Data'!$Q:$Q,$A7,'Raw Data'!G:G)/countif('Raw Data'!$Q:$Q,$A7),0)</f>
        <v>0.8571428571</v>
      </c>
      <c r="I7" s="58">
        <f>iferror(sumif('Raw Data'!$Q:$Q,$A7,'Raw Data'!H:H)/countif('Raw Data'!$Q:$Q,$A7),0)</f>
        <v>0</v>
      </c>
      <c r="J7" s="58">
        <f t="array" ref="J7">max(if('Raw Data'!$Q:$Q=$A7,'Raw Data'!$H:$H))</f>
        <v>0</v>
      </c>
      <c r="K7" s="48">
        <f>iferror(sumif('Raw Data'!$Q:$Q,$A7,'Raw Data'!I:I)/countif('Raw Data'!$Q:$Q,$A7),0)</f>
        <v>2.142857143</v>
      </c>
      <c r="L7" s="48">
        <f t="array" ref="L7">max(if('Raw Data'!$Q:$Q=$A7,'Raw Data'!$I:$I))</f>
        <v>3</v>
      </c>
      <c r="M7" s="58">
        <f>iferror(sumif('Raw Data'!$Q:$Q,$A7,'Raw Data'!J:J)/countif('Raw Data'!$Q:$Q,$A7),0)</f>
        <v>0.7142857143</v>
      </c>
      <c r="N7" s="58">
        <f>iferror(sumif('Raw Data'!$Q:$Q,$A7,'Raw Data'!K:K)/countif('Raw Data'!$Q:$Q,$A7),0)</f>
        <v>0</v>
      </c>
      <c r="O7" s="64">
        <f>F7*'Control PanelOur Matches'!$K$2</f>
        <v>25.71428571</v>
      </c>
      <c r="P7" s="64">
        <f t="shared" si="1"/>
        <v>0</v>
      </c>
      <c r="Q7" s="64">
        <f t="shared" si="2"/>
        <v>2.571428571</v>
      </c>
      <c r="R7" s="58" t="str">
        <f>'Component OPR Dump'!F34</f>
        <v/>
      </c>
      <c r="S7" s="58" t="str">
        <f>'Component OPR Dump'!D34</f>
        <v/>
      </c>
      <c r="T7" s="58" t="str">
        <f>'Component OPR Dump'!I34</f>
        <v/>
      </c>
      <c r="U7" s="58" t="str">
        <f>'Component OPR Dump'!H34</f>
        <v/>
      </c>
      <c r="V7" s="58" t="str">
        <f>'Component OPR Dump'!G34</f>
        <v/>
      </c>
      <c r="W7" s="58" t="str">
        <f>'Component OPR Dump'!J34</f>
        <v/>
      </c>
      <c r="X7" s="48">
        <f>iferror(sumif('Raw Data'!$Q:$Q,$A7,'Raw Data'!L:L)/countif('Raw Data'!$Q:$Q,$A7), )</f>
        <v>0</v>
      </c>
    </row>
    <row r="8" ht="15.0" customHeight="1">
      <c r="A8" s="70">
        <v>4276.0</v>
      </c>
      <c r="B8" s="48">
        <f>iferror((sumif('Raw Data'!$Q:$Q,$A8,'Raw Data'!P:P)/countif('Raw Data'!$Q:$Q,$A8))+R8+(T8/3),0)</f>
        <v>66.22222222</v>
      </c>
      <c r="C8" s="48">
        <f t="array" ref="C8">max(if('Raw Data'!$Q:$Q=$A8,'Raw Data'!$P:$P))</f>
        <v>115</v>
      </c>
      <c r="D8" s="58">
        <f>iferror(sumif('Raw Data'!$Q:$Q,$A8,'Raw Data'!E:E)/countif('Raw Data'!$Q:$Q,$A8),0)</f>
        <v>0</v>
      </c>
      <c r="E8" s="58">
        <f t="array" ref="E8">max(if('Raw Data'!$Q:$Q=$A8,'Raw Data'!$E:$E))</f>
        <v>0</v>
      </c>
      <c r="F8" s="58">
        <f>iferror(sumif('Raw Data'!$Q:$Q,$A8,'Raw Data'!F:F)/countif('Raw Data'!$Q:$Q,$A8),0)</f>
        <v>0.1666666667</v>
      </c>
      <c r="G8" s="58">
        <f t="array" ref="G8">max(if('Raw Data'!$Q:$Q=$A8,'Raw Data'!$F:$F))</f>
        <v>1</v>
      </c>
      <c r="H8" s="58">
        <f>iferror(sumif('Raw Data'!$Q:$Q,$A8,'Raw Data'!G:G)/countif('Raw Data'!$Q:$Q,$A8),0)</f>
        <v>1</v>
      </c>
      <c r="I8" s="58">
        <f>iferror(sumif('Raw Data'!$Q:$Q,$A8,'Raw Data'!H:H)/countif('Raw Data'!$Q:$Q,$A8),0)</f>
        <v>0</v>
      </c>
      <c r="J8" s="58">
        <f t="array" ref="J8">max(if('Raw Data'!$Q:$Q=$A8,'Raw Data'!$H:$H))</f>
        <v>0</v>
      </c>
      <c r="K8" s="48">
        <f>iferror(sumif('Raw Data'!$Q:$Q,$A8,'Raw Data'!I:I)/countif('Raw Data'!$Q:$Q,$A8),0)</f>
        <v>2</v>
      </c>
      <c r="L8" s="48">
        <f t="array" ref="L8">max(if('Raw Data'!$Q:$Q=$A8,'Raw Data'!$I:$I))</f>
        <v>4</v>
      </c>
      <c r="M8" s="58">
        <f>iferror(sumif('Raw Data'!$Q:$Q,$A8,'Raw Data'!J:J)/countif('Raw Data'!$Q:$Q,$A8),0)</f>
        <v>0.5</v>
      </c>
      <c r="N8" s="58">
        <f>iferror(sumif('Raw Data'!$Q:$Q,$A8,'Raw Data'!K:K)/countif('Raw Data'!$Q:$Q,$A8),0)</f>
        <v>0</v>
      </c>
      <c r="O8" s="64">
        <f>F8*'Control PanelOur Matches'!$K$2</f>
        <v>10</v>
      </c>
      <c r="P8" s="64">
        <f t="shared" si="1"/>
        <v>0</v>
      </c>
      <c r="Q8" s="64">
        <f t="shared" si="2"/>
        <v>2.166666667</v>
      </c>
      <c r="R8" s="58" t="str">
        <f>'Component OPR Dump'!F33</f>
        <v/>
      </c>
      <c r="S8" s="58" t="str">
        <f>'Component OPR Dump'!D33</f>
        <v/>
      </c>
      <c r="T8" s="58" t="str">
        <f>'Component OPR Dump'!I33</f>
        <v/>
      </c>
      <c r="U8" s="58" t="str">
        <f>'Component OPR Dump'!H33</f>
        <v/>
      </c>
      <c r="V8" s="58" t="str">
        <f>'Component OPR Dump'!G33</f>
        <v/>
      </c>
      <c r="W8" s="58" t="str">
        <f>'Component OPR Dump'!J33</f>
        <v/>
      </c>
      <c r="X8" s="48">
        <f>iferror(sumif('Raw Data'!$Q:$Q,$A8,'Raw Data'!L:L)/countif('Raw Data'!$Q:$Q,$A8), )</f>
        <v>0</v>
      </c>
    </row>
    <row r="9" ht="15.0" customHeight="1">
      <c r="A9" s="70">
        <v>5817.0</v>
      </c>
      <c r="B9" s="48">
        <f>iferror((sumif('Raw Data'!$Q:$Q,$A9,'Raw Data'!P:P)/countif('Raw Data'!$Q:$Q,$A9))+R9+(T9/3),0)</f>
        <v>72.21768707</v>
      </c>
      <c r="C9" s="48">
        <f t="array" ref="C9">max(if('Raw Data'!$Q:$Q=$A9,'Raw Data'!$P:$P))</f>
        <v>110</v>
      </c>
      <c r="D9" s="58">
        <f>iferror(sumif('Raw Data'!$Q:$Q,$A9,'Raw Data'!E:E)/countif('Raw Data'!$Q:$Q,$A9),0)</f>
        <v>0</v>
      </c>
      <c r="E9" s="58">
        <f t="array" ref="E9">max(if('Raw Data'!$Q:$Q=$A9,'Raw Data'!$E:$E))</f>
        <v>0</v>
      </c>
      <c r="F9" s="58">
        <f>iferror(sumif('Raw Data'!$Q:$Q,$A9,'Raw Data'!F:F)/countif('Raw Data'!$Q:$Q,$A9),0)</f>
        <v>0.1428571429</v>
      </c>
      <c r="G9" s="58">
        <f t="array" ref="G9">max(if('Raw Data'!$Q:$Q=$A9,'Raw Data'!$F:$F))</f>
        <v>1</v>
      </c>
      <c r="H9" s="58">
        <f>iferror(sumif('Raw Data'!$Q:$Q,$A9,'Raw Data'!G:G)/countif('Raw Data'!$Q:$Q,$A9),0)</f>
        <v>0.5714285714</v>
      </c>
      <c r="I9" s="58">
        <f>iferror(sumif('Raw Data'!$Q:$Q,$A9,'Raw Data'!H:H)/countif('Raw Data'!$Q:$Q,$A9),0)</f>
        <v>0</v>
      </c>
      <c r="J9" s="58">
        <f t="array" ref="J9">max(if('Raw Data'!$Q:$Q=$A9,'Raw Data'!$H:$H))</f>
        <v>0</v>
      </c>
      <c r="K9" s="48">
        <f>iferror(sumif('Raw Data'!$Q:$Q,$A9,'Raw Data'!I:I)/countif('Raw Data'!$Q:$Q,$A9),0)</f>
        <v>1.857142857</v>
      </c>
      <c r="L9" s="48">
        <f t="array" ref="L9">max(if('Raw Data'!$Q:$Q=$A9,'Raw Data'!$I:$I))</f>
        <v>3</v>
      </c>
      <c r="M9" s="58">
        <f>iferror(sumif('Raw Data'!$Q:$Q,$A9,'Raw Data'!J:J)/countif('Raw Data'!$Q:$Q,$A9),0)</f>
        <v>0.7142857143</v>
      </c>
      <c r="N9" s="58">
        <f>iferror(sumif('Raw Data'!$Q:$Q,$A9,'Raw Data'!K:K)/countif('Raw Data'!$Q:$Q,$A9),0)</f>
        <v>0.1428571429</v>
      </c>
      <c r="O9" s="64">
        <f>F9*'Control PanelOur Matches'!$K$2</f>
        <v>8.571428571</v>
      </c>
      <c r="P9" s="64">
        <f t="shared" si="1"/>
        <v>0</v>
      </c>
      <c r="Q9" s="64">
        <f t="shared" si="2"/>
        <v>2</v>
      </c>
      <c r="R9" s="58" t="str">
        <f>'Component OPR Dump'!F40</f>
        <v/>
      </c>
      <c r="S9" s="58" t="str">
        <f>'Component OPR Dump'!D40</f>
        <v/>
      </c>
      <c r="T9" s="58" t="str">
        <f>'Component OPR Dump'!I40</f>
        <v/>
      </c>
      <c r="U9" s="58" t="str">
        <f>'Component OPR Dump'!H40</f>
        <v/>
      </c>
      <c r="V9" s="58" t="str">
        <f>'Component OPR Dump'!G40</f>
        <v/>
      </c>
      <c r="W9" s="58" t="str">
        <f>'Component OPR Dump'!J40</f>
        <v/>
      </c>
      <c r="X9" s="48">
        <f>iferror(sumif('Raw Data'!$Q:$Q,$A9,'Raw Data'!L:L)/countif('Raw Data'!$Q:$Q,$A9), )</f>
        <v>0</v>
      </c>
    </row>
    <row r="10" ht="15.0" customHeight="1">
      <c r="A10" s="42">
        <v>1678.0</v>
      </c>
      <c r="B10" s="48">
        <f>iferror((sumif('Raw Data'!$Q:$Q,$A10,'Raw Data'!P:P)/countif('Raw Data'!$Q:$Q,$A10))+R10+(T10/3),0)</f>
        <v>60.65873016</v>
      </c>
      <c r="C10" s="48">
        <f t="array" ref="C10">max(if('Raw Data'!$Q:$Q=$A10,'Raw Data'!$P:$P))</f>
        <v>95</v>
      </c>
      <c r="D10" s="58">
        <f>iferror(sumif('Raw Data'!$Q:$Q,$A10,'Raw Data'!E:E)/countif('Raw Data'!$Q:$Q,$A10),0)</f>
        <v>0</v>
      </c>
      <c r="E10" s="58">
        <f t="array" ref="E10">max(if('Raw Data'!$Q:$Q=$A10,'Raw Data'!$E:$E))</f>
        <v>0</v>
      </c>
      <c r="F10" s="58">
        <f>iferror(sumif('Raw Data'!$Q:$Q,$A10,'Raw Data'!F:F)/countif('Raw Data'!$Q:$Q,$A10),0)</f>
        <v>0</v>
      </c>
      <c r="G10" s="58">
        <f t="array" ref="G10">max(if('Raw Data'!$Q:$Q=$A10,'Raw Data'!$F:$F))</f>
        <v>0</v>
      </c>
      <c r="H10" s="58">
        <f>iferror(sumif('Raw Data'!$Q:$Q,$A10,'Raw Data'!G:G)/countif('Raw Data'!$Q:$Q,$A10),0)</f>
        <v>0.8333333333</v>
      </c>
      <c r="I10" s="58">
        <f>iferror(sumif('Raw Data'!$Q:$Q,$A10,'Raw Data'!H:H)/countif('Raw Data'!$Q:$Q,$A10),0)</f>
        <v>0</v>
      </c>
      <c r="J10" s="58">
        <f t="array" ref="J10">max(if('Raw Data'!$Q:$Q=$A10,'Raw Data'!$H:$H))</f>
        <v>0</v>
      </c>
      <c r="K10" s="48">
        <f>iferror(sumif('Raw Data'!$Q:$Q,$A10,'Raw Data'!I:I)/countif('Raw Data'!$Q:$Q,$A10),0)</f>
        <v>1.833333333</v>
      </c>
      <c r="L10" s="48">
        <f t="array" ref="L10">max(if('Raw Data'!$Q:$Q=$A10,'Raw Data'!$I:$I))</f>
        <v>3</v>
      </c>
      <c r="M10" s="58">
        <f>iferror(sumif('Raw Data'!$Q:$Q,$A10,'Raw Data'!J:J)/countif('Raw Data'!$Q:$Q,$A10),0)</f>
        <v>0.5</v>
      </c>
      <c r="N10" s="58">
        <f>iferror(sumif('Raw Data'!$Q:$Q,$A10,'Raw Data'!K:K)/countif('Raw Data'!$Q:$Q,$A10),0)</f>
        <v>0</v>
      </c>
      <c r="O10" s="64">
        <f>F10*'Control PanelOur Matches'!$K$2</f>
        <v>0</v>
      </c>
      <c r="P10" s="64">
        <f t="shared" si="1"/>
        <v>0</v>
      </c>
      <c r="Q10" s="64">
        <f t="shared" si="2"/>
        <v>1.833333333</v>
      </c>
      <c r="R10" s="58" t="str">
        <f>'Component OPR Dump'!F16</f>
        <v/>
      </c>
      <c r="S10" s="58" t="str">
        <f>'Component OPR Dump'!D16</f>
        <v/>
      </c>
      <c r="T10" s="58" t="str">
        <f>'Component OPR Dump'!I16</f>
        <v/>
      </c>
      <c r="U10" s="58" t="str">
        <f>'Component OPR Dump'!H16</f>
        <v/>
      </c>
      <c r="V10" s="58" t="str">
        <f>'Component OPR Dump'!G16</f>
        <v/>
      </c>
      <c r="W10" s="58" t="str">
        <f>'Component OPR Dump'!J16</f>
        <v/>
      </c>
      <c r="X10" s="48">
        <f>iferror(sumif('Raw Data'!$Q:$Q,$A10,'Raw Data'!L:L)/countif('Raw Data'!$Q:$Q,$A10), )</f>
        <v>0</v>
      </c>
    </row>
    <row r="11" ht="15.0" customHeight="1">
      <c r="A11" s="70">
        <v>4543.0</v>
      </c>
      <c r="B11" s="48">
        <f>iferror((sumif('Raw Data'!$Q:$Q,$A11,'Raw Data'!P:P)/countif('Raw Data'!$Q:$Q,$A11))+R11+(T11/3),0)</f>
        <v>53.72789116</v>
      </c>
      <c r="C11" s="48">
        <f t="array" ref="C11">max(if('Raw Data'!$Q:$Q=$A11,'Raw Data'!$P:$P))</f>
        <v>123.5714286</v>
      </c>
      <c r="D11" s="58">
        <f>iferror(sumif('Raw Data'!$Q:$Q,$A11,'Raw Data'!E:E)/countif('Raw Data'!$Q:$Q,$A11),0)</f>
        <v>0</v>
      </c>
      <c r="E11" s="58">
        <f t="array" ref="E11">max(if('Raw Data'!$Q:$Q=$A11,'Raw Data'!$E:$E))</f>
        <v>0</v>
      </c>
      <c r="F11" s="58">
        <f>iferror(sumif('Raw Data'!$Q:$Q,$A11,'Raw Data'!F:F)/countif('Raw Data'!$Q:$Q,$A11),0)</f>
        <v>0</v>
      </c>
      <c r="G11" s="58">
        <f t="array" ref="G11">max(if('Raw Data'!$Q:$Q=$A11,'Raw Data'!$F:$F))</f>
        <v>0</v>
      </c>
      <c r="H11" s="58">
        <f>iferror(sumif('Raw Data'!$Q:$Q,$A11,'Raw Data'!G:G)/countif('Raw Data'!$Q:$Q,$A11),0)</f>
        <v>0.5714285714</v>
      </c>
      <c r="I11" s="58">
        <f>iferror(sumif('Raw Data'!$Q:$Q,$A11,'Raw Data'!H:H)/countif('Raw Data'!$Q:$Q,$A11),0)</f>
        <v>0</v>
      </c>
      <c r="J11" s="58">
        <f t="array" ref="J11">max(if('Raw Data'!$Q:$Q=$A11,'Raw Data'!$H:$H))</f>
        <v>0</v>
      </c>
      <c r="K11" s="48">
        <f>iferror(sumif('Raw Data'!$Q:$Q,$A11,'Raw Data'!I:I)/countif('Raw Data'!$Q:$Q,$A11),0)</f>
        <v>1.714285714</v>
      </c>
      <c r="L11" s="48">
        <f t="array" ref="L11">max(if('Raw Data'!$Q:$Q=$A11,'Raw Data'!$I:$I))</f>
        <v>4</v>
      </c>
      <c r="M11" s="58">
        <f>iferror(sumif('Raw Data'!$Q:$Q,$A11,'Raw Data'!J:J)/countif('Raw Data'!$Q:$Q,$A11),0)</f>
        <v>0.4285714286</v>
      </c>
      <c r="N11" s="58">
        <f>iferror(sumif('Raw Data'!$Q:$Q,$A11,'Raw Data'!K:K)/countif('Raw Data'!$Q:$Q,$A11),0)</f>
        <v>0</v>
      </c>
      <c r="O11" s="64">
        <f>F11*'Control PanelOur Matches'!$K$2</f>
        <v>0</v>
      </c>
      <c r="P11" s="64">
        <f t="shared" si="1"/>
        <v>0</v>
      </c>
      <c r="Q11" s="64">
        <f t="shared" si="2"/>
        <v>1.714285714</v>
      </c>
      <c r="R11" s="58" t="str">
        <f>'Component OPR Dump'!F35</f>
        <v/>
      </c>
      <c r="S11" s="58" t="str">
        <f>'Component OPR Dump'!D35</f>
        <v/>
      </c>
      <c r="T11" s="58" t="str">
        <f>'Component OPR Dump'!I35</f>
        <v/>
      </c>
      <c r="U11" s="58" t="str">
        <f>'Component OPR Dump'!H35</f>
        <v/>
      </c>
      <c r="V11" s="58" t="str">
        <f>'Component OPR Dump'!G35</f>
        <v/>
      </c>
      <c r="W11" s="58" t="str">
        <f>'Component OPR Dump'!J35</f>
        <v/>
      </c>
      <c r="X11" s="48">
        <f>iferror(sumif('Raw Data'!$Q:$Q,$A11,'Raw Data'!L:L)/countif('Raw Data'!$Q:$Q,$A11), )</f>
        <v>0</v>
      </c>
    </row>
    <row r="12" ht="15.0" customHeight="1">
      <c r="A12" s="42">
        <v>2135.0</v>
      </c>
      <c r="B12" s="48">
        <f>iferror((sumif('Raw Data'!$Q:$Q,$A12,'Raw Data'!P:P)/countif('Raw Data'!$Q:$Q,$A12))+R12+(T12/3),0)</f>
        <v>63.94444444</v>
      </c>
      <c r="C12" s="48">
        <f t="array" ref="C12">max(if('Raw Data'!$Q:$Q=$A12,'Raw Data'!$P:$P))</f>
        <v>82</v>
      </c>
      <c r="D12" s="58">
        <f>iferror(sumif('Raw Data'!$Q:$Q,$A12,'Raw Data'!E:E)/countif('Raw Data'!$Q:$Q,$A12),0)</f>
        <v>0</v>
      </c>
      <c r="E12" s="58">
        <f t="array" ref="E12">max(if('Raw Data'!$Q:$Q=$A12,'Raw Data'!$E:$E))</f>
        <v>0</v>
      </c>
      <c r="F12" s="58">
        <f>iferror(sumif('Raw Data'!$Q:$Q,$A12,'Raw Data'!F:F)/countif('Raw Data'!$Q:$Q,$A12),0)</f>
        <v>0</v>
      </c>
      <c r="G12" s="58">
        <f t="array" ref="G12">max(if('Raw Data'!$Q:$Q=$A12,'Raw Data'!$F:$F))</f>
        <v>0</v>
      </c>
      <c r="H12" s="58">
        <f>iferror(sumif('Raw Data'!$Q:$Q,$A12,'Raw Data'!G:G)/countif('Raw Data'!$Q:$Q,$A12),0)</f>
        <v>0.1666666667</v>
      </c>
      <c r="I12" s="58">
        <f>iferror(sumif('Raw Data'!$Q:$Q,$A12,'Raw Data'!H:H)/countif('Raw Data'!$Q:$Q,$A12),0)</f>
        <v>0</v>
      </c>
      <c r="J12" s="58">
        <f t="array" ref="J12">max(if('Raw Data'!$Q:$Q=$A12,'Raw Data'!$H:$H))</f>
        <v>0</v>
      </c>
      <c r="K12" s="48">
        <f>iferror(sumif('Raw Data'!$Q:$Q,$A12,'Raw Data'!I:I)/countif('Raw Data'!$Q:$Q,$A12),0)</f>
        <v>1.666666667</v>
      </c>
      <c r="L12" s="48">
        <f t="array" ref="L12">max(if('Raw Data'!$Q:$Q=$A12,'Raw Data'!$I:$I))</f>
        <v>2</v>
      </c>
      <c r="M12" s="58">
        <f>iferror(sumif('Raw Data'!$Q:$Q,$A12,'Raw Data'!J:J)/countif('Raw Data'!$Q:$Q,$A12),0)</f>
        <v>0.6666666667</v>
      </c>
      <c r="N12" s="58">
        <f>iferror(sumif('Raw Data'!$Q:$Q,$A12,'Raw Data'!K:K)/countif('Raw Data'!$Q:$Q,$A12),0)</f>
        <v>0</v>
      </c>
      <c r="O12" s="64">
        <f>F12*'Control PanelOur Matches'!$K$2</f>
        <v>0</v>
      </c>
      <c r="P12" s="64">
        <f t="shared" si="1"/>
        <v>0</v>
      </c>
      <c r="Q12" s="64">
        <f t="shared" si="2"/>
        <v>1.666666667</v>
      </c>
      <c r="R12" s="58" t="str">
        <f>'Component OPR Dump'!F19</f>
        <v/>
      </c>
      <c r="S12" s="58" t="str">
        <f>'Component OPR Dump'!D19</f>
        <v/>
      </c>
      <c r="T12" s="58" t="str">
        <f>'Component OPR Dump'!I19</f>
        <v/>
      </c>
      <c r="U12" s="58" t="str">
        <f>'Component OPR Dump'!H19</f>
        <v/>
      </c>
      <c r="V12" s="58" t="str">
        <f>'Component OPR Dump'!G19</f>
        <v/>
      </c>
      <c r="W12" s="58" t="str">
        <f>'Component OPR Dump'!J19</f>
        <v/>
      </c>
      <c r="X12" s="48">
        <f>iferror(sumif('Raw Data'!$Q:$Q,$A12,'Raw Data'!L:L)/countif('Raw Data'!$Q:$Q,$A12), )</f>
        <v>0</v>
      </c>
    </row>
    <row r="13" ht="15.0" customHeight="1">
      <c r="A13" s="70">
        <v>5104.0</v>
      </c>
      <c r="B13" s="48">
        <f>iferror((sumif('Raw Data'!$Q:$Q,$A13,'Raw Data'!P:P)/countif('Raw Data'!$Q:$Q,$A13))+R13+(T13/3),0)</f>
        <v>58.19047619</v>
      </c>
      <c r="C13" s="48">
        <f t="array" ref="C13">max(if('Raw Data'!$Q:$Q=$A13,'Raw Data'!$P:$P))</f>
        <v>108.3333333</v>
      </c>
      <c r="D13" s="58">
        <f>iferror(sumif('Raw Data'!$Q:$Q,$A13,'Raw Data'!E:E)/countif('Raw Data'!$Q:$Q,$A13),0)</f>
        <v>0</v>
      </c>
      <c r="E13" s="58">
        <f t="array" ref="E13">max(if('Raw Data'!$Q:$Q=$A13,'Raw Data'!$E:$E))</f>
        <v>0</v>
      </c>
      <c r="F13" s="58">
        <f>iferror(sumif('Raw Data'!$Q:$Q,$A13,'Raw Data'!F:F)/countif('Raw Data'!$Q:$Q,$A13),0)</f>
        <v>0</v>
      </c>
      <c r="G13" s="58">
        <f t="array" ref="G13">max(if('Raw Data'!$Q:$Q=$A13,'Raw Data'!$F:$F))</f>
        <v>0</v>
      </c>
      <c r="H13" s="58">
        <f>iferror(sumif('Raw Data'!$Q:$Q,$A13,'Raw Data'!G:G)/countif('Raw Data'!$Q:$Q,$A13),0)</f>
        <v>0.6666666667</v>
      </c>
      <c r="I13" s="58">
        <f>iferror(sumif('Raw Data'!$Q:$Q,$A13,'Raw Data'!H:H)/countif('Raw Data'!$Q:$Q,$A13),0)</f>
        <v>0</v>
      </c>
      <c r="J13" s="58">
        <f t="array" ref="J13">max(if('Raw Data'!$Q:$Q=$A13,'Raw Data'!$H:$H))</f>
        <v>0</v>
      </c>
      <c r="K13" s="48">
        <f>iferror(sumif('Raw Data'!$Q:$Q,$A13,'Raw Data'!I:I)/countif('Raw Data'!$Q:$Q,$A13),0)</f>
        <v>1.666666667</v>
      </c>
      <c r="L13" s="48">
        <f t="array" ref="L13">max(if('Raw Data'!$Q:$Q=$A13,'Raw Data'!$I:$I))</f>
        <v>2</v>
      </c>
      <c r="M13" s="58">
        <f>iferror(sumif('Raw Data'!$Q:$Q,$A13,'Raw Data'!J:J)/countif('Raw Data'!$Q:$Q,$A13),0)</f>
        <v>0.5</v>
      </c>
      <c r="N13" s="58">
        <f>iferror(sumif('Raw Data'!$Q:$Q,$A13,'Raw Data'!K:K)/countif('Raw Data'!$Q:$Q,$A13),0)</f>
        <v>0</v>
      </c>
      <c r="O13" s="64">
        <f>F13*'Control PanelOur Matches'!$K$2</f>
        <v>0</v>
      </c>
      <c r="P13" s="64">
        <f t="shared" si="1"/>
        <v>0</v>
      </c>
      <c r="Q13" s="64">
        <f t="shared" si="2"/>
        <v>1.666666667</v>
      </c>
      <c r="R13" s="58" t="str">
        <f>'Component OPR Dump'!F37</f>
        <v/>
      </c>
      <c r="S13" s="58" t="str">
        <f>'Component OPR Dump'!D37</f>
        <v/>
      </c>
      <c r="T13" s="58" t="str">
        <f>'Component OPR Dump'!I37</f>
        <v/>
      </c>
      <c r="U13" s="58" t="str">
        <f>'Component OPR Dump'!H37</f>
        <v/>
      </c>
      <c r="V13" s="58" t="str">
        <f>'Component OPR Dump'!G37</f>
        <v/>
      </c>
      <c r="W13" s="58" t="str">
        <f>'Component OPR Dump'!J37</f>
        <v/>
      </c>
      <c r="X13" s="48">
        <f>iferror(sumif('Raw Data'!$Q:$Q,$A13,'Raw Data'!L:L)/countif('Raw Data'!$Q:$Q,$A13), )</f>
        <v>0</v>
      </c>
    </row>
    <row r="14" ht="15.0" customHeight="1">
      <c r="A14" s="42">
        <v>1072.0</v>
      </c>
      <c r="B14" s="48">
        <f>iferror((sumif('Raw Data'!$Q:$Q,$A14,'Raw Data'!P:P)/countif('Raw Data'!$Q:$Q,$A14))+R14+(T14/3),0)</f>
        <v>103.4603175</v>
      </c>
      <c r="C14" s="48">
        <f t="array" ref="C14">max(if('Raw Data'!$Q:$Q=$A14,'Raw Data'!$P:$P))</f>
        <v>139</v>
      </c>
      <c r="D14" s="58">
        <f>iferror(sumif('Raw Data'!$Q:$Q,$A14,'Raw Data'!E:E)/countif('Raw Data'!$Q:$Q,$A14),0)</f>
        <v>0</v>
      </c>
      <c r="E14" s="58">
        <f t="array" ref="E14">max(if('Raw Data'!$Q:$Q=$A14,'Raw Data'!$E:$E))</f>
        <v>0</v>
      </c>
      <c r="F14" s="58">
        <f>iferror(sumif('Raw Data'!$Q:$Q,$A14,'Raw Data'!F:F)/countif('Raw Data'!$Q:$Q,$A14),0)</f>
        <v>0.6666666667</v>
      </c>
      <c r="G14" s="58">
        <f t="array" ref="G14">max(if('Raw Data'!$Q:$Q=$A14,'Raw Data'!$F:$F))</f>
        <v>1</v>
      </c>
      <c r="H14" s="58">
        <f>iferror(sumif('Raw Data'!$Q:$Q,$A14,'Raw Data'!G:G)/countif('Raw Data'!$Q:$Q,$A14),0)</f>
        <v>1</v>
      </c>
      <c r="I14" s="58">
        <f>iferror(sumif('Raw Data'!$Q:$Q,$A14,'Raw Data'!H:H)/countif('Raw Data'!$Q:$Q,$A14),0)</f>
        <v>0</v>
      </c>
      <c r="J14" s="58">
        <f t="array" ref="J14">max(if('Raw Data'!$Q:$Q=$A14,'Raw Data'!$H:$H))</f>
        <v>0</v>
      </c>
      <c r="K14" s="48">
        <f>iferror(sumif('Raw Data'!$Q:$Q,$A14,'Raw Data'!I:I)/countif('Raw Data'!$Q:$Q,$A14),0)</f>
        <v>1.5</v>
      </c>
      <c r="L14" s="48">
        <f t="array" ref="L14">max(if('Raw Data'!$Q:$Q=$A14,'Raw Data'!$I:$I))</f>
        <v>3</v>
      </c>
      <c r="M14" s="58">
        <f>iferror(sumif('Raw Data'!$Q:$Q,$A14,'Raw Data'!J:J)/countif('Raw Data'!$Q:$Q,$A14),0)</f>
        <v>0.8333333333</v>
      </c>
      <c r="N14" s="58">
        <f>iferror(sumif('Raw Data'!$Q:$Q,$A14,'Raw Data'!K:K)/countif('Raw Data'!$Q:$Q,$A14),0)</f>
        <v>0</v>
      </c>
      <c r="O14" s="64">
        <f>F14*'Control PanelOur Matches'!$K$2</f>
        <v>40</v>
      </c>
      <c r="P14" s="64">
        <f t="shared" si="1"/>
        <v>0</v>
      </c>
      <c r="Q14" s="64">
        <f t="shared" si="2"/>
        <v>2.166666667</v>
      </c>
      <c r="R14" s="58" t="str">
        <f>'Component OPR Dump'!F10</f>
        <v/>
      </c>
      <c r="S14" s="58" t="str">
        <f>'Component OPR Dump'!D10</f>
        <v/>
      </c>
      <c r="T14" s="58" t="str">
        <f>'Component OPR Dump'!I10</f>
        <v/>
      </c>
      <c r="U14" s="58" t="str">
        <f>'Component OPR Dump'!H10</f>
        <v/>
      </c>
      <c r="V14" s="58" t="str">
        <f>'Component OPR Dump'!G10</f>
        <v/>
      </c>
      <c r="W14" s="58" t="str">
        <f>'Component OPR Dump'!J10</f>
        <v/>
      </c>
      <c r="X14" s="48">
        <f>iferror(sumif('Raw Data'!$Q:$Q,$A14,'Raw Data'!L:L)/countif('Raw Data'!$Q:$Q,$A14), )</f>
        <v>0</v>
      </c>
    </row>
    <row r="15" ht="15.0" customHeight="1">
      <c r="A15" s="42">
        <v>3256.0</v>
      </c>
      <c r="B15" s="48">
        <f>iferror((sumif('Raw Data'!$Q:$Q,$A15,'Raw Data'!P:P)/countif('Raw Data'!$Q:$Q,$A15))+R15+(T15/3),0)</f>
        <v>91.66666667</v>
      </c>
      <c r="C15" s="48">
        <f t="array" ref="C15">max(if('Raw Data'!$Q:$Q=$A15,'Raw Data'!$P:$P))</f>
        <v>141.6666667</v>
      </c>
      <c r="D15" s="58">
        <f>iferror(sumif('Raw Data'!$Q:$Q,$A15,'Raw Data'!E:E)/countif('Raw Data'!$Q:$Q,$A15),0)</f>
        <v>0</v>
      </c>
      <c r="E15" s="58">
        <f t="array" ref="E15">max(if('Raw Data'!$Q:$Q=$A15,'Raw Data'!$E:$E))</f>
        <v>0</v>
      </c>
      <c r="F15" s="58">
        <f>iferror(sumif('Raw Data'!$Q:$Q,$A15,'Raw Data'!F:F)/countif('Raw Data'!$Q:$Q,$A15),0)</f>
        <v>0.5</v>
      </c>
      <c r="G15" s="58">
        <f t="array" ref="G15">max(if('Raw Data'!$Q:$Q=$A15,'Raw Data'!$F:$F))</f>
        <v>1</v>
      </c>
      <c r="H15" s="58">
        <f>iferror(sumif('Raw Data'!$Q:$Q,$A15,'Raw Data'!G:G)/countif('Raw Data'!$Q:$Q,$A15),0)</f>
        <v>1</v>
      </c>
      <c r="I15" s="58">
        <f>iferror(sumif('Raw Data'!$Q:$Q,$A15,'Raw Data'!H:H)/countif('Raw Data'!$Q:$Q,$A15),0)</f>
        <v>0</v>
      </c>
      <c r="J15" s="58">
        <f t="array" ref="J15">max(if('Raw Data'!$Q:$Q=$A15,'Raw Data'!$H:$H))</f>
        <v>0</v>
      </c>
      <c r="K15" s="48">
        <f>iferror(sumif('Raw Data'!$Q:$Q,$A15,'Raw Data'!I:I)/countif('Raw Data'!$Q:$Q,$A15),0)</f>
        <v>1.5</v>
      </c>
      <c r="L15" s="48">
        <f t="array" ref="L15">max(if('Raw Data'!$Q:$Q=$A15,'Raw Data'!$I:$I))</f>
        <v>2</v>
      </c>
      <c r="M15" s="58">
        <f>iferror(sumif('Raw Data'!$Q:$Q,$A15,'Raw Data'!J:J)/countif('Raw Data'!$Q:$Q,$A15),0)</f>
        <v>0.6666666667</v>
      </c>
      <c r="N15" s="58">
        <f>iferror(sumif('Raw Data'!$Q:$Q,$A15,'Raw Data'!K:K)/countif('Raw Data'!$Q:$Q,$A15),0)</f>
        <v>0.1666666667</v>
      </c>
      <c r="O15" s="64">
        <f>F15*'Control PanelOur Matches'!$K$2</f>
        <v>30</v>
      </c>
      <c r="P15" s="64">
        <f t="shared" si="1"/>
        <v>0</v>
      </c>
      <c r="Q15" s="64">
        <f t="shared" si="2"/>
        <v>2</v>
      </c>
      <c r="R15" s="58" t="str">
        <f>'Component OPR Dump'!F27</f>
        <v/>
      </c>
      <c r="S15" s="58" t="str">
        <f>'Component OPR Dump'!D27</f>
        <v/>
      </c>
      <c r="T15" s="58" t="str">
        <f>'Component OPR Dump'!I27</f>
        <v/>
      </c>
      <c r="U15" s="58" t="str">
        <f>'Component OPR Dump'!H27</f>
        <v/>
      </c>
      <c r="V15" s="58" t="str">
        <f>'Component OPR Dump'!G27</f>
        <v/>
      </c>
      <c r="W15" s="58" t="str">
        <f>'Component OPR Dump'!J27</f>
        <v/>
      </c>
      <c r="X15" s="48">
        <f>iferror(sumif('Raw Data'!$Q:$Q,$A15,'Raw Data'!L:L)/countif('Raw Data'!$Q:$Q,$A15), )</f>
        <v>0</v>
      </c>
    </row>
    <row r="16" ht="15.0" customHeight="1">
      <c r="A16" s="42">
        <v>294.0</v>
      </c>
      <c r="B16" s="48">
        <f>iferror((sumif('Raw Data'!$Q:$Q,$A16,'Raw Data'!P:P)/countif('Raw Data'!$Q:$Q,$A16))+R16+(T16/3),0)</f>
        <v>64.8015873</v>
      </c>
      <c r="C16" s="48">
        <f t="array" ref="C16">max(if('Raw Data'!$Q:$Q=$A16,'Raw Data'!$P:$P))</f>
        <v>115</v>
      </c>
      <c r="D16" s="58">
        <f>iferror(sumif('Raw Data'!$Q:$Q,$A16,'Raw Data'!E:E)/countif('Raw Data'!$Q:$Q,$A16),0)</f>
        <v>0</v>
      </c>
      <c r="E16" s="58">
        <f t="array" ref="E16">max(if('Raw Data'!$Q:$Q=$A16,'Raw Data'!$E:$E))</f>
        <v>0</v>
      </c>
      <c r="F16" s="58">
        <f>iferror(sumif('Raw Data'!$Q:$Q,$A16,'Raw Data'!F:F)/countif('Raw Data'!$Q:$Q,$A16),0)</f>
        <v>0.5</v>
      </c>
      <c r="G16" s="58">
        <f t="array" ref="G16">max(if('Raw Data'!$Q:$Q=$A16,'Raw Data'!$F:$F))</f>
        <v>1</v>
      </c>
      <c r="H16" s="58">
        <f>iferror(sumif('Raw Data'!$Q:$Q,$A16,'Raw Data'!G:G)/countif('Raw Data'!$Q:$Q,$A16),0)</f>
        <v>0.8333333333</v>
      </c>
      <c r="I16" s="58">
        <f>iferror(sumif('Raw Data'!$Q:$Q,$A16,'Raw Data'!H:H)/countif('Raw Data'!$Q:$Q,$A16),0)</f>
        <v>0</v>
      </c>
      <c r="J16" s="58">
        <f t="array" ref="J16">max(if('Raw Data'!$Q:$Q=$A16,'Raw Data'!$H:$H))</f>
        <v>0</v>
      </c>
      <c r="K16" s="48">
        <f>iferror(sumif('Raw Data'!$Q:$Q,$A16,'Raw Data'!I:I)/countif('Raw Data'!$Q:$Q,$A16),0)</f>
        <v>1.5</v>
      </c>
      <c r="L16" s="48">
        <f t="array" ref="L16">max(if('Raw Data'!$Q:$Q=$A16,'Raw Data'!$I:$I))</f>
        <v>2</v>
      </c>
      <c r="M16" s="58">
        <f>iferror(sumif('Raw Data'!$Q:$Q,$A16,'Raw Data'!J:J)/countif('Raw Data'!$Q:$Q,$A16),0)</f>
        <v>0.1666666667</v>
      </c>
      <c r="N16" s="58">
        <f>iferror(sumif('Raw Data'!$Q:$Q,$A16,'Raw Data'!K:K)/countif('Raw Data'!$Q:$Q,$A16),0)</f>
        <v>0.1666666667</v>
      </c>
      <c r="O16" s="64">
        <f>F16*'Control PanelOur Matches'!$K$2</f>
        <v>30</v>
      </c>
      <c r="P16" s="64">
        <f t="shared" si="1"/>
        <v>0</v>
      </c>
      <c r="Q16" s="64">
        <f t="shared" si="2"/>
        <v>2</v>
      </c>
      <c r="R16" s="58" t="str">
        <f>'Component OPR Dump'!F2</f>
        <v/>
      </c>
      <c r="S16" s="58" t="str">
        <f>'Component OPR Dump'!D2</f>
        <v/>
      </c>
      <c r="T16" s="58" t="str">
        <f>'Component OPR Dump'!I2</f>
        <v/>
      </c>
      <c r="U16" s="58" t="str">
        <f>'Component OPR Dump'!H2</f>
        <v/>
      </c>
      <c r="V16" s="58" t="str">
        <f>'Component OPR Dump'!G2</f>
        <v/>
      </c>
      <c r="W16" s="58" t="str">
        <f>'Component OPR Dump'!J2</f>
        <v/>
      </c>
      <c r="X16" s="48">
        <f>iferror(sumif('Raw Data'!$Q:$Q,$A16,'Raw Data'!L:L)/countif('Raw Data'!$Q:$Q,$A16), )</f>
        <v>0</v>
      </c>
    </row>
    <row r="17" ht="15.0" customHeight="1">
      <c r="A17" s="42">
        <v>852.0</v>
      </c>
      <c r="B17" s="48">
        <f>iferror((sumif('Raw Data'!$Q:$Q,$A17,'Raw Data'!P:P)/countif('Raw Data'!$Q:$Q,$A17))+R17+(T17/3),0)</f>
        <v>59.80952381</v>
      </c>
      <c r="C17" s="48">
        <f t="array" ref="C17">max(if('Raw Data'!$Q:$Q=$A17,'Raw Data'!$P:$P))</f>
        <v>75</v>
      </c>
      <c r="D17" s="58">
        <f>iferror(sumif('Raw Data'!$Q:$Q,$A17,'Raw Data'!E:E)/countif('Raw Data'!$Q:$Q,$A17),0)</f>
        <v>0</v>
      </c>
      <c r="E17" s="58">
        <f t="array" ref="E17">max(if('Raw Data'!$Q:$Q=$A17,'Raw Data'!$E:$E))</f>
        <v>0</v>
      </c>
      <c r="F17" s="58">
        <f>iferror(sumif('Raw Data'!$Q:$Q,$A17,'Raw Data'!F:F)/countif('Raw Data'!$Q:$Q,$A17),0)</f>
        <v>0</v>
      </c>
      <c r="G17" s="58">
        <f t="array" ref="G17">max(if('Raw Data'!$Q:$Q=$A17,'Raw Data'!$F:$F))</f>
        <v>0</v>
      </c>
      <c r="H17" s="58">
        <f>iferror(sumif('Raw Data'!$Q:$Q,$A17,'Raw Data'!G:G)/countif('Raw Data'!$Q:$Q,$A17),0)</f>
        <v>1</v>
      </c>
      <c r="I17" s="58">
        <f>iferror(sumif('Raw Data'!$Q:$Q,$A17,'Raw Data'!H:H)/countif('Raw Data'!$Q:$Q,$A17),0)</f>
        <v>0</v>
      </c>
      <c r="J17" s="58">
        <f t="array" ref="J17">max(if('Raw Data'!$Q:$Q=$A17,'Raw Data'!$H:$H))</f>
        <v>0</v>
      </c>
      <c r="K17" s="48">
        <f>iferror(sumif('Raw Data'!$Q:$Q,$A17,'Raw Data'!I:I)/countif('Raw Data'!$Q:$Q,$A17),0)</f>
        <v>1.428571429</v>
      </c>
      <c r="L17" s="48">
        <f t="array" ref="L17">max(if('Raw Data'!$Q:$Q=$A17,'Raw Data'!$I:$I))</f>
        <v>3</v>
      </c>
      <c r="M17" s="58">
        <f>iferror(sumif('Raw Data'!$Q:$Q,$A17,'Raw Data'!J:J)/countif('Raw Data'!$Q:$Q,$A17),0)</f>
        <v>0.5714285714</v>
      </c>
      <c r="N17" s="58">
        <f>iferror(sumif('Raw Data'!$Q:$Q,$A17,'Raw Data'!K:K)/countif('Raw Data'!$Q:$Q,$A17),0)</f>
        <v>0</v>
      </c>
      <c r="O17" s="64">
        <f>F17*'Control PanelOur Matches'!$K$2</f>
        <v>0</v>
      </c>
      <c r="P17" s="64">
        <f t="shared" si="1"/>
        <v>0</v>
      </c>
      <c r="Q17" s="64">
        <f t="shared" si="2"/>
        <v>1.428571429</v>
      </c>
      <c r="R17" s="58" t="str">
        <f>'Component OPR Dump'!F6</f>
        <v/>
      </c>
      <c r="S17" s="58" t="str">
        <f>'Component OPR Dump'!D6</f>
        <v/>
      </c>
      <c r="T17" s="58" t="str">
        <f>'Component OPR Dump'!I6</f>
        <v/>
      </c>
      <c r="U17" s="58" t="str">
        <f>'Component OPR Dump'!H6</f>
        <v/>
      </c>
      <c r="V17" s="58" t="str">
        <f>'Component OPR Dump'!G6</f>
        <v/>
      </c>
      <c r="W17" s="58" t="str">
        <f>'Component OPR Dump'!J6</f>
        <v/>
      </c>
      <c r="X17" s="48">
        <f>iferror(sumif('Raw Data'!$Q:$Q,$A17,'Raw Data'!L:L)/countif('Raw Data'!$Q:$Q,$A17), )</f>
        <v>0</v>
      </c>
    </row>
    <row r="18" ht="15.0" customHeight="1">
      <c r="A18" s="42">
        <v>1868.0</v>
      </c>
      <c r="B18" s="48">
        <f>iferror((sumif('Raw Data'!$Q:$Q,$A18,'Raw Data'!P:P)/countif('Raw Data'!$Q:$Q,$A18))+R18+(T18/3),0)</f>
        <v>54.94444444</v>
      </c>
      <c r="C18" s="48">
        <f t="array" ref="C18">max(if('Raw Data'!$Q:$Q=$A18,'Raw Data'!$P:$P))</f>
        <v>95</v>
      </c>
      <c r="D18" s="58">
        <f>iferror(sumif('Raw Data'!$Q:$Q,$A18,'Raw Data'!E:E)/countif('Raw Data'!$Q:$Q,$A18),0)</f>
        <v>0</v>
      </c>
      <c r="E18" s="58">
        <f t="array" ref="E18">max(if('Raw Data'!$Q:$Q=$A18,'Raw Data'!$E:$E))</f>
        <v>0</v>
      </c>
      <c r="F18" s="58">
        <f>iferror(sumif('Raw Data'!$Q:$Q,$A18,'Raw Data'!F:F)/countif('Raw Data'!$Q:$Q,$A18),0)</f>
        <v>0.1666666667</v>
      </c>
      <c r="G18" s="58">
        <f t="array" ref="G18">max(if('Raw Data'!$Q:$Q=$A18,'Raw Data'!$F:$F))</f>
        <v>1</v>
      </c>
      <c r="H18" s="58">
        <f>iferror(sumif('Raw Data'!$Q:$Q,$A18,'Raw Data'!G:G)/countif('Raw Data'!$Q:$Q,$A18),0)</f>
        <v>0.8333333333</v>
      </c>
      <c r="I18" s="58">
        <f>iferror(sumif('Raw Data'!$Q:$Q,$A18,'Raw Data'!H:H)/countif('Raw Data'!$Q:$Q,$A18),0)</f>
        <v>0</v>
      </c>
      <c r="J18" s="58">
        <f t="array" ref="J18">max(if('Raw Data'!$Q:$Q=$A18,'Raw Data'!$H:$H))</f>
        <v>0</v>
      </c>
      <c r="K18" s="48">
        <f>iferror(sumif('Raw Data'!$Q:$Q,$A18,'Raw Data'!I:I)/countif('Raw Data'!$Q:$Q,$A18),0)</f>
        <v>1.333333333</v>
      </c>
      <c r="L18" s="48">
        <f t="array" ref="L18">max(if('Raw Data'!$Q:$Q=$A18,'Raw Data'!$I:$I))</f>
        <v>2</v>
      </c>
      <c r="M18" s="58">
        <f>iferror(sumif('Raw Data'!$Q:$Q,$A18,'Raw Data'!J:J)/countif('Raw Data'!$Q:$Q,$A18),0)</f>
        <v>0.5</v>
      </c>
      <c r="N18" s="58">
        <f>iferror(sumif('Raw Data'!$Q:$Q,$A18,'Raw Data'!K:K)/countif('Raw Data'!$Q:$Q,$A18),0)</f>
        <v>0</v>
      </c>
      <c r="O18" s="64">
        <f>F18*'Control PanelOur Matches'!$K$2</f>
        <v>10</v>
      </c>
      <c r="P18" s="64">
        <f t="shared" si="1"/>
        <v>0</v>
      </c>
      <c r="Q18" s="64">
        <f t="shared" si="2"/>
        <v>1.5</v>
      </c>
      <c r="R18" s="58" t="str">
        <f>'Component OPR Dump'!F17</f>
        <v/>
      </c>
      <c r="S18" s="58" t="str">
        <f>'Component OPR Dump'!D17</f>
        <v/>
      </c>
      <c r="T18" s="58" t="str">
        <f>'Component OPR Dump'!I17</f>
        <v/>
      </c>
      <c r="U18" s="58" t="str">
        <f>'Component OPR Dump'!H17</f>
        <v/>
      </c>
      <c r="V18" s="58" t="str">
        <f>'Component OPR Dump'!G17</f>
        <v/>
      </c>
      <c r="W18" s="58" t="str">
        <f>'Component OPR Dump'!J17</f>
        <v/>
      </c>
      <c r="X18" s="48">
        <f>iferror(sumif('Raw Data'!$Q:$Q,$A18,'Raw Data'!L:L)/countif('Raw Data'!$Q:$Q,$A18), )</f>
        <v>0</v>
      </c>
    </row>
    <row r="19" ht="15.0" customHeight="1">
      <c r="A19" s="70">
        <v>6699.0</v>
      </c>
      <c r="B19" s="48">
        <f>iferror((sumif('Raw Data'!$Q:$Q,$A19,'Raw Data'!P:P)/countif('Raw Data'!$Q:$Q,$A19))+R19+(T19/3),0)</f>
        <v>56.30952381</v>
      </c>
      <c r="C19" s="48">
        <f t="array" ref="C19">max(if('Raw Data'!$Q:$Q=$A19,'Raw Data'!$P:$P))</f>
        <v>108.3333333</v>
      </c>
      <c r="D19" s="58">
        <f>iferror(sumif('Raw Data'!$Q:$Q,$A19,'Raw Data'!E:E)/countif('Raw Data'!$Q:$Q,$A19),0)</f>
        <v>0</v>
      </c>
      <c r="E19" s="58">
        <f t="array" ref="E19">max(if('Raw Data'!$Q:$Q=$A19,'Raw Data'!$E:$E))</f>
        <v>0</v>
      </c>
      <c r="F19" s="58">
        <f>iferror(sumif('Raw Data'!$Q:$Q,$A19,'Raw Data'!F:F)/countif('Raw Data'!$Q:$Q,$A19),0)</f>
        <v>0</v>
      </c>
      <c r="G19" s="58">
        <f t="array" ref="G19">max(if('Raw Data'!$Q:$Q=$A19,'Raw Data'!$F:$F))</f>
        <v>0</v>
      </c>
      <c r="H19" s="58">
        <f>iferror(sumif('Raw Data'!$Q:$Q,$A19,'Raw Data'!G:G)/countif('Raw Data'!$Q:$Q,$A19),0)</f>
        <v>0.8333333333</v>
      </c>
      <c r="I19" s="58">
        <f>iferror(sumif('Raw Data'!$Q:$Q,$A19,'Raw Data'!H:H)/countif('Raw Data'!$Q:$Q,$A19),0)</f>
        <v>0</v>
      </c>
      <c r="J19" s="58">
        <f t="array" ref="J19">max(if('Raw Data'!$Q:$Q=$A19,'Raw Data'!$H:$H))</f>
        <v>0</v>
      </c>
      <c r="K19" s="48">
        <f>iferror(sumif('Raw Data'!$Q:$Q,$A19,'Raw Data'!I:I)/countif('Raw Data'!$Q:$Q,$A19),0)</f>
        <v>1.333333333</v>
      </c>
      <c r="L19" s="48">
        <f t="array" ref="L19">max(if('Raw Data'!$Q:$Q=$A19,'Raw Data'!$I:$I))</f>
        <v>2</v>
      </c>
      <c r="M19" s="58">
        <f>iferror(sumif('Raw Data'!$Q:$Q,$A19,'Raw Data'!J:J)/countif('Raw Data'!$Q:$Q,$A19),0)</f>
        <v>0.5</v>
      </c>
      <c r="N19" s="58">
        <f>iferror(sumif('Raw Data'!$Q:$Q,$A19,'Raw Data'!K:K)/countif('Raw Data'!$Q:$Q,$A19),0)</f>
        <v>0</v>
      </c>
      <c r="O19" s="64">
        <f>F19*'Control PanelOur Matches'!$K$2</f>
        <v>0</v>
      </c>
      <c r="P19" s="64">
        <f t="shared" si="1"/>
        <v>0</v>
      </c>
      <c r="Q19" s="64">
        <f t="shared" si="2"/>
        <v>1.333333333</v>
      </c>
      <c r="R19" s="58" t="str">
        <f>'Component OPR Dump'!F47</f>
        <v/>
      </c>
      <c r="S19" s="58" t="str">
        <f>'Component OPR Dump'!D47</f>
        <v/>
      </c>
      <c r="T19" s="58" t="str">
        <f>'Component OPR Dump'!I47</f>
        <v/>
      </c>
      <c r="U19" s="58" t="str">
        <f>'Component OPR Dump'!H47</f>
        <v/>
      </c>
      <c r="V19" s="58" t="str">
        <f>'Component OPR Dump'!G47</f>
        <v/>
      </c>
      <c r="W19" s="58" t="str">
        <f>'Component OPR Dump'!J47</f>
        <v/>
      </c>
      <c r="X19" s="48">
        <f>iferror(sumif('Raw Data'!$Q:$Q,$A19,'Raw Data'!L:L)/countif('Raw Data'!$Q:$Q,$A19), )</f>
        <v>0</v>
      </c>
    </row>
    <row r="20" ht="15.0" customHeight="1">
      <c r="A20" s="42">
        <v>687.0</v>
      </c>
      <c r="B20" s="48">
        <f>iferror((sumif('Raw Data'!$Q:$Q,$A20,'Raw Data'!P:P)/countif('Raw Data'!$Q:$Q,$A20))+R20+(T20/3),0)</f>
        <v>32.94444444</v>
      </c>
      <c r="C20" s="48">
        <f t="array" ref="C20">max(if('Raw Data'!$Q:$Q=$A20,'Raw Data'!$P:$P))</f>
        <v>75</v>
      </c>
      <c r="D20" s="58">
        <f>iferror(sumif('Raw Data'!$Q:$Q,$A20,'Raw Data'!E:E)/countif('Raw Data'!$Q:$Q,$A20),0)</f>
        <v>0</v>
      </c>
      <c r="E20" s="58">
        <f t="array" ref="E20">max(if('Raw Data'!$Q:$Q=$A20,'Raw Data'!$E:$E))</f>
        <v>0</v>
      </c>
      <c r="F20" s="58">
        <f>iferror(sumif('Raw Data'!$Q:$Q,$A20,'Raw Data'!F:F)/countif('Raw Data'!$Q:$Q,$A20),0)</f>
        <v>0</v>
      </c>
      <c r="G20" s="58">
        <f t="array" ref="G20">max(if('Raw Data'!$Q:$Q=$A20,'Raw Data'!$F:$F))</f>
        <v>0</v>
      </c>
      <c r="H20" s="58">
        <f>iferror(sumif('Raw Data'!$Q:$Q,$A20,'Raw Data'!G:G)/countif('Raw Data'!$Q:$Q,$A20),0)</f>
        <v>0.5</v>
      </c>
      <c r="I20" s="58">
        <f>iferror(sumif('Raw Data'!$Q:$Q,$A20,'Raw Data'!H:H)/countif('Raw Data'!$Q:$Q,$A20),0)</f>
        <v>0</v>
      </c>
      <c r="J20" s="58">
        <f t="array" ref="J20">max(if('Raw Data'!$Q:$Q=$A20,'Raw Data'!$H:$H))</f>
        <v>0</v>
      </c>
      <c r="K20" s="48">
        <f>iferror(sumif('Raw Data'!$Q:$Q,$A20,'Raw Data'!I:I)/countif('Raw Data'!$Q:$Q,$A20),0)</f>
        <v>1.333333333</v>
      </c>
      <c r="L20" s="48">
        <f t="array" ref="L20">max(if('Raw Data'!$Q:$Q=$A20,'Raw Data'!$I:$I))</f>
        <v>4</v>
      </c>
      <c r="M20" s="58">
        <f>iferror(sumif('Raw Data'!$Q:$Q,$A20,'Raw Data'!J:J)/countif('Raw Data'!$Q:$Q,$A20),0)</f>
        <v>0.1666666667</v>
      </c>
      <c r="N20" s="58">
        <f>iferror(sumif('Raw Data'!$Q:$Q,$A20,'Raw Data'!K:K)/countif('Raw Data'!$Q:$Q,$A20),0)</f>
        <v>0.1666666667</v>
      </c>
      <c r="O20" s="64">
        <f>F20*'Control PanelOur Matches'!$K$2</f>
        <v>0</v>
      </c>
      <c r="P20" s="64">
        <f t="shared" si="1"/>
        <v>0</v>
      </c>
      <c r="Q20" s="64">
        <f t="shared" si="2"/>
        <v>1.333333333</v>
      </c>
      <c r="R20" s="58" t="str">
        <f>'Component OPR Dump'!F4</f>
        <v/>
      </c>
      <c r="S20" s="58" t="str">
        <f>'Component OPR Dump'!D4</f>
        <v/>
      </c>
      <c r="T20" s="58" t="str">
        <f>'Component OPR Dump'!I4</f>
        <v/>
      </c>
      <c r="U20" s="58" t="str">
        <f>'Component OPR Dump'!H4</f>
        <v/>
      </c>
      <c r="V20" s="58" t="str">
        <f>'Component OPR Dump'!G4</f>
        <v/>
      </c>
      <c r="W20" s="58" t="str">
        <f>'Component OPR Dump'!J4</f>
        <v/>
      </c>
      <c r="X20" s="48">
        <f>iferror(sumif('Raw Data'!$Q:$Q,$A20,'Raw Data'!L:L)/countif('Raw Data'!$Q:$Q,$A20), )</f>
        <v>0</v>
      </c>
    </row>
    <row r="21" ht="15.0" customHeight="1">
      <c r="A21" s="70">
        <v>6619.0</v>
      </c>
      <c r="B21" s="48">
        <f>iferror((sumif('Raw Data'!$Q:$Q,$A21,'Raw Data'!P:P)/countif('Raw Data'!$Q:$Q,$A21))+R21+(T21/3),0)</f>
        <v>19.8968254</v>
      </c>
      <c r="C21" s="48">
        <f t="array" ref="C21">max(if('Raw Data'!$Q:$Q=$A21,'Raw Data'!$P:$P))</f>
        <v>50.71428571</v>
      </c>
      <c r="D21" s="58">
        <f>iferror(sumif('Raw Data'!$Q:$Q,$A21,'Raw Data'!E:E)/countif('Raw Data'!$Q:$Q,$A21),0)</f>
        <v>0</v>
      </c>
      <c r="E21" s="58">
        <f t="array" ref="E21">max(if('Raw Data'!$Q:$Q=$A21,'Raw Data'!$E:$E))</f>
        <v>0</v>
      </c>
      <c r="F21" s="58">
        <f>iferror(sumif('Raw Data'!$Q:$Q,$A21,'Raw Data'!F:F)/countif('Raw Data'!$Q:$Q,$A21),0)</f>
        <v>0</v>
      </c>
      <c r="G21" s="58">
        <f t="array" ref="G21">max(if('Raw Data'!$Q:$Q=$A21,'Raw Data'!$F:$F))</f>
        <v>0</v>
      </c>
      <c r="H21" s="58">
        <f>iferror(sumif('Raw Data'!$Q:$Q,$A21,'Raw Data'!G:G)/countif('Raw Data'!$Q:$Q,$A21),0)</f>
        <v>0.5</v>
      </c>
      <c r="I21" s="58">
        <f>iferror(sumif('Raw Data'!$Q:$Q,$A21,'Raw Data'!H:H)/countif('Raw Data'!$Q:$Q,$A21),0)</f>
        <v>0</v>
      </c>
      <c r="J21" s="58">
        <f t="array" ref="J21">max(if('Raw Data'!$Q:$Q=$A21,'Raw Data'!$H:$H))</f>
        <v>0</v>
      </c>
      <c r="K21" s="48">
        <f>iferror(sumif('Raw Data'!$Q:$Q,$A21,'Raw Data'!I:I)/countif('Raw Data'!$Q:$Q,$A21),0)</f>
        <v>1.333333333</v>
      </c>
      <c r="L21" s="48">
        <f t="array" ref="L21">max(if('Raw Data'!$Q:$Q=$A21,'Raw Data'!$I:$I))</f>
        <v>4</v>
      </c>
      <c r="M21" s="58">
        <f>iferror(sumif('Raw Data'!$Q:$Q,$A21,'Raw Data'!J:J)/countif('Raw Data'!$Q:$Q,$A21),0)</f>
        <v>0</v>
      </c>
      <c r="N21" s="58">
        <f>iferror(sumif('Raw Data'!$Q:$Q,$A21,'Raw Data'!K:K)/countif('Raw Data'!$Q:$Q,$A21),0)</f>
        <v>0</v>
      </c>
      <c r="O21" s="64">
        <f>F21*'Control PanelOur Matches'!$K$2</f>
        <v>0</v>
      </c>
      <c r="P21" s="64">
        <f t="shared" si="1"/>
        <v>0</v>
      </c>
      <c r="Q21" s="64">
        <f t="shared" si="2"/>
        <v>1.333333333</v>
      </c>
      <c r="R21" s="58" t="str">
        <f>'Component OPR Dump'!F44</f>
        <v/>
      </c>
      <c r="S21" s="58" t="str">
        <f>'Component OPR Dump'!D44</f>
        <v/>
      </c>
      <c r="T21" s="58" t="str">
        <f>'Component OPR Dump'!I44</f>
        <v/>
      </c>
      <c r="U21" s="58" t="str">
        <f>'Component OPR Dump'!H44</f>
        <v/>
      </c>
      <c r="V21" s="58" t="str">
        <f>'Component OPR Dump'!G44</f>
        <v/>
      </c>
      <c r="W21" s="58" t="str">
        <f>'Component OPR Dump'!J44</f>
        <v/>
      </c>
      <c r="X21" s="48">
        <f>iferror(sumif('Raw Data'!$Q:$Q,$A21,'Raw Data'!L:L)/countif('Raw Data'!$Q:$Q,$A21), )</f>
        <v>0</v>
      </c>
    </row>
    <row r="22" ht="15.0" customHeight="1">
      <c r="A22" s="42">
        <v>1662.0</v>
      </c>
      <c r="B22" s="48">
        <f>iferror((sumif('Raw Data'!$Q:$Q,$A22,'Raw Data'!P:P)/countif('Raw Data'!$Q:$Q,$A22))+R22+(T22/3),0)</f>
        <v>39.76190476</v>
      </c>
      <c r="C22" s="48">
        <f t="array" ref="C22">max(if('Raw Data'!$Q:$Q=$A22,'Raw Data'!$P:$P))</f>
        <v>81.66666667</v>
      </c>
      <c r="D22" s="58">
        <f>iferror(sumif('Raw Data'!$Q:$Q,$A22,'Raw Data'!E:E)/countif('Raw Data'!$Q:$Q,$A22),0)</f>
        <v>0</v>
      </c>
      <c r="E22" s="58">
        <f t="array" ref="E22">max(if('Raw Data'!$Q:$Q=$A22,'Raw Data'!$E:$E))</f>
        <v>0</v>
      </c>
      <c r="F22" s="58">
        <f>iferror(sumif('Raw Data'!$Q:$Q,$A22,'Raw Data'!F:F)/countif('Raw Data'!$Q:$Q,$A22),0)</f>
        <v>0</v>
      </c>
      <c r="G22" s="58">
        <f t="array" ref="G22">max(if('Raw Data'!$Q:$Q=$A22,'Raw Data'!$F:$F))</f>
        <v>0</v>
      </c>
      <c r="H22" s="58">
        <f>iferror(sumif('Raw Data'!$Q:$Q,$A22,'Raw Data'!G:G)/countif('Raw Data'!$Q:$Q,$A22),0)</f>
        <v>0.7142857143</v>
      </c>
      <c r="I22" s="58">
        <f>iferror(sumif('Raw Data'!$Q:$Q,$A22,'Raw Data'!H:H)/countif('Raw Data'!$Q:$Q,$A22),0)</f>
        <v>0</v>
      </c>
      <c r="J22" s="58">
        <f t="array" ref="J22">max(if('Raw Data'!$Q:$Q=$A22,'Raw Data'!$H:$H))</f>
        <v>0</v>
      </c>
      <c r="K22" s="48">
        <f>iferror(sumif('Raw Data'!$Q:$Q,$A22,'Raw Data'!I:I)/countif('Raw Data'!$Q:$Q,$A22),0)</f>
        <v>1.285714286</v>
      </c>
      <c r="L22" s="48">
        <f t="array" ref="L22">max(if('Raw Data'!$Q:$Q=$A22,'Raw Data'!$I:$I))</f>
        <v>3</v>
      </c>
      <c r="M22" s="58">
        <f>iferror(sumif('Raw Data'!$Q:$Q,$A22,'Raw Data'!J:J)/countif('Raw Data'!$Q:$Q,$A22),0)</f>
        <v>0.2857142857</v>
      </c>
      <c r="N22" s="58">
        <f>iferror(sumif('Raw Data'!$Q:$Q,$A22,'Raw Data'!K:K)/countif('Raw Data'!$Q:$Q,$A22),0)</f>
        <v>0</v>
      </c>
      <c r="O22" s="64">
        <f>F22*'Control PanelOur Matches'!$K$2</f>
        <v>0</v>
      </c>
      <c r="P22" s="64">
        <f t="shared" si="1"/>
        <v>0</v>
      </c>
      <c r="Q22" s="64">
        <f t="shared" si="2"/>
        <v>1.285714286</v>
      </c>
      <c r="R22" s="58" t="str">
        <f>'Component OPR Dump'!F14</f>
        <v/>
      </c>
      <c r="S22" s="58" t="str">
        <f>'Component OPR Dump'!D14</f>
        <v/>
      </c>
      <c r="T22" s="58" t="str">
        <f>'Component OPR Dump'!I14</f>
        <v/>
      </c>
      <c r="U22" s="58" t="str">
        <f>'Component OPR Dump'!H14</f>
        <v/>
      </c>
      <c r="V22" s="58" t="str">
        <f>'Component OPR Dump'!G14</f>
        <v/>
      </c>
      <c r="W22" s="58" t="str">
        <f>'Component OPR Dump'!J14</f>
        <v/>
      </c>
      <c r="X22" s="48">
        <f>iferror(sumif('Raw Data'!$Q:$Q,$A22,'Raw Data'!L:L)/countif('Raw Data'!$Q:$Q,$A22), )</f>
        <v>0</v>
      </c>
    </row>
    <row r="23" ht="15.0" customHeight="1">
      <c r="A23" s="70">
        <v>3501.0</v>
      </c>
      <c r="B23" s="48">
        <f>iferror((sumif('Raw Data'!$Q:$Q,$A23,'Raw Data'!P:P)/countif('Raw Data'!$Q:$Q,$A23))+R23+(T23/3),0)</f>
        <v>31.70068027</v>
      </c>
      <c r="C23" s="48">
        <f t="array" ref="C23">max(if('Raw Data'!$Q:$Q=$A23,'Raw Data'!$P:$P))</f>
        <v>65</v>
      </c>
      <c r="D23" s="58">
        <f>iferror(sumif('Raw Data'!$Q:$Q,$A23,'Raw Data'!E:E)/countif('Raw Data'!$Q:$Q,$A23),0)</f>
        <v>0</v>
      </c>
      <c r="E23" s="58">
        <f t="array" ref="E23">max(if('Raw Data'!$Q:$Q=$A23,'Raw Data'!$E:$E))</f>
        <v>0</v>
      </c>
      <c r="F23" s="58">
        <f>iferror(sumif('Raw Data'!$Q:$Q,$A23,'Raw Data'!F:F)/countif('Raw Data'!$Q:$Q,$A23),0)</f>
        <v>0.1428571429</v>
      </c>
      <c r="G23" s="58">
        <f t="array" ref="G23">max(if('Raw Data'!$Q:$Q=$A23,'Raw Data'!$F:$F))</f>
        <v>1</v>
      </c>
      <c r="H23" s="58">
        <f>iferror(sumif('Raw Data'!$Q:$Q,$A23,'Raw Data'!G:G)/countif('Raw Data'!$Q:$Q,$A23),0)</f>
        <v>0.5714285714</v>
      </c>
      <c r="I23" s="58">
        <f>iferror(sumif('Raw Data'!$Q:$Q,$A23,'Raw Data'!H:H)/countif('Raw Data'!$Q:$Q,$A23),0)</f>
        <v>0</v>
      </c>
      <c r="J23" s="58">
        <f t="array" ref="J23">max(if('Raw Data'!$Q:$Q=$A23,'Raw Data'!$H:$H))</f>
        <v>0</v>
      </c>
      <c r="K23" s="48">
        <f>iferror(sumif('Raw Data'!$Q:$Q,$A23,'Raw Data'!I:I)/countif('Raw Data'!$Q:$Q,$A23),0)</f>
        <v>1.285714286</v>
      </c>
      <c r="L23" s="48">
        <f t="array" ref="L23">max(if('Raw Data'!$Q:$Q=$A23,'Raw Data'!$I:$I))</f>
        <v>3</v>
      </c>
      <c r="M23" s="58">
        <f>iferror(sumif('Raw Data'!$Q:$Q,$A23,'Raw Data'!J:J)/countif('Raw Data'!$Q:$Q,$A23),0)</f>
        <v>0</v>
      </c>
      <c r="N23" s="58">
        <f>iferror(sumif('Raw Data'!$Q:$Q,$A23,'Raw Data'!K:K)/countif('Raw Data'!$Q:$Q,$A23),0)</f>
        <v>0</v>
      </c>
      <c r="O23" s="64">
        <f>F23*'Control PanelOur Matches'!$K$2</f>
        <v>8.571428571</v>
      </c>
      <c r="P23" s="64">
        <f t="shared" si="1"/>
        <v>0</v>
      </c>
      <c r="Q23" s="64">
        <f t="shared" si="2"/>
        <v>1.428571429</v>
      </c>
      <c r="R23" s="58" t="str">
        <f>'Component OPR Dump'!F30</f>
        <v/>
      </c>
      <c r="S23" s="58" t="str">
        <f>'Component OPR Dump'!D30</f>
        <v/>
      </c>
      <c r="T23" s="58" t="str">
        <f>'Component OPR Dump'!I30</f>
        <v/>
      </c>
      <c r="U23" s="58" t="str">
        <f>'Component OPR Dump'!H30</f>
        <v/>
      </c>
      <c r="V23" s="58" t="str">
        <f>'Component OPR Dump'!G30</f>
        <v/>
      </c>
      <c r="W23" s="58" t="str">
        <f>'Component OPR Dump'!J30</f>
        <v/>
      </c>
      <c r="X23" s="48">
        <f>iferror(sumif('Raw Data'!$Q:$Q,$A23,'Raw Data'!L:L)/countif('Raw Data'!$Q:$Q,$A23), )</f>
        <v>0</v>
      </c>
    </row>
    <row r="24" ht="15.0" customHeight="1">
      <c r="A24" s="42">
        <v>980.0</v>
      </c>
      <c r="B24" s="48">
        <f>iferror((sumif('Raw Data'!$Q:$Q,$A24,'Raw Data'!P:P)/countif('Raw Data'!$Q:$Q,$A24))+R24+(T24/3),0)</f>
        <v>23.27777778</v>
      </c>
      <c r="C24" s="48">
        <f t="array" ref="C24">max(if('Raw Data'!$Q:$Q=$A24,'Raw Data'!$P:$P))</f>
        <v>48</v>
      </c>
      <c r="D24" s="58">
        <f>iferror(sumif('Raw Data'!$Q:$Q,$A24,'Raw Data'!E:E)/countif('Raw Data'!$Q:$Q,$A24),0)</f>
        <v>0</v>
      </c>
      <c r="E24" s="58">
        <f t="array" ref="E24">max(if('Raw Data'!$Q:$Q=$A24,'Raw Data'!$E:$E))</f>
        <v>0</v>
      </c>
      <c r="F24" s="58">
        <f>iferror(sumif('Raw Data'!$Q:$Q,$A24,'Raw Data'!F:F)/countif('Raw Data'!$Q:$Q,$A24),0)</f>
        <v>0</v>
      </c>
      <c r="G24" s="58">
        <f t="array" ref="G24">max(if('Raw Data'!$Q:$Q=$A24,'Raw Data'!$F:$F))</f>
        <v>0</v>
      </c>
      <c r="H24" s="58">
        <f>iferror(sumif('Raw Data'!$Q:$Q,$A24,'Raw Data'!G:G)/countif('Raw Data'!$Q:$Q,$A24),0)</f>
        <v>0.5</v>
      </c>
      <c r="I24" s="58">
        <f>iferror(sumif('Raw Data'!$Q:$Q,$A24,'Raw Data'!H:H)/countif('Raw Data'!$Q:$Q,$A24),0)</f>
        <v>0</v>
      </c>
      <c r="J24" s="58">
        <f t="array" ref="J24">max(if('Raw Data'!$Q:$Q=$A24,'Raw Data'!$H:$H))</f>
        <v>0</v>
      </c>
      <c r="K24" s="48">
        <f>iferror(sumif('Raw Data'!$Q:$Q,$A24,'Raw Data'!I:I)/countif('Raw Data'!$Q:$Q,$A24),0)</f>
        <v>1.166666667</v>
      </c>
      <c r="L24" s="48">
        <f t="array" ref="L24">max(if('Raw Data'!$Q:$Q=$A24,'Raw Data'!$I:$I))</f>
        <v>3</v>
      </c>
      <c r="M24" s="58">
        <f>iferror(sumif('Raw Data'!$Q:$Q,$A24,'Raw Data'!J:J)/countif('Raw Data'!$Q:$Q,$A24),0)</f>
        <v>0</v>
      </c>
      <c r="N24" s="58">
        <f>iferror(sumif('Raw Data'!$Q:$Q,$A24,'Raw Data'!K:K)/countif('Raw Data'!$Q:$Q,$A24),0)</f>
        <v>0.1666666667</v>
      </c>
      <c r="O24" s="64">
        <f>F24*'Control PanelOur Matches'!$K$2</f>
        <v>0</v>
      </c>
      <c r="P24" s="64">
        <f t="shared" si="1"/>
        <v>0</v>
      </c>
      <c r="Q24" s="64">
        <f t="shared" si="2"/>
        <v>1.166666667</v>
      </c>
      <c r="R24" s="58" t="str">
        <f>'Component OPR Dump'!F9</f>
        <v/>
      </c>
      <c r="S24" s="58" t="str">
        <f>'Component OPR Dump'!D9</f>
        <v/>
      </c>
      <c r="T24" s="58" t="str">
        <f>'Component OPR Dump'!I9</f>
        <v/>
      </c>
      <c r="U24" s="58" t="str">
        <f>'Component OPR Dump'!H9</f>
        <v/>
      </c>
      <c r="V24" s="58" t="str">
        <f>'Component OPR Dump'!G9</f>
        <v/>
      </c>
      <c r="W24" s="58" t="str">
        <f>'Component OPR Dump'!J9</f>
        <v/>
      </c>
      <c r="X24" s="48">
        <f>iferror(sumif('Raw Data'!$Q:$Q,$A24,'Raw Data'!L:L)/countif('Raw Data'!$Q:$Q,$A24), )</f>
        <v>0</v>
      </c>
    </row>
    <row r="25" ht="15.0" customHeight="1">
      <c r="A25" s="70">
        <v>6657.0</v>
      </c>
      <c r="B25" s="48">
        <f>iferror((sumif('Raw Data'!$Q:$Q,$A25,'Raw Data'!P:P)/countif('Raw Data'!$Q:$Q,$A25))+R25+(T25/3),0)</f>
        <v>25.22222222</v>
      </c>
      <c r="C25" s="48">
        <f t="array" ref="C25">max(if('Raw Data'!$Q:$Q=$A25,'Raw Data'!$P:$P))</f>
        <v>48</v>
      </c>
      <c r="D25" s="58">
        <f>iferror(sumif('Raw Data'!$Q:$Q,$A25,'Raw Data'!E:E)/countif('Raw Data'!$Q:$Q,$A25),0)</f>
        <v>0</v>
      </c>
      <c r="E25" s="58">
        <f t="array" ref="E25">max(if('Raw Data'!$Q:$Q=$A25,'Raw Data'!$E:$E))</f>
        <v>0</v>
      </c>
      <c r="F25" s="58">
        <f>iferror(sumif('Raw Data'!$Q:$Q,$A25,'Raw Data'!F:F)/countif('Raw Data'!$Q:$Q,$A25),0)</f>
        <v>0</v>
      </c>
      <c r="G25" s="58">
        <f t="array" ref="G25">max(if('Raw Data'!$Q:$Q=$A25,'Raw Data'!$F:$F))</f>
        <v>0</v>
      </c>
      <c r="H25" s="58">
        <f>iferror(sumif('Raw Data'!$Q:$Q,$A25,'Raw Data'!G:G)/countif('Raw Data'!$Q:$Q,$A25),0)</f>
        <v>0.3333333333</v>
      </c>
      <c r="I25" s="58">
        <f>iferror(sumif('Raw Data'!$Q:$Q,$A25,'Raw Data'!H:H)/countif('Raw Data'!$Q:$Q,$A25),0)</f>
        <v>0</v>
      </c>
      <c r="J25" s="58">
        <f t="array" ref="J25">max(if('Raw Data'!$Q:$Q=$A25,'Raw Data'!$H:$H))</f>
        <v>0</v>
      </c>
      <c r="K25" s="48">
        <f>iferror(sumif('Raw Data'!$Q:$Q,$A25,'Raw Data'!I:I)/countif('Raw Data'!$Q:$Q,$A25),0)</f>
        <v>1.166666667</v>
      </c>
      <c r="L25" s="48">
        <f t="array" ref="L25">max(if('Raw Data'!$Q:$Q=$A25,'Raw Data'!$I:$I))</f>
        <v>3</v>
      </c>
      <c r="M25" s="58">
        <f>iferror(sumif('Raw Data'!$Q:$Q,$A25,'Raw Data'!J:J)/countif('Raw Data'!$Q:$Q,$A25),0)</f>
        <v>0</v>
      </c>
      <c r="N25" s="58">
        <f>iferror(sumif('Raw Data'!$Q:$Q,$A25,'Raw Data'!K:K)/countif('Raw Data'!$Q:$Q,$A25),0)</f>
        <v>0</v>
      </c>
      <c r="O25" s="64">
        <f>F25*'Control PanelOur Matches'!$K$2</f>
        <v>0</v>
      </c>
      <c r="P25" s="64">
        <f t="shared" si="1"/>
        <v>0</v>
      </c>
      <c r="Q25" s="64">
        <f t="shared" si="2"/>
        <v>1.166666667</v>
      </c>
      <c r="R25" s="58" t="str">
        <f>'Component OPR Dump'!F46</f>
        <v/>
      </c>
      <c r="S25" s="58" t="str">
        <f>'Component OPR Dump'!D46</f>
        <v/>
      </c>
      <c r="T25" s="58" t="str">
        <f>'Component OPR Dump'!I46</f>
        <v/>
      </c>
      <c r="U25" s="58" t="str">
        <f>'Component OPR Dump'!H46</f>
        <v/>
      </c>
      <c r="V25" s="58" t="str">
        <f>'Component OPR Dump'!G46</f>
        <v/>
      </c>
      <c r="W25" s="58" t="str">
        <f>'Component OPR Dump'!J46</f>
        <v/>
      </c>
      <c r="X25" s="48">
        <f>iferror(sumif('Raw Data'!$Q:$Q,$A25,'Raw Data'!L:L)/countif('Raw Data'!$Q:$Q,$A25), )</f>
        <v>0</v>
      </c>
    </row>
    <row r="26" ht="15.0" customHeight="1">
      <c r="A26" s="42">
        <v>972.0</v>
      </c>
      <c r="B26" s="48">
        <f>iferror((sumif('Raw Data'!$Q:$Q,$A26,'Raw Data'!P:P)/countif('Raw Data'!$Q:$Q,$A26))+R26+(T26/3),0)</f>
        <v>32.66666667</v>
      </c>
      <c r="C26" s="48">
        <f t="array" ref="C26">max(if('Raw Data'!$Q:$Q=$A26,'Raw Data'!$P:$P))</f>
        <v>75</v>
      </c>
      <c r="D26" s="58">
        <f>iferror(sumif('Raw Data'!$Q:$Q,$A26,'Raw Data'!E:E)/countif('Raw Data'!$Q:$Q,$A26),0)</f>
        <v>0</v>
      </c>
      <c r="E26" s="58">
        <f t="array" ref="E26">max(if('Raw Data'!$Q:$Q=$A26,'Raw Data'!$E:$E))</f>
        <v>0</v>
      </c>
      <c r="F26" s="58">
        <f>iferror(sumif('Raw Data'!$Q:$Q,$A26,'Raw Data'!F:F)/countif('Raw Data'!$Q:$Q,$A26),0)</f>
        <v>0</v>
      </c>
      <c r="G26" s="58">
        <f t="array" ref="G26">max(if('Raw Data'!$Q:$Q=$A26,'Raw Data'!$F:$F))</f>
        <v>0</v>
      </c>
      <c r="H26" s="58">
        <f>iferror(sumif('Raw Data'!$Q:$Q,$A26,'Raw Data'!G:G)/countif('Raw Data'!$Q:$Q,$A26),0)</f>
        <v>0.8571428571</v>
      </c>
      <c r="I26" s="58">
        <f>iferror(sumif('Raw Data'!$Q:$Q,$A26,'Raw Data'!H:H)/countif('Raw Data'!$Q:$Q,$A26),0)</f>
        <v>0</v>
      </c>
      <c r="J26" s="58">
        <f t="array" ref="J26">max(if('Raw Data'!$Q:$Q=$A26,'Raw Data'!$H:$H))</f>
        <v>0</v>
      </c>
      <c r="K26" s="48">
        <f>iferror(sumif('Raw Data'!$Q:$Q,$A26,'Raw Data'!I:I)/countif('Raw Data'!$Q:$Q,$A26),0)</f>
        <v>1.142857143</v>
      </c>
      <c r="L26" s="48">
        <f t="array" ref="L26">max(if('Raw Data'!$Q:$Q=$A26,'Raw Data'!$I:$I))</f>
        <v>2</v>
      </c>
      <c r="M26" s="58">
        <f>iferror(sumif('Raw Data'!$Q:$Q,$A26,'Raw Data'!J:J)/countif('Raw Data'!$Q:$Q,$A26),0)</f>
        <v>0.1428571429</v>
      </c>
      <c r="N26" s="58">
        <f>iferror(sumif('Raw Data'!$Q:$Q,$A26,'Raw Data'!K:K)/countif('Raw Data'!$Q:$Q,$A26),0)</f>
        <v>0</v>
      </c>
      <c r="O26" s="64">
        <f>F26*'Control PanelOur Matches'!$K$2</f>
        <v>0</v>
      </c>
      <c r="P26" s="64">
        <f t="shared" si="1"/>
        <v>0</v>
      </c>
      <c r="Q26" s="64">
        <f t="shared" si="2"/>
        <v>1.142857143</v>
      </c>
      <c r="R26" s="58" t="str">
        <f>'Component OPR Dump'!F7</f>
        <v/>
      </c>
      <c r="S26" s="58" t="str">
        <f>'Component OPR Dump'!D7</f>
        <v/>
      </c>
      <c r="T26" s="58" t="str">
        <f>'Component OPR Dump'!I7</f>
        <v/>
      </c>
      <c r="U26" s="58" t="str">
        <f>'Component OPR Dump'!H7</f>
        <v/>
      </c>
      <c r="V26" s="58" t="str">
        <f>'Component OPR Dump'!G7</f>
        <v/>
      </c>
      <c r="W26" s="58" t="str">
        <f>'Component OPR Dump'!J7</f>
        <v/>
      </c>
      <c r="X26" s="48">
        <f>iferror(sumif('Raw Data'!$Q:$Q,$A26,'Raw Data'!L:L)/countif('Raw Data'!$Q:$Q,$A26), )</f>
        <v>0</v>
      </c>
    </row>
    <row r="27" ht="15.0" customHeight="1">
      <c r="A27" s="70">
        <v>5852.0</v>
      </c>
      <c r="B27" s="48">
        <f>iferror((sumif('Raw Data'!$Q:$Q,$A27,'Raw Data'!P:P)/countif('Raw Data'!$Q:$Q,$A27))+R27+(T27/3),0)</f>
        <v>52.57142857</v>
      </c>
      <c r="C27" s="48">
        <f t="array" ref="C27">max(if('Raw Data'!$Q:$Q=$A27,'Raw Data'!$P:$P))</f>
        <v>108.3333333</v>
      </c>
      <c r="D27" s="58">
        <f>iferror(sumif('Raw Data'!$Q:$Q,$A27,'Raw Data'!E:E)/countif('Raw Data'!$Q:$Q,$A27),0)</f>
        <v>0</v>
      </c>
      <c r="E27" s="58">
        <f t="array" ref="E27">max(if('Raw Data'!$Q:$Q=$A27,'Raw Data'!$E:$E))</f>
        <v>0</v>
      </c>
      <c r="F27" s="58">
        <f>iferror(sumif('Raw Data'!$Q:$Q,$A27,'Raw Data'!F:F)/countif('Raw Data'!$Q:$Q,$A27),0)</f>
        <v>0</v>
      </c>
      <c r="G27" s="58">
        <f t="array" ref="G27">max(if('Raw Data'!$Q:$Q=$A27,'Raw Data'!$F:$F))</f>
        <v>0</v>
      </c>
      <c r="H27" s="58">
        <f>iferror(sumif('Raw Data'!$Q:$Q,$A27,'Raw Data'!G:G)/countif('Raw Data'!$Q:$Q,$A27),0)</f>
        <v>0.5714285714</v>
      </c>
      <c r="I27" s="58">
        <f>iferror(sumif('Raw Data'!$Q:$Q,$A27,'Raw Data'!H:H)/countif('Raw Data'!$Q:$Q,$A27),0)</f>
        <v>0</v>
      </c>
      <c r="J27" s="58">
        <f t="array" ref="J27">max(if('Raw Data'!$Q:$Q=$A27,'Raw Data'!$H:$H))</f>
        <v>0</v>
      </c>
      <c r="K27" s="48">
        <f>iferror(sumif('Raw Data'!$Q:$Q,$A27,'Raw Data'!I:I)/countif('Raw Data'!$Q:$Q,$A27),0)</f>
        <v>1</v>
      </c>
      <c r="L27" s="48">
        <f t="array" ref="L27">max(if('Raw Data'!$Q:$Q=$A27,'Raw Data'!$I:$I))</f>
        <v>2</v>
      </c>
      <c r="M27" s="58">
        <f>iferror(sumif('Raw Data'!$Q:$Q,$A27,'Raw Data'!J:J)/countif('Raw Data'!$Q:$Q,$A27),0)</f>
        <v>0.5714285714</v>
      </c>
      <c r="N27" s="58">
        <f>iferror(sumif('Raw Data'!$Q:$Q,$A27,'Raw Data'!K:K)/countif('Raw Data'!$Q:$Q,$A27),0)</f>
        <v>0</v>
      </c>
      <c r="O27" s="64">
        <f>F27*'Control PanelOur Matches'!$K$2</f>
        <v>0</v>
      </c>
      <c r="P27" s="64">
        <f t="shared" si="1"/>
        <v>0</v>
      </c>
      <c r="Q27" s="64">
        <f t="shared" si="2"/>
        <v>1</v>
      </c>
      <c r="R27" s="58" t="str">
        <f>'Component OPR Dump'!F41</f>
        <v/>
      </c>
      <c r="S27" s="58" t="str">
        <f>'Component OPR Dump'!D41</f>
        <v/>
      </c>
      <c r="T27" s="58" t="str">
        <f>'Component OPR Dump'!I41</f>
        <v/>
      </c>
      <c r="U27" s="58" t="str">
        <f>'Component OPR Dump'!H41</f>
        <v/>
      </c>
      <c r="V27" s="58" t="str">
        <f>'Component OPR Dump'!G41</f>
        <v/>
      </c>
      <c r="W27" s="58" t="str">
        <f>'Component OPR Dump'!J41</f>
        <v/>
      </c>
      <c r="X27" s="48">
        <f>iferror(sumif('Raw Data'!$Q:$Q,$A27,'Raw Data'!L:L)/countif('Raw Data'!$Q:$Q,$A27), )</f>
        <v>0</v>
      </c>
    </row>
    <row r="28" ht="15.0" customHeight="1">
      <c r="A28" s="42">
        <v>2761.0</v>
      </c>
      <c r="B28" s="48">
        <f>iferror((sumif('Raw Data'!$Q:$Q,$A28,'Raw Data'!P:P)/countif('Raw Data'!$Q:$Q,$A28))+R28+(T28/3),0)</f>
        <v>40</v>
      </c>
      <c r="C28" s="48">
        <f t="array" ref="C28">max(if('Raw Data'!$Q:$Q=$A28,'Raw Data'!$P:$P))</f>
        <v>80</v>
      </c>
      <c r="D28" s="58">
        <f>iferror(sumif('Raw Data'!$Q:$Q,$A28,'Raw Data'!E:E)/countif('Raw Data'!$Q:$Q,$A28),0)</f>
        <v>0</v>
      </c>
      <c r="E28" s="58">
        <f t="array" ref="E28">max(if('Raw Data'!$Q:$Q=$A28,'Raw Data'!$E:$E))</f>
        <v>0</v>
      </c>
      <c r="F28" s="58">
        <f>iferror(sumif('Raw Data'!$Q:$Q,$A28,'Raw Data'!F:F)/countif('Raw Data'!$Q:$Q,$A28),0)</f>
        <v>0</v>
      </c>
      <c r="G28" s="58">
        <f t="array" ref="G28">max(if('Raw Data'!$Q:$Q=$A28,'Raw Data'!$F:$F))</f>
        <v>0</v>
      </c>
      <c r="H28" s="58">
        <f>iferror(sumif('Raw Data'!$Q:$Q,$A28,'Raw Data'!G:G)/countif('Raw Data'!$Q:$Q,$A28),0)</f>
        <v>0.3333333333</v>
      </c>
      <c r="I28" s="58">
        <f>iferror(sumif('Raw Data'!$Q:$Q,$A28,'Raw Data'!H:H)/countif('Raw Data'!$Q:$Q,$A28),0)</f>
        <v>0</v>
      </c>
      <c r="J28" s="58">
        <f t="array" ref="J28">max(if('Raw Data'!$Q:$Q=$A28,'Raw Data'!$H:$H))</f>
        <v>0</v>
      </c>
      <c r="K28" s="48">
        <f>iferror(sumif('Raw Data'!$Q:$Q,$A28,'Raw Data'!I:I)/countif('Raw Data'!$Q:$Q,$A28),0)</f>
        <v>1</v>
      </c>
      <c r="L28" s="48">
        <f t="array" ref="L28">max(if('Raw Data'!$Q:$Q=$A28,'Raw Data'!$I:$I))</f>
        <v>2</v>
      </c>
      <c r="M28" s="58">
        <f>iferror(sumif('Raw Data'!$Q:$Q,$A28,'Raw Data'!J:J)/countif('Raw Data'!$Q:$Q,$A28),0)</f>
        <v>0.3333333333</v>
      </c>
      <c r="N28" s="58">
        <f>iferror(sumif('Raw Data'!$Q:$Q,$A28,'Raw Data'!K:K)/countif('Raw Data'!$Q:$Q,$A28),0)</f>
        <v>0.1666666667</v>
      </c>
      <c r="O28" s="64">
        <f>F28*'Control PanelOur Matches'!$K$2</f>
        <v>0</v>
      </c>
      <c r="P28" s="64">
        <f t="shared" si="1"/>
        <v>0</v>
      </c>
      <c r="Q28" s="64">
        <f t="shared" si="2"/>
        <v>1</v>
      </c>
      <c r="R28" s="58" t="str">
        <f>'Component OPR Dump'!F23</f>
        <v/>
      </c>
      <c r="S28" s="58" t="str">
        <f>'Component OPR Dump'!D23</f>
        <v/>
      </c>
      <c r="T28" s="58" t="str">
        <f>'Component OPR Dump'!I23</f>
        <v/>
      </c>
      <c r="U28" s="58" t="str">
        <f>'Component OPR Dump'!H23</f>
        <v/>
      </c>
      <c r="V28" s="58" t="str">
        <f>'Component OPR Dump'!G23</f>
        <v/>
      </c>
      <c r="W28" s="58" t="str">
        <f>'Component OPR Dump'!J23</f>
        <v/>
      </c>
      <c r="X28" s="48">
        <f>iferror(sumif('Raw Data'!$Q:$Q,$A28,'Raw Data'!L:L)/countif('Raw Data'!$Q:$Q,$A28), )</f>
        <v>0</v>
      </c>
    </row>
    <row r="29" ht="15.0" customHeight="1">
      <c r="A29" s="70">
        <v>5677.0</v>
      </c>
      <c r="B29" s="48">
        <f>iferror((sumif('Raw Data'!$Q:$Q,$A29,'Raw Data'!P:P)/countif('Raw Data'!$Q:$Q,$A29))+R29+(T29/3),0)</f>
        <v>36.5</v>
      </c>
      <c r="C29" s="48">
        <f t="array" ref="C29">max(if('Raw Data'!$Q:$Q=$A29,'Raw Data'!$P:$P))</f>
        <v>76.66666667</v>
      </c>
      <c r="D29" s="58">
        <f>iferror(sumif('Raw Data'!$Q:$Q,$A29,'Raw Data'!E:E)/countif('Raw Data'!$Q:$Q,$A29),0)</f>
        <v>0</v>
      </c>
      <c r="E29" s="58">
        <f t="array" ref="E29">max(if('Raw Data'!$Q:$Q=$A29,'Raw Data'!$E:$E))</f>
        <v>0</v>
      </c>
      <c r="F29" s="58">
        <f>iferror(sumif('Raw Data'!$Q:$Q,$A29,'Raw Data'!F:F)/countif('Raw Data'!$Q:$Q,$A29),0)</f>
        <v>0</v>
      </c>
      <c r="G29" s="58">
        <f t="array" ref="G29">max(if('Raw Data'!$Q:$Q=$A29,'Raw Data'!$F:$F))</f>
        <v>0</v>
      </c>
      <c r="H29" s="58">
        <f>iferror(sumif('Raw Data'!$Q:$Q,$A29,'Raw Data'!G:G)/countif('Raw Data'!$Q:$Q,$A29),0)</f>
        <v>0.5</v>
      </c>
      <c r="I29" s="58">
        <f>iferror(sumif('Raw Data'!$Q:$Q,$A29,'Raw Data'!H:H)/countif('Raw Data'!$Q:$Q,$A29),0)</f>
        <v>0</v>
      </c>
      <c r="J29" s="58">
        <f t="array" ref="J29">max(if('Raw Data'!$Q:$Q=$A29,'Raw Data'!$H:$H))</f>
        <v>0</v>
      </c>
      <c r="K29" s="48">
        <f>iferror(sumif('Raw Data'!$Q:$Q,$A29,'Raw Data'!I:I)/countif('Raw Data'!$Q:$Q,$A29),0)</f>
        <v>1</v>
      </c>
      <c r="L29" s="48">
        <f t="array" ref="L29">max(if('Raw Data'!$Q:$Q=$A29,'Raw Data'!$I:$I))</f>
        <v>2</v>
      </c>
      <c r="M29" s="58">
        <f>iferror(sumif('Raw Data'!$Q:$Q,$A29,'Raw Data'!J:J)/countif('Raw Data'!$Q:$Q,$A29),0)</f>
        <v>0.3333333333</v>
      </c>
      <c r="N29" s="58">
        <f>iferror(sumif('Raw Data'!$Q:$Q,$A29,'Raw Data'!K:K)/countif('Raw Data'!$Q:$Q,$A29),0)</f>
        <v>0</v>
      </c>
      <c r="O29" s="64">
        <f>F29*'Control PanelOur Matches'!$K$2</f>
        <v>0</v>
      </c>
      <c r="P29" s="64">
        <f t="shared" si="1"/>
        <v>0</v>
      </c>
      <c r="Q29" s="64">
        <f t="shared" si="2"/>
        <v>1</v>
      </c>
      <c r="R29" s="58" t="str">
        <f>'Component OPR Dump'!F39</f>
        <v/>
      </c>
      <c r="S29" s="58" t="str">
        <f>'Component OPR Dump'!D39</f>
        <v/>
      </c>
      <c r="T29" s="58" t="str">
        <f>'Component OPR Dump'!I39</f>
        <v/>
      </c>
      <c r="U29" s="58" t="str">
        <f>'Component OPR Dump'!H39</f>
        <v/>
      </c>
      <c r="V29" s="58" t="str">
        <f>'Component OPR Dump'!G39</f>
        <v/>
      </c>
      <c r="W29" s="58" t="str">
        <f>'Component OPR Dump'!J39</f>
        <v/>
      </c>
      <c r="X29" s="48">
        <f>iferror(sumif('Raw Data'!$Q:$Q,$A29,'Raw Data'!L:L)/countif('Raw Data'!$Q:$Q,$A29), )</f>
        <v>0</v>
      </c>
    </row>
    <row r="30" ht="15.0" customHeight="1">
      <c r="A30" s="70">
        <v>4255.0</v>
      </c>
      <c r="B30" s="48">
        <f>iferror((sumif('Raw Data'!$Q:$Q,$A30,'Raw Data'!P:P)/countif('Raw Data'!$Q:$Q,$A30))+R30+(T30/3),0)</f>
        <v>37.38095238</v>
      </c>
      <c r="C30" s="48">
        <f t="array" ref="C30">max(if('Raw Data'!$Q:$Q=$A30,'Raw Data'!$P:$P))</f>
        <v>72.14285714</v>
      </c>
      <c r="D30" s="58">
        <f>iferror(sumif('Raw Data'!$Q:$Q,$A30,'Raw Data'!E:E)/countif('Raw Data'!$Q:$Q,$A30),0)</f>
        <v>0</v>
      </c>
      <c r="E30" s="58">
        <f t="array" ref="E30">max(if('Raw Data'!$Q:$Q=$A30,'Raw Data'!$E:$E))</f>
        <v>0</v>
      </c>
      <c r="F30" s="58">
        <f>iferror(sumif('Raw Data'!$Q:$Q,$A30,'Raw Data'!F:F)/countif('Raw Data'!$Q:$Q,$A30),0)</f>
        <v>0</v>
      </c>
      <c r="G30" s="58">
        <f t="array" ref="G30">max(if('Raw Data'!$Q:$Q=$A30,'Raw Data'!$F:$F))</f>
        <v>0</v>
      </c>
      <c r="H30" s="58">
        <f>iferror(sumif('Raw Data'!$Q:$Q,$A30,'Raw Data'!G:G)/countif('Raw Data'!$Q:$Q,$A30),0)</f>
        <v>0.7142857143</v>
      </c>
      <c r="I30" s="58">
        <f>iferror(sumif('Raw Data'!$Q:$Q,$A30,'Raw Data'!H:H)/countif('Raw Data'!$Q:$Q,$A30),0)</f>
        <v>0</v>
      </c>
      <c r="J30" s="58">
        <f t="array" ref="J30">max(if('Raw Data'!$Q:$Q=$A30,'Raw Data'!$H:$H))</f>
        <v>0</v>
      </c>
      <c r="K30" s="48">
        <f>iferror(sumif('Raw Data'!$Q:$Q,$A30,'Raw Data'!I:I)/countif('Raw Data'!$Q:$Q,$A30),0)</f>
        <v>0.8571428571</v>
      </c>
      <c r="L30" s="48">
        <f t="array" ref="L30">max(if('Raw Data'!$Q:$Q=$A30,'Raw Data'!$I:$I))</f>
        <v>2</v>
      </c>
      <c r="M30" s="58">
        <f>iferror(sumif('Raw Data'!$Q:$Q,$A30,'Raw Data'!J:J)/countif('Raw Data'!$Q:$Q,$A30),0)</f>
        <v>0.4285714286</v>
      </c>
      <c r="N30" s="58">
        <f>iferror(sumif('Raw Data'!$Q:$Q,$A30,'Raw Data'!K:K)/countif('Raw Data'!$Q:$Q,$A30),0)</f>
        <v>0</v>
      </c>
      <c r="O30" s="64">
        <f>F30*'Control PanelOur Matches'!$K$2</f>
        <v>0</v>
      </c>
      <c r="P30" s="64">
        <f t="shared" si="1"/>
        <v>0</v>
      </c>
      <c r="Q30" s="64">
        <f t="shared" si="2"/>
        <v>0.8571428571</v>
      </c>
      <c r="R30" s="58" t="str">
        <f>'Component OPR Dump'!F32</f>
        <v/>
      </c>
      <c r="S30" s="58" t="str">
        <f>'Component OPR Dump'!D32</f>
        <v/>
      </c>
      <c r="T30" s="58" t="str">
        <f>'Component OPR Dump'!I32</f>
        <v/>
      </c>
      <c r="U30" s="58" t="str">
        <f>'Component OPR Dump'!H32</f>
        <v/>
      </c>
      <c r="V30" s="58" t="str">
        <f>'Component OPR Dump'!G32</f>
        <v/>
      </c>
      <c r="W30" s="58" t="str">
        <f>'Component OPR Dump'!J32</f>
        <v/>
      </c>
      <c r="X30" s="48">
        <f>iferror(sumif('Raw Data'!$Q:$Q,$A30,'Raw Data'!L:L)/countif('Raw Data'!$Q:$Q,$A30), )</f>
        <v>0</v>
      </c>
    </row>
    <row r="31" ht="15.0" customHeight="1">
      <c r="A31" s="42">
        <v>1671.0</v>
      </c>
      <c r="B31" s="48">
        <f>iferror((sumif('Raw Data'!$Q:$Q,$A31,'Raw Data'!P:P)/countif('Raw Data'!$Q:$Q,$A31))+R31+(T31/3),0)</f>
        <v>32.6122449</v>
      </c>
      <c r="C31" s="48">
        <f t="array" ref="C31">max(if('Raw Data'!$Q:$Q=$A31,'Raw Data'!$P:$P))</f>
        <v>71</v>
      </c>
      <c r="D31" s="58">
        <f>iferror(sumif('Raw Data'!$Q:$Q,$A31,'Raw Data'!E:E)/countif('Raw Data'!$Q:$Q,$A31),0)</f>
        <v>0</v>
      </c>
      <c r="E31" s="58">
        <f t="array" ref="E31">max(if('Raw Data'!$Q:$Q=$A31,'Raw Data'!$E:$E))</f>
        <v>0</v>
      </c>
      <c r="F31" s="58">
        <f>iferror(sumif('Raw Data'!$Q:$Q,$A31,'Raw Data'!F:F)/countif('Raw Data'!$Q:$Q,$A31),0)</f>
        <v>0</v>
      </c>
      <c r="G31" s="58">
        <f t="array" ref="G31">max(if('Raw Data'!$Q:$Q=$A31,'Raw Data'!$F:$F))</f>
        <v>0</v>
      </c>
      <c r="H31" s="58">
        <f>iferror(sumif('Raw Data'!$Q:$Q,$A31,'Raw Data'!G:G)/countif('Raw Data'!$Q:$Q,$A31),0)</f>
        <v>0.8571428571</v>
      </c>
      <c r="I31" s="58">
        <f>iferror(sumif('Raw Data'!$Q:$Q,$A31,'Raw Data'!H:H)/countif('Raw Data'!$Q:$Q,$A31),0)</f>
        <v>0</v>
      </c>
      <c r="J31" s="58">
        <f t="array" ref="J31">max(if('Raw Data'!$Q:$Q=$A31,'Raw Data'!$H:$H))</f>
        <v>0</v>
      </c>
      <c r="K31" s="48">
        <f>iferror(sumif('Raw Data'!$Q:$Q,$A31,'Raw Data'!I:I)/countif('Raw Data'!$Q:$Q,$A31),0)</f>
        <v>0.8571428571</v>
      </c>
      <c r="L31" s="48">
        <f t="array" ref="L31">max(if('Raw Data'!$Q:$Q=$A31,'Raw Data'!$I:$I))</f>
        <v>3</v>
      </c>
      <c r="M31" s="58">
        <f>iferror(sumif('Raw Data'!$Q:$Q,$A31,'Raw Data'!J:J)/countif('Raw Data'!$Q:$Q,$A31),0)</f>
        <v>0.2857142857</v>
      </c>
      <c r="N31" s="58">
        <f>iferror(sumif('Raw Data'!$Q:$Q,$A31,'Raw Data'!K:K)/countif('Raw Data'!$Q:$Q,$A31),0)</f>
        <v>0</v>
      </c>
      <c r="O31" s="64">
        <f>F31*'Control PanelOur Matches'!$K$2</f>
        <v>0</v>
      </c>
      <c r="P31" s="64">
        <f t="shared" si="1"/>
        <v>0</v>
      </c>
      <c r="Q31" s="64">
        <f t="shared" si="2"/>
        <v>0.8571428571</v>
      </c>
      <c r="R31" s="58" t="str">
        <f>'Component OPR Dump'!F15</f>
        <v/>
      </c>
      <c r="S31" s="58" t="str">
        <f>'Component OPR Dump'!D15</f>
        <v/>
      </c>
      <c r="T31" s="58" t="str">
        <f>'Component OPR Dump'!I15</f>
        <v/>
      </c>
      <c r="U31" s="58" t="str">
        <f>'Component OPR Dump'!H15</f>
        <v/>
      </c>
      <c r="V31" s="58" t="str">
        <f>'Component OPR Dump'!G15</f>
        <v/>
      </c>
      <c r="W31" s="58" t="str">
        <f>'Component OPR Dump'!J15</f>
        <v/>
      </c>
      <c r="X31" s="48">
        <f>iferror(sumif('Raw Data'!$Q:$Q,$A31,'Raw Data'!L:L)/countif('Raw Data'!$Q:$Q,$A31), )</f>
        <v>0</v>
      </c>
    </row>
    <row r="32" ht="15.0" customHeight="1">
      <c r="A32" s="70">
        <v>3970.0</v>
      </c>
      <c r="B32" s="48">
        <f>iferror((sumif('Raw Data'!$Q:$Q,$A32,'Raw Data'!P:P)/countif('Raw Data'!$Q:$Q,$A32))+R32+(T32/3),0)</f>
        <v>28.57936508</v>
      </c>
      <c r="C32" s="48">
        <f t="array" ref="C32">max(if('Raw Data'!$Q:$Q=$A32,'Raw Data'!$P:$P))</f>
        <v>71</v>
      </c>
      <c r="D32" s="58">
        <f>iferror(sumif('Raw Data'!$Q:$Q,$A32,'Raw Data'!E:E)/countif('Raw Data'!$Q:$Q,$A32),0)</f>
        <v>0</v>
      </c>
      <c r="E32" s="58">
        <f t="array" ref="E32">max(if('Raw Data'!$Q:$Q=$A32,'Raw Data'!$E:$E))</f>
        <v>0</v>
      </c>
      <c r="F32" s="58">
        <f>iferror(sumif('Raw Data'!$Q:$Q,$A32,'Raw Data'!F:F)/countif('Raw Data'!$Q:$Q,$A32),0)</f>
        <v>0</v>
      </c>
      <c r="G32" s="58">
        <f t="array" ref="G32">max(if('Raw Data'!$Q:$Q=$A32,'Raw Data'!$F:$F))</f>
        <v>0</v>
      </c>
      <c r="H32" s="58">
        <f>iferror(sumif('Raw Data'!$Q:$Q,$A32,'Raw Data'!G:G)/countif('Raw Data'!$Q:$Q,$A32),0)</f>
        <v>0.5</v>
      </c>
      <c r="I32" s="58">
        <f>iferror(sumif('Raw Data'!$Q:$Q,$A32,'Raw Data'!H:H)/countif('Raw Data'!$Q:$Q,$A32),0)</f>
        <v>0</v>
      </c>
      <c r="J32" s="58">
        <f t="array" ref="J32">max(if('Raw Data'!$Q:$Q=$A32,'Raw Data'!$H:$H))</f>
        <v>0</v>
      </c>
      <c r="K32" s="48">
        <f>iferror(sumif('Raw Data'!$Q:$Q,$A32,'Raw Data'!I:I)/countif('Raw Data'!$Q:$Q,$A32),0)</f>
        <v>0.8333333333</v>
      </c>
      <c r="L32" s="48">
        <f t="array" ref="L32">max(if('Raw Data'!$Q:$Q=$A32,'Raw Data'!$I:$I))</f>
        <v>1</v>
      </c>
      <c r="M32" s="58">
        <f>iferror(sumif('Raw Data'!$Q:$Q,$A32,'Raw Data'!J:J)/countif('Raw Data'!$Q:$Q,$A32),0)</f>
        <v>0.1666666667</v>
      </c>
      <c r="N32" s="58">
        <f>iferror(sumif('Raw Data'!$Q:$Q,$A32,'Raw Data'!K:K)/countif('Raw Data'!$Q:$Q,$A32),0)</f>
        <v>0</v>
      </c>
      <c r="O32" s="64">
        <f>F32*'Control PanelOur Matches'!$K$2</f>
        <v>0</v>
      </c>
      <c r="P32" s="64">
        <f t="shared" si="1"/>
        <v>0</v>
      </c>
      <c r="Q32" s="64">
        <f t="shared" si="2"/>
        <v>0.8333333333</v>
      </c>
      <c r="R32" s="58" t="str">
        <f>'Component OPR Dump'!F31</f>
        <v/>
      </c>
      <c r="S32" s="58" t="str">
        <f>'Component OPR Dump'!D31</f>
        <v/>
      </c>
      <c r="T32" s="58" t="str">
        <f>'Component OPR Dump'!I31</f>
        <v/>
      </c>
      <c r="U32" s="58" t="str">
        <f>'Component OPR Dump'!H31</f>
        <v/>
      </c>
      <c r="V32" s="58" t="str">
        <f>'Component OPR Dump'!G31</f>
        <v/>
      </c>
      <c r="W32" s="58" t="str">
        <f>'Component OPR Dump'!J31</f>
        <v/>
      </c>
      <c r="X32" s="48">
        <f>iferror(sumif('Raw Data'!$Q:$Q,$A32,'Raw Data'!L:L)/countif('Raw Data'!$Q:$Q,$A32), )</f>
        <v>0</v>
      </c>
    </row>
    <row r="33" ht="15.0" customHeight="1">
      <c r="A33" s="42">
        <v>2493.0</v>
      </c>
      <c r="B33" s="48">
        <f>iferror((sumif('Raw Data'!$Q:$Q,$A33,'Raw Data'!P:P)/countif('Raw Data'!$Q:$Q,$A33))+R33+(T33/3),0)</f>
        <v>26</v>
      </c>
      <c r="C33" s="48">
        <f t="array" ref="C33">max(if('Raw Data'!$Q:$Q=$A33,'Raw Data'!$P:$P))</f>
        <v>68.33333333</v>
      </c>
      <c r="D33" s="58">
        <f>iferror(sumif('Raw Data'!$Q:$Q,$A33,'Raw Data'!E:E)/countif('Raw Data'!$Q:$Q,$A33),0)</f>
        <v>0</v>
      </c>
      <c r="E33" s="58">
        <f t="array" ref="E33">max(if('Raw Data'!$Q:$Q=$A33,'Raw Data'!$E:$E))</f>
        <v>0</v>
      </c>
      <c r="F33" s="58">
        <f>iferror(sumif('Raw Data'!$Q:$Q,$A33,'Raw Data'!F:F)/countif('Raw Data'!$Q:$Q,$A33),0)</f>
        <v>0</v>
      </c>
      <c r="G33" s="58">
        <f t="array" ref="G33">max(if('Raw Data'!$Q:$Q=$A33,'Raw Data'!$F:$F))</f>
        <v>0</v>
      </c>
      <c r="H33" s="58">
        <f>iferror(sumif('Raw Data'!$Q:$Q,$A33,'Raw Data'!G:G)/countif('Raw Data'!$Q:$Q,$A33),0)</f>
        <v>0.6666666667</v>
      </c>
      <c r="I33" s="58">
        <f>iferror(sumif('Raw Data'!$Q:$Q,$A33,'Raw Data'!H:H)/countif('Raw Data'!$Q:$Q,$A33),0)</f>
        <v>0</v>
      </c>
      <c r="J33" s="58">
        <f t="array" ref="J33">max(if('Raw Data'!$Q:$Q=$A33,'Raw Data'!$H:$H))</f>
        <v>0</v>
      </c>
      <c r="K33" s="48">
        <f>iferror(sumif('Raw Data'!$Q:$Q,$A33,'Raw Data'!I:I)/countif('Raw Data'!$Q:$Q,$A33),0)</f>
        <v>0.8333333333</v>
      </c>
      <c r="L33" s="48">
        <f t="array" ref="L33">max(if('Raw Data'!$Q:$Q=$A33,'Raw Data'!$I:$I))</f>
        <v>1</v>
      </c>
      <c r="M33" s="58">
        <f>iferror(sumif('Raw Data'!$Q:$Q,$A33,'Raw Data'!J:J)/countif('Raw Data'!$Q:$Q,$A33),0)</f>
        <v>0.1666666667</v>
      </c>
      <c r="N33" s="58">
        <f>iferror(sumif('Raw Data'!$Q:$Q,$A33,'Raw Data'!K:K)/countif('Raw Data'!$Q:$Q,$A33),0)</f>
        <v>0</v>
      </c>
      <c r="O33" s="64">
        <f>F33*'Control PanelOur Matches'!$K$2</f>
        <v>0</v>
      </c>
      <c r="P33" s="64">
        <f t="shared" si="1"/>
        <v>0</v>
      </c>
      <c r="Q33" s="64">
        <f t="shared" si="2"/>
        <v>0.8333333333</v>
      </c>
      <c r="R33" s="58" t="str">
        <f>'Component OPR Dump'!F21</f>
        <v/>
      </c>
      <c r="S33" s="58" t="str">
        <f>'Component OPR Dump'!D21</f>
        <v/>
      </c>
      <c r="T33" s="58" t="str">
        <f>'Component OPR Dump'!I21</f>
        <v/>
      </c>
      <c r="U33" s="58" t="str">
        <f>'Component OPR Dump'!H21</f>
        <v/>
      </c>
      <c r="V33" s="58" t="str">
        <f>'Component OPR Dump'!G21</f>
        <v/>
      </c>
      <c r="W33" s="58" t="str">
        <f>'Component OPR Dump'!J21</f>
        <v/>
      </c>
      <c r="X33" s="48">
        <f>iferror(sumif('Raw Data'!$Q:$Q,$A33,'Raw Data'!L:L)/countif('Raw Data'!$Q:$Q,$A33), )</f>
        <v>0</v>
      </c>
    </row>
    <row r="34" ht="15.0" customHeight="1">
      <c r="A34" s="70">
        <v>3495.0</v>
      </c>
      <c r="B34" s="48">
        <f>iferror((sumif('Raw Data'!$Q:$Q,$A34,'Raw Data'!P:P)/countif('Raw Data'!$Q:$Q,$A34))+R34+(T34/3),0)</f>
        <v>16.94444444</v>
      </c>
      <c r="C34" s="48">
        <f t="array" ref="C34">max(if('Raw Data'!$Q:$Q=$A34,'Raw Data'!$P:$P))</f>
        <v>45</v>
      </c>
      <c r="D34" s="58">
        <f>iferror(sumif('Raw Data'!$Q:$Q,$A34,'Raw Data'!E:E)/countif('Raw Data'!$Q:$Q,$A34),0)</f>
        <v>0</v>
      </c>
      <c r="E34" s="58">
        <f t="array" ref="E34">max(if('Raw Data'!$Q:$Q=$A34,'Raw Data'!$E:$E))</f>
        <v>0</v>
      </c>
      <c r="F34" s="58">
        <f>iferror(sumif('Raw Data'!$Q:$Q,$A34,'Raw Data'!F:F)/countif('Raw Data'!$Q:$Q,$A34),0)</f>
        <v>0</v>
      </c>
      <c r="G34" s="58">
        <f t="array" ref="G34">max(if('Raw Data'!$Q:$Q=$A34,'Raw Data'!$F:$F))</f>
        <v>0</v>
      </c>
      <c r="H34" s="58">
        <f>iferror(sumif('Raw Data'!$Q:$Q,$A34,'Raw Data'!G:G)/countif('Raw Data'!$Q:$Q,$A34),0)</f>
        <v>0.5</v>
      </c>
      <c r="I34" s="58">
        <f>iferror(sumif('Raw Data'!$Q:$Q,$A34,'Raw Data'!H:H)/countif('Raw Data'!$Q:$Q,$A34),0)</f>
        <v>0</v>
      </c>
      <c r="J34" s="58">
        <f t="array" ref="J34">max(if('Raw Data'!$Q:$Q=$A34,'Raw Data'!$H:$H))</f>
        <v>0</v>
      </c>
      <c r="K34" s="48">
        <f>iferror(sumif('Raw Data'!$Q:$Q,$A34,'Raw Data'!I:I)/countif('Raw Data'!$Q:$Q,$A34),0)</f>
        <v>0.6666666667</v>
      </c>
      <c r="L34" s="48">
        <f t="array" ref="L34">max(if('Raw Data'!$Q:$Q=$A34,'Raw Data'!$I:$I))</f>
        <v>2</v>
      </c>
      <c r="M34" s="58">
        <f>iferror(sumif('Raw Data'!$Q:$Q,$A34,'Raw Data'!J:J)/countif('Raw Data'!$Q:$Q,$A34),0)</f>
        <v>0</v>
      </c>
      <c r="N34" s="58">
        <f>iferror(sumif('Raw Data'!$Q:$Q,$A34,'Raw Data'!K:K)/countif('Raw Data'!$Q:$Q,$A34),0)</f>
        <v>0</v>
      </c>
      <c r="O34" s="64">
        <f>F34*'Control PanelOur Matches'!$K$2</f>
        <v>0</v>
      </c>
      <c r="P34" s="64">
        <f t="shared" si="1"/>
        <v>0</v>
      </c>
      <c r="Q34" s="64">
        <f t="shared" si="2"/>
        <v>0.6666666667</v>
      </c>
      <c r="R34" s="58" t="str">
        <f>'Component OPR Dump'!F29</f>
        <v/>
      </c>
      <c r="S34" s="58" t="str">
        <f>'Component OPR Dump'!D29</f>
        <v/>
      </c>
      <c r="T34" s="58" t="str">
        <f>'Component OPR Dump'!I29</f>
        <v/>
      </c>
      <c r="U34" s="58" t="str">
        <f>'Component OPR Dump'!H29</f>
        <v/>
      </c>
      <c r="V34" s="58" t="str">
        <f>'Component OPR Dump'!G29</f>
        <v/>
      </c>
      <c r="W34" s="58" t="str">
        <f>'Component OPR Dump'!J29</f>
        <v/>
      </c>
      <c r="X34" s="48">
        <f>iferror(sumif('Raw Data'!$Q:$Q,$A34,'Raw Data'!L:L)/countif('Raw Data'!$Q:$Q,$A34), )</f>
        <v>0</v>
      </c>
    </row>
    <row r="35" ht="15.0" customHeight="1">
      <c r="A35" s="42">
        <v>1422.0</v>
      </c>
      <c r="B35" s="48">
        <f>iferror((sumif('Raw Data'!$Q:$Q,$A35,'Raw Data'!P:P)/countif('Raw Data'!$Q:$Q,$A35))+R35+(T35/3),0)</f>
        <v>14.29365079</v>
      </c>
      <c r="C35" s="48">
        <f t="array" ref="C35">max(if('Raw Data'!$Q:$Q=$A35,'Raw Data'!$P:$P))</f>
        <v>26.66666667</v>
      </c>
      <c r="D35" s="58">
        <f>iferror(sumif('Raw Data'!$Q:$Q,$A35,'Raw Data'!E:E)/countif('Raw Data'!$Q:$Q,$A35),0)</f>
        <v>0</v>
      </c>
      <c r="E35" s="58">
        <f t="array" ref="E35">max(if('Raw Data'!$Q:$Q=$A35,'Raw Data'!$E:$E))</f>
        <v>0</v>
      </c>
      <c r="F35" s="58">
        <f>iferror(sumif('Raw Data'!$Q:$Q,$A35,'Raw Data'!F:F)/countif('Raw Data'!$Q:$Q,$A35),0)</f>
        <v>0</v>
      </c>
      <c r="G35" s="58">
        <f t="array" ref="G35">max(if('Raw Data'!$Q:$Q=$A35,'Raw Data'!$F:$F))</f>
        <v>0</v>
      </c>
      <c r="H35" s="58">
        <f>iferror(sumif('Raw Data'!$Q:$Q,$A35,'Raw Data'!G:G)/countif('Raw Data'!$Q:$Q,$A35),0)</f>
        <v>0.1666666667</v>
      </c>
      <c r="I35" s="58">
        <f>iferror(sumif('Raw Data'!$Q:$Q,$A35,'Raw Data'!H:H)/countif('Raw Data'!$Q:$Q,$A35),0)</f>
        <v>0</v>
      </c>
      <c r="J35" s="58">
        <f t="array" ref="J35">max(if('Raw Data'!$Q:$Q=$A35,'Raw Data'!$H:$H))</f>
        <v>0</v>
      </c>
      <c r="K35" s="48">
        <f>iferror(sumif('Raw Data'!$Q:$Q,$A35,'Raw Data'!I:I)/countif('Raw Data'!$Q:$Q,$A35),0)</f>
        <v>0.6666666667</v>
      </c>
      <c r="L35" s="48">
        <f t="array" ref="L35">max(if('Raw Data'!$Q:$Q=$A35,'Raw Data'!$I:$I))</f>
        <v>1</v>
      </c>
      <c r="M35" s="58">
        <f>iferror(sumif('Raw Data'!$Q:$Q,$A35,'Raw Data'!J:J)/countif('Raw Data'!$Q:$Q,$A35),0)</f>
        <v>0</v>
      </c>
      <c r="N35" s="58">
        <f>iferror(sumif('Raw Data'!$Q:$Q,$A35,'Raw Data'!K:K)/countif('Raw Data'!$Q:$Q,$A35),0)</f>
        <v>0</v>
      </c>
      <c r="O35" s="64">
        <f>F35*'Control PanelOur Matches'!$K$2</f>
        <v>0</v>
      </c>
      <c r="P35" s="64">
        <f t="shared" si="1"/>
        <v>0</v>
      </c>
      <c r="Q35" s="64">
        <f t="shared" si="2"/>
        <v>0.6666666667</v>
      </c>
      <c r="R35" s="58" t="str">
        <f>'Component OPR Dump'!F13</f>
        <v/>
      </c>
      <c r="S35" s="58" t="str">
        <f>'Component OPR Dump'!D13</f>
        <v/>
      </c>
      <c r="T35" s="58" t="str">
        <f>'Component OPR Dump'!I13</f>
        <v/>
      </c>
      <c r="U35" s="58" t="str">
        <f>'Component OPR Dump'!H13</f>
        <v/>
      </c>
      <c r="V35" s="58" t="str">
        <f>'Component OPR Dump'!G13</f>
        <v/>
      </c>
      <c r="W35" s="58" t="str">
        <f>'Component OPR Dump'!J13</f>
        <v/>
      </c>
      <c r="X35" s="48">
        <f>iferror(sumif('Raw Data'!$Q:$Q,$A35,'Raw Data'!L:L)/countif('Raw Data'!$Q:$Q,$A35), )</f>
        <v>0</v>
      </c>
    </row>
    <row r="36" ht="15.0" customHeight="1">
      <c r="A36" s="70">
        <v>3189.0</v>
      </c>
      <c r="B36" s="48">
        <f>iferror((sumif('Raw Data'!$Q:$Q,$A36,'Raw Data'!P:P)/countif('Raw Data'!$Q:$Q,$A36))+R36+(T36/3),0)</f>
        <v>51.0952381</v>
      </c>
      <c r="C36" s="48">
        <f t="array" ref="C36">max(if('Raw Data'!$Q:$Q=$A36,'Raw Data'!$P:$P))</f>
        <v>141.6666667</v>
      </c>
      <c r="D36" s="58">
        <f>iferror(sumif('Raw Data'!$Q:$Q,$A36,'Raw Data'!E:E)/countif('Raw Data'!$Q:$Q,$A36),0)</f>
        <v>0</v>
      </c>
      <c r="E36" s="58">
        <f t="array" ref="E36">max(if('Raw Data'!$Q:$Q=$A36,'Raw Data'!$E:$E))</f>
        <v>0</v>
      </c>
      <c r="F36" s="58">
        <f>iferror(sumif('Raw Data'!$Q:$Q,$A36,'Raw Data'!F:F)/countif('Raw Data'!$Q:$Q,$A36),0)</f>
        <v>0.2857142857</v>
      </c>
      <c r="G36" s="58">
        <f t="array" ref="G36">max(if('Raw Data'!$Q:$Q=$A36,'Raw Data'!$F:$F))</f>
        <v>1</v>
      </c>
      <c r="H36" s="58">
        <f>iferror(sumif('Raw Data'!$Q:$Q,$A36,'Raw Data'!G:G)/countif('Raw Data'!$Q:$Q,$A36),0)</f>
        <v>0.7142857143</v>
      </c>
      <c r="I36" s="58">
        <f>iferror(sumif('Raw Data'!$Q:$Q,$A36,'Raw Data'!H:H)/countif('Raw Data'!$Q:$Q,$A36),0)</f>
        <v>0</v>
      </c>
      <c r="J36" s="58">
        <f t="array" ref="J36">max(if('Raw Data'!$Q:$Q=$A36,'Raw Data'!$H:$H))</f>
        <v>0</v>
      </c>
      <c r="K36" s="48">
        <f>iferror(sumif('Raw Data'!$Q:$Q,$A36,'Raw Data'!I:I)/countif('Raw Data'!$Q:$Q,$A36),0)</f>
        <v>0.5714285714</v>
      </c>
      <c r="L36" s="48">
        <f t="array" ref="L36">max(if('Raw Data'!$Q:$Q=$A36,'Raw Data'!$I:$I))</f>
        <v>2</v>
      </c>
      <c r="M36" s="58">
        <f>iferror(sumif('Raw Data'!$Q:$Q,$A36,'Raw Data'!J:J)/countif('Raw Data'!$Q:$Q,$A36),0)</f>
        <v>0.4285714286</v>
      </c>
      <c r="N36" s="58">
        <f>iferror(sumif('Raw Data'!$Q:$Q,$A36,'Raw Data'!K:K)/countif('Raw Data'!$Q:$Q,$A36),0)</f>
        <v>0</v>
      </c>
      <c r="O36" s="64">
        <f>F36*'Control PanelOur Matches'!$K$2</f>
        <v>17.14285714</v>
      </c>
      <c r="P36" s="64">
        <f t="shared" si="1"/>
        <v>0</v>
      </c>
      <c r="Q36" s="64">
        <f t="shared" si="2"/>
        <v>0.8571428571</v>
      </c>
      <c r="R36" s="58" t="str">
        <f>'Component OPR Dump'!F26</f>
        <v/>
      </c>
      <c r="S36" s="58" t="str">
        <f>'Component OPR Dump'!D26</f>
        <v/>
      </c>
      <c r="T36" s="58" t="str">
        <f>'Component OPR Dump'!I26</f>
        <v/>
      </c>
      <c r="U36" s="58" t="str">
        <f>'Component OPR Dump'!H26</f>
        <v/>
      </c>
      <c r="V36" s="58" t="str">
        <f>'Component OPR Dump'!G26</f>
        <v/>
      </c>
      <c r="W36" s="58" t="str">
        <f>'Component OPR Dump'!J26</f>
        <v/>
      </c>
      <c r="X36" s="48">
        <f>iferror(sumif('Raw Data'!$Q:$Q,$A36,'Raw Data'!L:L)/countif('Raw Data'!$Q:$Q,$A36), )</f>
        <v>0</v>
      </c>
    </row>
    <row r="37" ht="15.0" customHeight="1">
      <c r="A37" s="42">
        <v>2085.0</v>
      </c>
      <c r="B37" s="48">
        <f>iferror((sumif('Raw Data'!$Q:$Q,$A37,'Raw Data'!P:P)/countif('Raw Data'!$Q:$Q,$A37))+R37+(T37/3),0)</f>
        <v>29.61111111</v>
      </c>
      <c r="C37" s="48">
        <f t="array" ref="C37">max(if('Raw Data'!$Q:$Q=$A37,'Raw Data'!$P:$P))</f>
        <v>81.66666667</v>
      </c>
      <c r="D37" s="58">
        <f>iferror(sumif('Raw Data'!$Q:$Q,$A37,'Raw Data'!E:E)/countif('Raw Data'!$Q:$Q,$A37),0)</f>
        <v>0</v>
      </c>
      <c r="E37" s="58">
        <f t="array" ref="E37">max(if('Raw Data'!$Q:$Q=$A37,'Raw Data'!$E:$E))</f>
        <v>0</v>
      </c>
      <c r="F37" s="58">
        <f>iferror(sumif('Raw Data'!$Q:$Q,$A37,'Raw Data'!F:F)/countif('Raw Data'!$Q:$Q,$A37),0)</f>
        <v>0</v>
      </c>
      <c r="G37" s="58">
        <f t="array" ref="G37">max(if('Raw Data'!$Q:$Q=$A37,'Raw Data'!$F:$F))</f>
        <v>0</v>
      </c>
      <c r="H37" s="58">
        <f>iferror(sumif('Raw Data'!$Q:$Q,$A37,'Raw Data'!G:G)/countif('Raw Data'!$Q:$Q,$A37),0)</f>
        <v>0.5</v>
      </c>
      <c r="I37" s="58">
        <f>iferror(sumif('Raw Data'!$Q:$Q,$A37,'Raw Data'!H:H)/countif('Raw Data'!$Q:$Q,$A37),0)</f>
        <v>0</v>
      </c>
      <c r="J37" s="58">
        <f t="array" ref="J37">max(if('Raw Data'!$Q:$Q=$A37,'Raw Data'!$H:$H))</f>
        <v>0</v>
      </c>
      <c r="K37" s="48">
        <f>iferror(sumif('Raw Data'!$Q:$Q,$A37,'Raw Data'!I:I)/countif('Raw Data'!$Q:$Q,$A37),0)</f>
        <v>0.5</v>
      </c>
      <c r="L37" s="48">
        <f t="array" ref="L37">max(if('Raw Data'!$Q:$Q=$A37,'Raw Data'!$I:$I))</f>
        <v>1</v>
      </c>
      <c r="M37" s="58">
        <f>iferror(sumif('Raw Data'!$Q:$Q,$A37,'Raw Data'!J:J)/countif('Raw Data'!$Q:$Q,$A37),0)</f>
        <v>0.3333333333</v>
      </c>
      <c r="N37" s="58">
        <f>iferror(sumif('Raw Data'!$Q:$Q,$A37,'Raw Data'!K:K)/countif('Raw Data'!$Q:$Q,$A37),0)</f>
        <v>0.1666666667</v>
      </c>
      <c r="O37" s="64">
        <f>F37*'Control PanelOur Matches'!$K$2</f>
        <v>0</v>
      </c>
      <c r="P37" s="64">
        <f t="shared" si="1"/>
        <v>0</v>
      </c>
      <c r="Q37" s="64">
        <f t="shared" si="2"/>
        <v>0.5</v>
      </c>
      <c r="R37" s="58" t="str">
        <f>'Component OPR Dump'!F18</f>
        <v/>
      </c>
      <c r="S37" s="58" t="str">
        <f>'Component OPR Dump'!D18</f>
        <v/>
      </c>
      <c r="T37" s="58" t="str">
        <f>'Component OPR Dump'!I18</f>
        <v/>
      </c>
      <c r="U37" s="58" t="str">
        <f>'Component OPR Dump'!H18</f>
        <v/>
      </c>
      <c r="V37" s="58" t="str">
        <f>'Component OPR Dump'!G18</f>
        <v/>
      </c>
      <c r="W37" s="58" t="str">
        <f>'Component OPR Dump'!J18</f>
        <v/>
      </c>
      <c r="X37" s="48">
        <f>iferror(sumif('Raw Data'!$Q:$Q,$A37,'Raw Data'!L:L)/countif('Raw Data'!$Q:$Q,$A37), )</f>
        <v>0</v>
      </c>
    </row>
    <row r="38" ht="15.0" customHeight="1">
      <c r="A38" s="42">
        <v>1388.0</v>
      </c>
      <c r="B38" s="48">
        <f>iferror((sumif('Raw Data'!$Q:$Q,$A38,'Raw Data'!P:P)/countif('Raw Data'!$Q:$Q,$A38))+R38+(T38/3),0)</f>
        <v>31.0952381</v>
      </c>
      <c r="C38" s="48">
        <f t="array" ref="C38">max(if('Raw Data'!$Q:$Q=$A38,'Raw Data'!$P:$P))</f>
        <v>70</v>
      </c>
      <c r="D38" s="58">
        <f>iferror(sumif('Raw Data'!$Q:$Q,$A38,'Raw Data'!E:E)/countif('Raw Data'!$Q:$Q,$A38),0)</f>
        <v>0</v>
      </c>
      <c r="E38" s="58">
        <f t="array" ref="E38">max(if('Raw Data'!$Q:$Q=$A38,'Raw Data'!$E:$E))</f>
        <v>0</v>
      </c>
      <c r="F38" s="58">
        <f>iferror(sumif('Raw Data'!$Q:$Q,$A38,'Raw Data'!F:F)/countif('Raw Data'!$Q:$Q,$A38),0)</f>
        <v>0</v>
      </c>
      <c r="G38" s="58">
        <f t="array" ref="G38">max(if('Raw Data'!$Q:$Q=$A38,'Raw Data'!$F:$F))</f>
        <v>0</v>
      </c>
      <c r="H38" s="58">
        <f>iferror(sumif('Raw Data'!$Q:$Q,$A38,'Raw Data'!G:G)/countif('Raw Data'!$Q:$Q,$A38),0)</f>
        <v>0.1428571429</v>
      </c>
      <c r="I38" s="58">
        <f>iferror(sumif('Raw Data'!$Q:$Q,$A38,'Raw Data'!H:H)/countif('Raw Data'!$Q:$Q,$A38),0)</f>
        <v>0</v>
      </c>
      <c r="J38" s="58">
        <f t="array" ref="J38">max(if('Raw Data'!$Q:$Q=$A38,'Raw Data'!$H:$H))</f>
        <v>0</v>
      </c>
      <c r="K38" s="48">
        <f>iferror(sumif('Raw Data'!$Q:$Q,$A38,'Raw Data'!I:I)/countif('Raw Data'!$Q:$Q,$A38),0)</f>
        <v>0.4285714286</v>
      </c>
      <c r="L38" s="48">
        <f t="array" ref="L38">max(if('Raw Data'!$Q:$Q=$A38,'Raw Data'!$I:$I))</f>
        <v>1</v>
      </c>
      <c r="M38" s="58">
        <f>iferror(sumif('Raw Data'!$Q:$Q,$A38,'Raw Data'!J:J)/countif('Raw Data'!$Q:$Q,$A38),0)</f>
        <v>0.4285714286</v>
      </c>
      <c r="N38" s="58">
        <f>iferror(sumif('Raw Data'!$Q:$Q,$A38,'Raw Data'!K:K)/countif('Raw Data'!$Q:$Q,$A38),0)</f>
        <v>0</v>
      </c>
      <c r="O38" s="64">
        <f>F38*'Control PanelOur Matches'!$K$2</f>
        <v>0</v>
      </c>
      <c r="P38" s="64">
        <f t="shared" si="1"/>
        <v>0</v>
      </c>
      <c r="Q38" s="64">
        <f t="shared" si="2"/>
        <v>0.4285714286</v>
      </c>
      <c r="R38" s="58" t="str">
        <f>'Component OPR Dump'!F12</f>
        <v/>
      </c>
      <c r="S38" s="58" t="str">
        <f>'Component OPR Dump'!D12</f>
        <v/>
      </c>
      <c r="T38" s="58" t="str">
        <f>'Component OPR Dump'!I12</f>
        <v/>
      </c>
      <c r="U38" s="58" t="str">
        <f>'Component OPR Dump'!H12</f>
        <v/>
      </c>
      <c r="V38" s="58" t="str">
        <f>'Component OPR Dump'!G12</f>
        <v/>
      </c>
      <c r="W38" s="58" t="str">
        <f>'Component OPR Dump'!J12</f>
        <v/>
      </c>
      <c r="X38" s="48">
        <f>iferror(sumif('Raw Data'!$Q:$Q,$A38,'Raw Data'!L:L)/countif('Raw Data'!$Q:$Q,$A38), )</f>
        <v>0</v>
      </c>
    </row>
    <row r="39" ht="15.0" customHeight="1">
      <c r="A39" s="42">
        <v>2813.0</v>
      </c>
      <c r="B39" s="48">
        <f>iferror((sumif('Raw Data'!$Q:$Q,$A39,'Raw Data'!P:P)/countif('Raw Data'!$Q:$Q,$A39))+R39+(T39/3),0)</f>
        <v>13</v>
      </c>
      <c r="C39" s="48">
        <f t="array" ref="C39">max(if('Raw Data'!$Q:$Q=$A39,'Raw Data'!$P:$P))</f>
        <v>70</v>
      </c>
      <c r="D39" s="58">
        <f>iferror(sumif('Raw Data'!$Q:$Q,$A39,'Raw Data'!E:E)/countif('Raw Data'!$Q:$Q,$A39),0)</f>
        <v>0</v>
      </c>
      <c r="E39" s="58">
        <f t="array" ref="E39">max(if('Raw Data'!$Q:$Q=$A39,'Raw Data'!$E:$E))</f>
        <v>0</v>
      </c>
      <c r="F39" s="58">
        <f>iferror(sumif('Raw Data'!$Q:$Q,$A39,'Raw Data'!F:F)/countif('Raw Data'!$Q:$Q,$A39),0)</f>
        <v>0</v>
      </c>
      <c r="G39" s="58">
        <f t="array" ref="G39">max(if('Raw Data'!$Q:$Q=$A39,'Raw Data'!$F:$F))</f>
        <v>0</v>
      </c>
      <c r="H39" s="58">
        <f>iferror(sumif('Raw Data'!$Q:$Q,$A39,'Raw Data'!G:G)/countif('Raw Data'!$Q:$Q,$A39),0)</f>
        <v>0</v>
      </c>
      <c r="I39" s="58">
        <f>iferror(sumif('Raw Data'!$Q:$Q,$A39,'Raw Data'!H:H)/countif('Raw Data'!$Q:$Q,$A39),0)</f>
        <v>0</v>
      </c>
      <c r="J39" s="58">
        <f t="array" ref="J39">max(if('Raw Data'!$Q:$Q=$A39,'Raw Data'!$H:$H))</f>
        <v>0</v>
      </c>
      <c r="K39" s="48">
        <f>iferror(sumif('Raw Data'!$Q:$Q,$A39,'Raw Data'!I:I)/countif('Raw Data'!$Q:$Q,$A39),0)</f>
        <v>0.3333333333</v>
      </c>
      <c r="L39" s="48">
        <f t="array" ref="L39">max(if('Raw Data'!$Q:$Q=$A39,'Raw Data'!$I:$I))</f>
        <v>1</v>
      </c>
      <c r="M39" s="58">
        <f>iferror(sumif('Raw Data'!$Q:$Q,$A39,'Raw Data'!J:J)/countif('Raw Data'!$Q:$Q,$A39),0)</f>
        <v>0.1666666667</v>
      </c>
      <c r="N39" s="58">
        <f>iferror(sumif('Raw Data'!$Q:$Q,$A39,'Raw Data'!K:K)/countif('Raw Data'!$Q:$Q,$A39),0)</f>
        <v>0</v>
      </c>
      <c r="O39" s="64">
        <f>F39*'Control PanelOur Matches'!$K$2</f>
        <v>0</v>
      </c>
      <c r="P39" s="64">
        <f t="shared" si="1"/>
        <v>0</v>
      </c>
      <c r="Q39" s="64">
        <f t="shared" si="2"/>
        <v>0.3333333333</v>
      </c>
      <c r="R39" s="58" t="str">
        <f>'Component OPR Dump'!F24</f>
        <v/>
      </c>
      <c r="S39" s="58" t="str">
        <f>'Component OPR Dump'!D24</f>
        <v/>
      </c>
      <c r="T39" s="58" t="str">
        <f>'Component OPR Dump'!I24</f>
        <v/>
      </c>
      <c r="U39" s="58" t="str">
        <f>'Component OPR Dump'!H24</f>
        <v/>
      </c>
      <c r="V39" s="58" t="str">
        <f>'Component OPR Dump'!G24</f>
        <v/>
      </c>
      <c r="W39" s="58" t="str">
        <f>'Component OPR Dump'!J24</f>
        <v/>
      </c>
      <c r="X39" s="48">
        <f>iferror(sumif('Raw Data'!$Q:$Q,$A39,'Raw Data'!L:L)/countif('Raw Data'!$Q:$Q,$A39), )</f>
        <v>0</v>
      </c>
    </row>
    <row r="40" ht="15.0" customHeight="1">
      <c r="A40" s="42">
        <v>3303.0</v>
      </c>
      <c r="B40" s="48">
        <f>iferror((sumif('Raw Data'!$Q:$Q,$A40,'Raw Data'!P:P)/countif('Raw Data'!$Q:$Q,$A40))+R40+(T40/3),0)</f>
        <v>39.52380952</v>
      </c>
      <c r="C40" s="48">
        <f t="array" ref="C40">max(if('Raw Data'!$Q:$Q=$A40,'Raw Data'!$P:$P))</f>
        <v>55</v>
      </c>
      <c r="D40" s="58">
        <f>iferror(sumif('Raw Data'!$Q:$Q,$A40,'Raw Data'!E:E)/countif('Raw Data'!$Q:$Q,$A40),0)</f>
        <v>0</v>
      </c>
      <c r="E40" s="58">
        <f t="array" ref="E40">max(if('Raw Data'!$Q:$Q=$A40,'Raw Data'!$E:$E))</f>
        <v>0</v>
      </c>
      <c r="F40" s="58">
        <f>iferror(sumif('Raw Data'!$Q:$Q,$A40,'Raw Data'!F:F)/countif('Raw Data'!$Q:$Q,$A40),0)</f>
        <v>0</v>
      </c>
      <c r="G40" s="58">
        <f t="array" ref="G40">max(if('Raw Data'!$Q:$Q=$A40,'Raw Data'!$F:$F))</f>
        <v>0</v>
      </c>
      <c r="H40" s="58">
        <f>iferror(sumif('Raw Data'!$Q:$Q,$A40,'Raw Data'!G:G)/countif('Raw Data'!$Q:$Q,$A40),0)</f>
        <v>0.8571428571</v>
      </c>
      <c r="I40" s="58">
        <f>iferror(sumif('Raw Data'!$Q:$Q,$A40,'Raw Data'!H:H)/countif('Raw Data'!$Q:$Q,$A40),0)</f>
        <v>0</v>
      </c>
      <c r="J40" s="58">
        <f t="array" ref="J40">max(if('Raw Data'!$Q:$Q=$A40,'Raw Data'!$H:$H))</f>
        <v>0</v>
      </c>
      <c r="K40" s="48">
        <f>iferror(sumif('Raw Data'!$Q:$Q,$A40,'Raw Data'!I:I)/countif('Raw Data'!$Q:$Q,$A40),0)</f>
        <v>0.2857142857</v>
      </c>
      <c r="L40" s="48">
        <f t="array" ref="L40">max(if('Raw Data'!$Q:$Q=$A40,'Raw Data'!$I:$I))</f>
        <v>1</v>
      </c>
      <c r="M40" s="58">
        <f>iferror(sumif('Raw Data'!$Q:$Q,$A40,'Raw Data'!J:J)/countif('Raw Data'!$Q:$Q,$A40),0)</f>
        <v>0.5714285714</v>
      </c>
      <c r="N40" s="58">
        <f>iferror(sumif('Raw Data'!$Q:$Q,$A40,'Raw Data'!K:K)/countif('Raw Data'!$Q:$Q,$A40),0)</f>
        <v>0</v>
      </c>
      <c r="O40" s="64">
        <f>F40*'Control PanelOur Matches'!$K$2</f>
        <v>0</v>
      </c>
      <c r="P40" s="64">
        <f t="shared" si="1"/>
        <v>0</v>
      </c>
      <c r="Q40" s="64">
        <f t="shared" si="2"/>
        <v>0.2857142857</v>
      </c>
      <c r="R40" s="58" t="str">
        <f>'Component OPR Dump'!F28</f>
        <v/>
      </c>
      <c r="S40" s="58" t="str">
        <f>'Component OPR Dump'!D28</f>
        <v/>
      </c>
      <c r="T40" s="58" t="str">
        <f>'Component OPR Dump'!I28</f>
        <v/>
      </c>
      <c r="U40" s="58" t="str">
        <f>'Component OPR Dump'!H28</f>
        <v/>
      </c>
      <c r="V40" s="58" t="str">
        <f>'Component OPR Dump'!G28</f>
        <v/>
      </c>
      <c r="W40" s="58" t="str">
        <f>'Component OPR Dump'!J28</f>
        <v/>
      </c>
      <c r="X40" s="48">
        <f>iferror(sumif('Raw Data'!$Q:$Q,$A40,'Raw Data'!L:L)/countif('Raw Data'!$Q:$Q,$A40), )</f>
        <v>0</v>
      </c>
    </row>
    <row r="41" ht="15.0" customHeight="1">
      <c r="A41" s="70">
        <v>6711.0</v>
      </c>
      <c r="B41" s="48">
        <f>iferror((sumif('Raw Data'!$Q:$Q,$A41,'Raw Data'!P:P)/countif('Raw Data'!$Q:$Q,$A41))+R41+(T41/3),0)</f>
        <v>4.047619048</v>
      </c>
      <c r="C41" s="48">
        <f t="array" ref="C41">max(if('Raw Data'!$Q:$Q=$A41,'Raw Data'!$P:$P))</f>
        <v>13.33333333</v>
      </c>
      <c r="D41" s="58">
        <f>iferror(sumif('Raw Data'!$Q:$Q,$A41,'Raw Data'!E:E)/countif('Raw Data'!$Q:$Q,$A41),0)</f>
        <v>0</v>
      </c>
      <c r="E41" s="58">
        <f t="array" ref="E41">max(if('Raw Data'!$Q:$Q=$A41,'Raw Data'!$E:$E))</f>
        <v>0</v>
      </c>
      <c r="F41" s="58">
        <f>iferror(sumif('Raw Data'!$Q:$Q,$A41,'Raw Data'!F:F)/countif('Raw Data'!$Q:$Q,$A41),0)</f>
        <v>0</v>
      </c>
      <c r="G41" s="58">
        <f t="array" ref="G41">max(if('Raw Data'!$Q:$Q=$A41,'Raw Data'!$F:$F))</f>
        <v>0</v>
      </c>
      <c r="H41" s="58">
        <f>iferror(sumif('Raw Data'!$Q:$Q,$A41,'Raw Data'!G:G)/countif('Raw Data'!$Q:$Q,$A41),0)</f>
        <v>0.1428571429</v>
      </c>
      <c r="I41" s="58">
        <f>iferror(sumif('Raw Data'!$Q:$Q,$A41,'Raw Data'!H:H)/countif('Raw Data'!$Q:$Q,$A41),0)</f>
        <v>0</v>
      </c>
      <c r="J41" s="58">
        <f t="array" ref="J41">max(if('Raw Data'!$Q:$Q=$A41,'Raw Data'!$H:$H))</f>
        <v>0</v>
      </c>
      <c r="K41" s="48">
        <f>iferror(sumif('Raw Data'!$Q:$Q,$A41,'Raw Data'!I:I)/countif('Raw Data'!$Q:$Q,$A41),0)</f>
        <v>0.2857142857</v>
      </c>
      <c r="L41" s="48">
        <f t="array" ref="L41">max(if('Raw Data'!$Q:$Q=$A41,'Raw Data'!$I:$I))</f>
        <v>1</v>
      </c>
      <c r="M41" s="58">
        <f>iferror(sumif('Raw Data'!$Q:$Q,$A41,'Raw Data'!J:J)/countif('Raw Data'!$Q:$Q,$A41),0)</f>
        <v>0</v>
      </c>
      <c r="N41" s="58">
        <f>iferror(sumif('Raw Data'!$Q:$Q,$A41,'Raw Data'!K:K)/countif('Raw Data'!$Q:$Q,$A41),0)</f>
        <v>0.1428571429</v>
      </c>
      <c r="O41" s="64">
        <f>F41*'Control PanelOur Matches'!$K$2</f>
        <v>0</v>
      </c>
      <c r="P41" s="64">
        <f t="shared" si="1"/>
        <v>0</v>
      </c>
      <c r="Q41" s="64">
        <f t="shared" si="2"/>
        <v>0.2857142857</v>
      </c>
      <c r="R41" s="58" t="str">
        <f>'Component OPR Dump'!F48</f>
        <v/>
      </c>
      <c r="S41" s="58" t="str">
        <f>'Component OPR Dump'!D48</f>
        <v/>
      </c>
      <c r="T41" s="58" t="str">
        <f>'Component OPR Dump'!I48</f>
        <v/>
      </c>
      <c r="U41" s="58" t="str">
        <f>'Component OPR Dump'!H48</f>
        <v/>
      </c>
      <c r="V41" s="58" t="str">
        <f>'Component OPR Dump'!G48</f>
        <v/>
      </c>
      <c r="W41" s="58" t="str">
        <f>'Component OPR Dump'!J48</f>
        <v/>
      </c>
      <c r="X41" s="48">
        <f>iferror(sumif('Raw Data'!$Q:$Q,$A41,'Raw Data'!L:L)/countif('Raw Data'!$Q:$Q,$A41), )</f>
        <v>0</v>
      </c>
    </row>
    <row r="42" ht="15.0" customHeight="1">
      <c r="A42" s="42">
        <v>670.0</v>
      </c>
      <c r="B42" s="48">
        <f>iferror((sumif('Raw Data'!$Q:$Q,$A42,'Raw Data'!P:P)/countif('Raw Data'!$Q:$Q,$A42))+R42+(T42/3),0)</f>
        <v>22.66666667</v>
      </c>
      <c r="C42" s="48">
        <f t="array" ref="C42">max(if('Raw Data'!$Q:$Q=$A42,'Raw Data'!$P:$P))</f>
        <v>55</v>
      </c>
      <c r="D42" s="58">
        <f>iferror(sumif('Raw Data'!$Q:$Q,$A42,'Raw Data'!E:E)/countif('Raw Data'!$Q:$Q,$A42),0)</f>
        <v>0</v>
      </c>
      <c r="E42" s="58">
        <f t="array" ref="E42">max(if('Raw Data'!$Q:$Q=$A42,'Raw Data'!$E:$E))</f>
        <v>0</v>
      </c>
      <c r="F42" s="58">
        <f>iferror(sumif('Raw Data'!$Q:$Q,$A42,'Raw Data'!F:F)/countif('Raw Data'!$Q:$Q,$A42),0)</f>
        <v>0</v>
      </c>
      <c r="G42" s="58">
        <f t="array" ref="G42">max(if('Raw Data'!$Q:$Q=$A42,'Raw Data'!$F:$F))</f>
        <v>0</v>
      </c>
      <c r="H42" s="58">
        <f>iferror(sumif('Raw Data'!$Q:$Q,$A42,'Raw Data'!G:G)/countif('Raw Data'!$Q:$Q,$A42),0)</f>
        <v>0.6666666667</v>
      </c>
      <c r="I42" s="58">
        <f>iferror(sumif('Raw Data'!$Q:$Q,$A42,'Raw Data'!H:H)/countif('Raw Data'!$Q:$Q,$A42),0)</f>
        <v>0</v>
      </c>
      <c r="J42" s="58">
        <f t="array" ref="J42">max(if('Raw Data'!$Q:$Q=$A42,'Raw Data'!$H:$H))</f>
        <v>0</v>
      </c>
      <c r="K42" s="48">
        <f>iferror(sumif('Raw Data'!$Q:$Q,$A42,'Raw Data'!I:I)/countif('Raw Data'!$Q:$Q,$A42),0)</f>
        <v>0.1666666667</v>
      </c>
      <c r="L42" s="48">
        <f t="array" ref="L42">max(if('Raw Data'!$Q:$Q=$A42,'Raw Data'!$I:$I))</f>
        <v>1</v>
      </c>
      <c r="M42" s="58">
        <f>iferror(sumif('Raw Data'!$Q:$Q,$A42,'Raw Data'!J:J)/countif('Raw Data'!$Q:$Q,$A42),0)</f>
        <v>0.3333333333</v>
      </c>
      <c r="N42" s="58">
        <f>iferror(sumif('Raw Data'!$Q:$Q,$A42,'Raw Data'!K:K)/countif('Raw Data'!$Q:$Q,$A42),0)</f>
        <v>0</v>
      </c>
      <c r="O42" s="64">
        <f>F42*'Control PanelOur Matches'!$K$2</f>
        <v>0</v>
      </c>
      <c r="P42" s="64">
        <f t="shared" si="1"/>
        <v>0</v>
      </c>
      <c r="Q42" s="64">
        <f t="shared" si="2"/>
        <v>0.1666666667</v>
      </c>
      <c r="R42" s="58" t="str">
        <f>'Component OPR Dump'!F3</f>
        <v/>
      </c>
      <c r="S42" s="58" t="str">
        <f>'Component OPR Dump'!D3</f>
        <v/>
      </c>
      <c r="T42" s="58" t="str">
        <f>'Component OPR Dump'!I3</f>
        <v/>
      </c>
      <c r="U42" s="58" t="str">
        <f>'Component OPR Dump'!H3</f>
        <v/>
      </c>
      <c r="V42" s="58" t="str">
        <f>'Component OPR Dump'!G3</f>
        <v/>
      </c>
      <c r="W42" s="58" t="str">
        <f>'Component OPR Dump'!J3</f>
        <v/>
      </c>
      <c r="X42" s="48">
        <f>iferror(sumif('Raw Data'!$Q:$Q,$A42,'Raw Data'!L:L)/countif('Raw Data'!$Q:$Q,$A42), )</f>
        <v>0</v>
      </c>
    </row>
    <row r="43" ht="15.0" customHeight="1">
      <c r="A43" s="42">
        <v>2643.0</v>
      </c>
      <c r="B43" s="48">
        <f>iferror((sumif('Raw Data'!$Q:$Q,$A43,'Raw Data'!P:P)/countif('Raw Data'!$Q:$Q,$A43))+R43+(T43/3),0)</f>
        <v>6</v>
      </c>
      <c r="C43" s="48">
        <f t="array" ref="C43">max(if('Raw Data'!$Q:$Q=$A43,'Raw Data'!$P:$P))</f>
        <v>16</v>
      </c>
      <c r="D43" s="58">
        <f>iferror(sumif('Raw Data'!$Q:$Q,$A43,'Raw Data'!E:E)/countif('Raw Data'!$Q:$Q,$A43),0)</f>
        <v>0</v>
      </c>
      <c r="E43" s="58">
        <f t="array" ref="E43">max(if('Raw Data'!$Q:$Q=$A43,'Raw Data'!$E:$E))</f>
        <v>0</v>
      </c>
      <c r="F43" s="58">
        <f>iferror(sumif('Raw Data'!$Q:$Q,$A43,'Raw Data'!F:F)/countif('Raw Data'!$Q:$Q,$A43),0)</f>
        <v>0</v>
      </c>
      <c r="G43" s="58">
        <f t="array" ref="G43">max(if('Raw Data'!$Q:$Q=$A43,'Raw Data'!$F:$F))</f>
        <v>0</v>
      </c>
      <c r="H43" s="58">
        <f>iferror(sumif('Raw Data'!$Q:$Q,$A43,'Raw Data'!G:G)/countif('Raw Data'!$Q:$Q,$A43),0)</f>
        <v>0.6666666667</v>
      </c>
      <c r="I43" s="58">
        <f>iferror(sumif('Raw Data'!$Q:$Q,$A43,'Raw Data'!H:H)/countif('Raw Data'!$Q:$Q,$A43),0)</f>
        <v>0</v>
      </c>
      <c r="J43" s="58">
        <f t="array" ref="J43">max(if('Raw Data'!$Q:$Q=$A43,'Raw Data'!$H:$H))</f>
        <v>0</v>
      </c>
      <c r="K43" s="48">
        <f>iferror(sumif('Raw Data'!$Q:$Q,$A43,'Raw Data'!I:I)/countif('Raw Data'!$Q:$Q,$A43),0)</f>
        <v>0.1666666667</v>
      </c>
      <c r="L43" s="48">
        <f t="array" ref="L43">max(if('Raw Data'!$Q:$Q=$A43,'Raw Data'!$I:$I))</f>
        <v>1</v>
      </c>
      <c r="M43" s="58">
        <f>iferror(sumif('Raw Data'!$Q:$Q,$A43,'Raw Data'!J:J)/countif('Raw Data'!$Q:$Q,$A43),0)</f>
        <v>0</v>
      </c>
      <c r="N43" s="58">
        <f>iferror(sumif('Raw Data'!$Q:$Q,$A43,'Raw Data'!K:K)/countif('Raw Data'!$Q:$Q,$A43),0)</f>
        <v>0</v>
      </c>
      <c r="O43" s="64">
        <f>F43*'Control PanelOur Matches'!$K$2</f>
        <v>0</v>
      </c>
      <c r="P43" s="64">
        <f t="shared" si="1"/>
        <v>0</v>
      </c>
      <c r="Q43" s="64">
        <f t="shared" si="2"/>
        <v>0.1666666667</v>
      </c>
      <c r="R43" s="58" t="str">
        <f>'Component OPR Dump'!F22</f>
        <v/>
      </c>
      <c r="S43" s="58" t="str">
        <f>'Component OPR Dump'!D22</f>
        <v/>
      </c>
      <c r="T43" s="58" t="str">
        <f>'Component OPR Dump'!I22</f>
        <v/>
      </c>
      <c r="U43" s="58" t="str">
        <f>'Component OPR Dump'!H22</f>
        <v/>
      </c>
      <c r="V43" s="58" t="str">
        <f>'Component OPR Dump'!G22</f>
        <v/>
      </c>
      <c r="W43" s="58" t="str">
        <f>'Component OPR Dump'!J22</f>
        <v/>
      </c>
      <c r="X43" s="48">
        <f>iferror(sumif('Raw Data'!$Q:$Q,$A43,'Raw Data'!L:L)/countif('Raw Data'!$Q:$Q,$A43), )</f>
        <v>0</v>
      </c>
    </row>
    <row r="44" ht="15.0" customHeight="1">
      <c r="A44" s="70">
        <v>6305.0</v>
      </c>
      <c r="B44" s="48">
        <f>iferror((sumif('Raw Data'!$Q:$Q,$A44,'Raw Data'!P:P)/countif('Raw Data'!$Q:$Q,$A44))+R44+(T44/3),0)</f>
        <v>24.76190476</v>
      </c>
      <c r="C44" s="48">
        <f t="array" ref="C44">max(if('Raw Data'!$Q:$Q=$A44,'Raw Data'!$P:$P))</f>
        <v>63.33333333</v>
      </c>
      <c r="D44" s="58">
        <f>iferror(sumif('Raw Data'!$Q:$Q,$A44,'Raw Data'!E:E)/countif('Raw Data'!$Q:$Q,$A44),0)</f>
        <v>0</v>
      </c>
      <c r="E44" s="58">
        <f t="array" ref="E44">max(if('Raw Data'!$Q:$Q=$A44,'Raw Data'!$E:$E))</f>
        <v>0</v>
      </c>
      <c r="F44" s="58">
        <f>iferror(sumif('Raw Data'!$Q:$Q,$A44,'Raw Data'!F:F)/countif('Raw Data'!$Q:$Q,$A44),0)</f>
        <v>0</v>
      </c>
      <c r="G44" s="58">
        <f t="array" ref="G44">max(if('Raw Data'!$Q:$Q=$A44,'Raw Data'!$F:$F))</f>
        <v>0</v>
      </c>
      <c r="H44" s="58">
        <f>iferror(sumif('Raw Data'!$Q:$Q,$A44,'Raw Data'!G:G)/countif('Raw Data'!$Q:$Q,$A44),0)</f>
        <v>0.2857142857</v>
      </c>
      <c r="I44" s="58">
        <f>iferror(sumif('Raw Data'!$Q:$Q,$A44,'Raw Data'!H:H)/countif('Raw Data'!$Q:$Q,$A44),0)</f>
        <v>0</v>
      </c>
      <c r="J44" s="58">
        <f t="array" ref="J44">max(if('Raw Data'!$Q:$Q=$A44,'Raw Data'!$H:$H))</f>
        <v>0</v>
      </c>
      <c r="K44" s="48">
        <f>iferror(sumif('Raw Data'!$Q:$Q,$A44,'Raw Data'!I:I)/countif('Raw Data'!$Q:$Q,$A44),0)</f>
        <v>0.1428571429</v>
      </c>
      <c r="L44" s="48">
        <f t="array" ref="L44">max(if('Raw Data'!$Q:$Q=$A44,'Raw Data'!$I:$I))</f>
        <v>1</v>
      </c>
      <c r="M44" s="58">
        <f>iferror(sumif('Raw Data'!$Q:$Q,$A44,'Raw Data'!J:J)/countif('Raw Data'!$Q:$Q,$A44),0)</f>
        <v>0.4285714286</v>
      </c>
      <c r="N44" s="58">
        <f>iferror(sumif('Raw Data'!$Q:$Q,$A44,'Raw Data'!K:K)/countif('Raw Data'!$Q:$Q,$A44),0)</f>
        <v>0.1428571429</v>
      </c>
      <c r="O44" s="64">
        <f>F44*'Control PanelOur Matches'!$K$2</f>
        <v>0</v>
      </c>
      <c r="P44" s="64">
        <f t="shared" si="1"/>
        <v>0</v>
      </c>
      <c r="Q44" s="64">
        <f t="shared" si="2"/>
        <v>0.1428571429</v>
      </c>
      <c r="R44" s="58" t="str">
        <f>'Component OPR Dump'!F43</f>
        <v/>
      </c>
      <c r="S44" s="58" t="str">
        <f>'Component OPR Dump'!D43</f>
        <v/>
      </c>
      <c r="T44" s="58" t="str">
        <f>'Component OPR Dump'!I43</f>
        <v/>
      </c>
      <c r="U44" s="58" t="str">
        <f>'Component OPR Dump'!H43</f>
        <v/>
      </c>
      <c r="V44" s="58" t="str">
        <f>'Component OPR Dump'!G43</f>
        <v/>
      </c>
      <c r="W44" s="58" t="str">
        <f>'Component OPR Dump'!J43</f>
        <v/>
      </c>
      <c r="X44" s="48">
        <f>iferror(sumif('Raw Data'!$Q:$Q,$A44,'Raw Data'!L:L)/countif('Raw Data'!$Q:$Q,$A44), )</f>
        <v>0</v>
      </c>
    </row>
    <row r="45" ht="15.0" customHeight="1">
      <c r="A45" s="70">
        <v>5134.0</v>
      </c>
      <c r="B45" s="48">
        <f>iferror((sumif('Raw Data'!$Q:$Q,$A45,'Raw Data'!P:P)/countif('Raw Data'!$Q:$Q,$A45))+R45+(T45/3),0)</f>
        <v>12.85714286</v>
      </c>
      <c r="C45" s="48">
        <f t="array" ref="C45">max(if('Raw Data'!$Q:$Q=$A45,'Raw Data'!$P:$P))</f>
        <v>55</v>
      </c>
      <c r="D45" s="58">
        <f>iferror(sumif('Raw Data'!$Q:$Q,$A45,'Raw Data'!E:E)/countif('Raw Data'!$Q:$Q,$A45),0)</f>
        <v>0</v>
      </c>
      <c r="E45" s="58">
        <f t="array" ref="E45">max(if('Raw Data'!$Q:$Q=$A45,'Raw Data'!$E:$E))</f>
        <v>0</v>
      </c>
      <c r="F45" s="58">
        <f>iferror(sumif('Raw Data'!$Q:$Q,$A45,'Raw Data'!F:F)/countif('Raw Data'!$Q:$Q,$A45),0)</f>
        <v>0</v>
      </c>
      <c r="G45" s="58">
        <f t="array" ref="G45">max(if('Raw Data'!$Q:$Q=$A45,'Raw Data'!$F:$F))</f>
        <v>0</v>
      </c>
      <c r="H45" s="58">
        <f>iferror(sumif('Raw Data'!$Q:$Q,$A45,'Raw Data'!G:G)/countif('Raw Data'!$Q:$Q,$A45),0)</f>
        <v>0.5714285714</v>
      </c>
      <c r="I45" s="58">
        <f>iferror(sumif('Raw Data'!$Q:$Q,$A45,'Raw Data'!H:H)/countif('Raw Data'!$Q:$Q,$A45),0)</f>
        <v>0</v>
      </c>
      <c r="J45" s="58">
        <f t="array" ref="J45">max(if('Raw Data'!$Q:$Q=$A45,'Raw Data'!$H:$H))</f>
        <v>0</v>
      </c>
      <c r="K45" s="48">
        <f>iferror(sumif('Raw Data'!$Q:$Q,$A45,'Raw Data'!I:I)/countif('Raw Data'!$Q:$Q,$A45),0)</f>
        <v>0.1428571429</v>
      </c>
      <c r="L45" s="48">
        <f t="array" ref="L45">max(if('Raw Data'!$Q:$Q=$A45,'Raw Data'!$I:$I))</f>
        <v>1</v>
      </c>
      <c r="M45" s="58">
        <f>iferror(sumif('Raw Data'!$Q:$Q,$A45,'Raw Data'!J:J)/countif('Raw Data'!$Q:$Q,$A45),0)</f>
        <v>0.1428571429</v>
      </c>
      <c r="N45" s="58">
        <f>iferror(sumif('Raw Data'!$Q:$Q,$A45,'Raw Data'!K:K)/countif('Raw Data'!$Q:$Q,$A45),0)</f>
        <v>0</v>
      </c>
      <c r="O45" s="64">
        <f>F45*'Control PanelOur Matches'!$K$2</f>
        <v>0</v>
      </c>
      <c r="P45" s="64">
        <f t="shared" si="1"/>
        <v>0</v>
      </c>
      <c r="Q45" s="64">
        <f t="shared" si="2"/>
        <v>0.1428571429</v>
      </c>
      <c r="R45" s="58" t="str">
        <f>'Component OPR Dump'!F38</f>
        <v/>
      </c>
      <c r="S45" s="58" t="str">
        <f>'Component OPR Dump'!D38</f>
        <v/>
      </c>
      <c r="T45" s="58" t="str">
        <f>'Component OPR Dump'!I38</f>
        <v/>
      </c>
      <c r="U45" s="58" t="str">
        <f>'Component OPR Dump'!H38</f>
        <v/>
      </c>
      <c r="V45" s="58" t="str">
        <f>'Component OPR Dump'!G38</f>
        <v/>
      </c>
      <c r="W45" s="58" t="str">
        <f>'Component OPR Dump'!J38</f>
        <v/>
      </c>
      <c r="X45" s="48">
        <f>iferror(sumif('Raw Data'!$Q:$Q,$A45,'Raw Data'!L:L)/countif('Raw Data'!$Q:$Q,$A45), )</f>
        <v>0</v>
      </c>
    </row>
    <row r="46" ht="15.0" customHeight="1">
      <c r="A46" s="70">
        <v>6650.0</v>
      </c>
      <c r="B46" s="48">
        <f>iferror((sumif('Raw Data'!$Q:$Q,$A46,'Raw Data'!P:P)/countif('Raw Data'!$Q:$Q,$A46))+R46+(T46/3),0)</f>
        <v>10.71428571</v>
      </c>
      <c r="C46" s="48">
        <f t="array" ref="C46">max(if('Raw Data'!$Q:$Q=$A46,'Raw Data'!$P:$P))</f>
        <v>55</v>
      </c>
      <c r="D46" s="58">
        <f>iferror(sumif('Raw Data'!$Q:$Q,$A46,'Raw Data'!E:E)/countif('Raw Data'!$Q:$Q,$A46),0)</f>
        <v>0</v>
      </c>
      <c r="E46" s="58">
        <f t="array" ref="E46">max(if('Raw Data'!$Q:$Q=$A46,'Raw Data'!$E:$E))</f>
        <v>0</v>
      </c>
      <c r="F46" s="58">
        <f>iferror(sumif('Raw Data'!$Q:$Q,$A46,'Raw Data'!F:F)/countif('Raw Data'!$Q:$Q,$A46),0)</f>
        <v>0</v>
      </c>
      <c r="G46" s="58">
        <f t="array" ref="G46">max(if('Raw Data'!$Q:$Q=$A46,'Raw Data'!$F:$F))</f>
        <v>0</v>
      </c>
      <c r="H46" s="58">
        <f>iferror(sumif('Raw Data'!$Q:$Q,$A46,'Raw Data'!G:G)/countif('Raw Data'!$Q:$Q,$A46),0)</f>
        <v>0.7142857143</v>
      </c>
      <c r="I46" s="58">
        <f>iferror(sumif('Raw Data'!$Q:$Q,$A46,'Raw Data'!H:H)/countif('Raw Data'!$Q:$Q,$A46),0)</f>
        <v>0</v>
      </c>
      <c r="J46" s="58">
        <f t="array" ref="J46">max(if('Raw Data'!$Q:$Q=$A46,'Raw Data'!$H:$H))</f>
        <v>0</v>
      </c>
      <c r="K46" s="48">
        <f>iferror(sumif('Raw Data'!$Q:$Q,$A46,'Raw Data'!I:I)/countif('Raw Data'!$Q:$Q,$A46),0)</f>
        <v>0</v>
      </c>
      <c r="L46" s="48">
        <f t="array" ref="L46">max(if('Raw Data'!$Q:$Q=$A46,'Raw Data'!$I:$I))</f>
        <v>0</v>
      </c>
      <c r="M46" s="58">
        <f>iferror(sumif('Raw Data'!$Q:$Q,$A46,'Raw Data'!J:J)/countif('Raw Data'!$Q:$Q,$A46),0)</f>
        <v>0.1428571429</v>
      </c>
      <c r="N46" s="58">
        <f>iferror(sumif('Raw Data'!$Q:$Q,$A46,'Raw Data'!K:K)/countif('Raw Data'!$Q:$Q,$A46),0)</f>
        <v>0</v>
      </c>
      <c r="O46" s="64">
        <f>F46*'Control PanelOur Matches'!$K$2</f>
        <v>0</v>
      </c>
      <c r="P46" s="64">
        <f t="shared" si="1"/>
        <v>0</v>
      </c>
      <c r="Q46" s="64">
        <f t="shared" si="2"/>
        <v>0</v>
      </c>
      <c r="R46" s="58" t="str">
        <f>'Component OPR Dump'!F45</f>
        <v/>
      </c>
      <c r="S46" s="58" t="str">
        <f>'Component OPR Dump'!D45</f>
        <v/>
      </c>
      <c r="T46" s="58" t="str">
        <f>'Component OPR Dump'!I45</f>
        <v/>
      </c>
      <c r="U46" s="58" t="str">
        <f>'Component OPR Dump'!H45</f>
        <v/>
      </c>
      <c r="V46" s="58" t="str">
        <f>'Component OPR Dump'!G45</f>
        <v/>
      </c>
      <c r="W46" s="58" t="str">
        <f>'Component OPR Dump'!J45</f>
        <v/>
      </c>
      <c r="X46" s="48">
        <f>iferror(sumif('Raw Data'!$Q:$Q,$A46,'Raw Data'!L:L)/countif('Raw Data'!$Q:$Q,$A46), )</f>
        <v>0</v>
      </c>
    </row>
    <row r="47" ht="15.0" customHeight="1">
      <c r="A47" s="42">
        <v>2367.0</v>
      </c>
      <c r="B47" s="48">
        <f>iferror((sumif('Raw Data'!$Q:$Q,$A47,'Raw Data'!P:P)/countif('Raw Data'!$Q:$Q,$A47))+R47+(T47/3),0)</f>
        <v>0</v>
      </c>
      <c r="C47" s="48">
        <f t="array" ref="C47">max(if('Raw Data'!$Q:$Q=$A47,'Raw Data'!$P:$P))</f>
        <v>0</v>
      </c>
      <c r="D47" s="58">
        <f>iferror(sumif('Raw Data'!$Q:$Q,$A47,'Raw Data'!E:E)/countif('Raw Data'!$Q:$Q,$A47),0)</f>
        <v>0</v>
      </c>
      <c r="E47" s="58">
        <f t="array" ref="E47">max(if('Raw Data'!$Q:$Q=$A47,'Raw Data'!$E:$E))</f>
        <v>0</v>
      </c>
      <c r="F47" s="58">
        <f>iferror(sumif('Raw Data'!$Q:$Q,$A47,'Raw Data'!F:F)/countif('Raw Data'!$Q:$Q,$A47),0)</f>
        <v>0</v>
      </c>
      <c r="G47" s="58">
        <f t="array" ref="G47">max(if('Raw Data'!$Q:$Q=$A47,'Raw Data'!$F:$F))</f>
        <v>0</v>
      </c>
      <c r="H47" s="58">
        <f>iferror(sumif('Raw Data'!$Q:$Q,$A47,'Raw Data'!G:G)/countif('Raw Data'!$Q:$Q,$A47),0)</f>
        <v>0</v>
      </c>
      <c r="I47" s="58">
        <f>iferror(sumif('Raw Data'!$Q:$Q,$A47,'Raw Data'!H:H)/countif('Raw Data'!$Q:$Q,$A47),0)</f>
        <v>0</v>
      </c>
      <c r="J47" s="58">
        <f t="array" ref="J47">max(if('Raw Data'!$Q:$Q=$A47,'Raw Data'!$H:$H))</f>
        <v>0</v>
      </c>
      <c r="K47" s="48">
        <f>iferror(sumif('Raw Data'!$Q:$Q,$A47,'Raw Data'!I:I)/countif('Raw Data'!$Q:$Q,$A47),0)</f>
        <v>0</v>
      </c>
      <c r="L47" s="48">
        <f t="array" ref="L47">max(if('Raw Data'!$Q:$Q=$A47,'Raw Data'!$I:$I))</f>
        <v>0</v>
      </c>
      <c r="M47" s="58">
        <f>iferror(sumif('Raw Data'!$Q:$Q,$A47,'Raw Data'!J:J)/countif('Raw Data'!$Q:$Q,$A47),0)</f>
        <v>0</v>
      </c>
      <c r="N47" s="58">
        <f>iferror(sumif('Raw Data'!$Q:$Q,$A47,'Raw Data'!K:K)/countif('Raw Data'!$Q:$Q,$A47),0)</f>
        <v>0.3333333333</v>
      </c>
      <c r="O47" s="64">
        <f>F47*'Control PanelOur Matches'!$K$2</f>
        <v>0</v>
      </c>
      <c r="P47" s="64">
        <f t="shared" si="1"/>
        <v>0</v>
      </c>
      <c r="Q47" s="64">
        <f t="shared" si="2"/>
        <v>0</v>
      </c>
      <c r="R47" s="58" t="str">
        <f>'Component OPR Dump'!F20</f>
        <v/>
      </c>
      <c r="S47" s="58" t="str">
        <f>'Component OPR Dump'!D20</f>
        <v/>
      </c>
      <c r="T47" s="58" t="str">
        <f>'Component OPR Dump'!I20</f>
        <v/>
      </c>
      <c r="U47" s="58" t="str">
        <f>'Component OPR Dump'!H20</f>
        <v/>
      </c>
      <c r="V47" s="58" t="str">
        <f>'Component OPR Dump'!G20</f>
        <v/>
      </c>
      <c r="W47" s="58" t="str">
        <f>'Component OPR Dump'!J20</f>
        <v/>
      </c>
      <c r="X47" s="48">
        <f>iferror(sumif('Raw Data'!$Q:$Q,$A47,'Raw Data'!L:L)/countif('Raw Data'!$Q:$Q,$A47), )</f>
        <v>0</v>
      </c>
    </row>
    <row r="48" ht="15.0" customHeight="1">
      <c r="A48" s="70">
        <v>6059.0</v>
      </c>
      <c r="B48" s="48">
        <f>iferror((sumif('Raw Data'!$Q:$Q,$A48,'Raw Data'!P:P)/countif('Raw Data'!$Q:$Q,$A48))+R48+(T48/3),0)</f>
        <v>0</v>
      </c>
      <c r="C48" s="48">
        <f t="array" ref="C48">max(if('Raw Data'!$Q:$Q=$A48,'Raw Data'!$P:$P))</f>
        <v>0</v>
      </c>
      <c r="D48" s="58">
        <f>iferror(sumif('Raw Data'!$Q:$Q,$A48,'Raw Data'!E:E)/countif('Raw Data'!$Q:$Q,$A48),0)</f>
        <v>0</v>
      </c>
      <c r="E48" s="58">
        <f t="array" ref="E48">max(if('Raw Data'!$Q:$Q=$A48,'Raw Data'!$E:$E))</f>
        <v>0</v>
      </c>
      <c r="F48" s="58">
        <f>iferror(sumif('Raw Data'!$Q:$Q,$A48,'Raw Data'!F:F)/countif('Raw Data'!$Q:$Q,$A48),0)</f>
        <v>0</v>
      </c>
      <c r="G48" s="58">
        <f t="array" ref="G48">max(if('Raw Data'!$Q:$Q=$A48,'Raw Data'!$F:$F))</f>
        <v>0</v>
      </c>
      <c r="H48" s="58">
        <f>iferror(sumif('Raw Data'!$Q:$Q,$A48,'Raw Data'!G:G)/countif('Raw Data'!$Q:$Q,$A48),0)</f>
        <v>0</v>
      </c>
      <c r="I48" s="58">
        <f>iferror(sumif('Raw Data'!$Q:$Q,$A48,'Raw Data'!H:H)/countif('Raw Data'!$Q:$Q,$A48),0)</f>
        <v>0</v>
      </c>
      <c r="J48" s="58">
        <f t="array" ref="J48">max(if('Raw Data'!$Q:$Q=$A48,'Raw Data'!$H:$H))</f>
        <v>0</v>
      </c>
      <c r="K48" s="48">
        <f>iferror(sumif('Raw Data'!$Q:$Q,$A48,'Raw Data'!I:I)/countif('Raw Data'!$Q:$Q,$A48),0)</f>
        <v>0</v>
      </c>
      <c r="L48" s="48">
        <f t="array" ref="L48">max(if('Raw Data'!$Q:$Q=$A48,'Raw Data'!$I:$I))</f>
        <v>0</v>
      </c>
      <c r="M48" s="58">
        <f>iferror(sumif('Raw Data'!$Q:$Q,$A48,'Raw Data'!J:J)/countif('Raw Data'!$Q:$Q,$A48),0)</f>
        <v>0</v>
      </c>
      <c r="N48" s="58">
        <f>iferror(sumif('Raw Data'!$Q:$Q,$A48,'Raw Data'!K:K)/countif('Raw Data'!$Q:$Q,$A48),0)</f>
        <v>0</v>
      </c>
      <c r="O48" s="64">
        <f>F48*'Control PanelOur Matches'!$K$2</f>
        <v>0</v>
      </c>
      <c r="P48" s="64">
        <f t="shared" si="1"/>
        <v>0</v>
      </c>
      <c r="Q48" s="64">
        <f t="shared" si="2"/>
        <v>0</v>
      </c>
      <c r="R48" s="58" t="str">
        <f>'Component OPR Dump'!F42</f>
        <v/>
      </c>
      <c r="S48" s="58" t="str">
        <f>'Component OPR Dump'!D42</f>
        <v/>
      </c>
      <c r="T48" s="58" t="str">
        <f>'Component OPR Dump'!I42</f>
        <v/>
      </c>
      <c r="U48" s="58" t="str">
        <f>'Component OPR Dump'!H42</f>
        <v/>
      </c>
      <c r="V48" s="58" t="str">
        <f>'Component OPR Dump'!G42</f>
        <v/>
      </c>
      <c r="W48" s="58" t="str">
        <f>'Component OPR Dump'!J42</f>
        <v/>
      </c>
      <c r="X48" s="48">
        <f>iferror(sumif('Raw Data'!$Q:$Q,$A48,'Raw Data'!L:L)/countif('Raw Data'!$Q:$Q,$A48), )</f>
        <v>0</v>
      </c>
    </row>
    <row r="49" ht="15.0" customHeight="1">
      <c r="A49" s="42">
        <v>3045.0</v>
      </c>
      <c r="B49" s="48">
        <f>iferror((sumif('Raw Data'!$Q:$Q,$A49,'Raw Data'!P:P)/countif('Raw Data'!$Q:$Q,$A49))+R49+(T49/3),0)</f>
        <v>2.5</v>
      </c>
      <c r="C49" s="48">
        <f t="array" ref="C49">max(if('Raw Data'!$Q:$Q=$A49,'Raw Data'!$P:$P))</f>
        <v>5</v>
      </c>
      <c r="D49" s="58">
        <f>iferror(sumif('Raw Data'!$Q:$Q,$A49,'Raw Data'!E:E)/countif('Raw Data'!$Q:$Q,$A49),0)</f>
        <v>0</v>
      </c>
      <c r="E49" s="58">
        <f t="array" ref="E49">max(if('Raw Data'!$Q:$Q=$A49,'Raw Data'!$E:$E))</f>
        <v>0</v>
      </c>
      <c r="F49" s="58">
        <f>iferror(sumif('Raw Data'!$Q:$Q,$A49,'Raw Data'!F:F)/countif('Raw Data'!$Q:$Q,$A49),0)</f>
        <v>0</v>
      </c>
      <c r="G49" s="58">
        <f t="array" ref="G49">max(if('Raw Data'!$Q:$Q=$A49,'Raw Data'!$F:$F))</f>
        <v>0</v>
      </c>
      <c r="H49" s="58">
        <f>iferror(sumif('Raw Data'!$Q:$Q,$A49,'Raw Data'!G:G)/countif('Raw Data'!$Q:$Q,$A49),0)</f>
        <v>0.5</v>
      </c>
      <c r="I49" s="58">
        <f>iferror(sumif('Raw Data'!$Q:$Q,$A49,'Raw Data'!H:H)/countif('Raw Data'!$Q:$Q,$A49),0)</f>
        <v>0</v>
      </c>
      <c r="J49" s="58">
        <f t="array" ref="J49">max(if('Raw Data'!$Q:$Q=$A49,'Raw Data'!$H:$H))</f>
        <v>0</v>
      </c>
      <c r="K49" s="48">
        <f>iferror(sumif('Raw Data'!$Q:$Q,$A49,'Raw Data'!I:I)/countif('Raw Data'!$Q:$Q,$A49),0)</f>
        <v>0</v>
      </c>
      <c r="L49" s="48">
        <f t="array" ref="L49">max(if('Raw Data'!$Q:$Q=$A49,'Raw Data'!$I:$I))</f>
        <v>0</v>
      </c>
      <c r="M49" s="58">
        <f>iferror(sumif('Raw Data'!$Q:$Q,$A49,'Raw Data'!J:J)/countif('Raw Data'!$Q:$Q,$A49),0)</f>
        <v>0</v>
      </c>
      <c r="N49" s="58">
        <f>iferror(sumif('Raw Data'!$Q:$Q,$A49,'Raw Data'!K:K)/countif('Raw Data'!$Q:$Q,$A49),0)</f>
        <v>0</v>
      </c>
      <c r="O49" s="64">
        <f>F49*'Control PanelOur Matches'!$K$2</f>
        <v>0</v>
      </c>
      <c r="P49" s="64">
        <f t="shared" si="1"/>
        <v>0</v>
      </c>
      <c r="Q49" s="64">
        <f t="shared" si="2"/>
        <v>0</v>
      </c>
      <c r="R49" s="58" t="str">
        <f>'Component OPR Dump'!F25</f>
        <v/>
      </c>
      <c r="S49" s="58" t="str">
        <f>'Component OPR Dump'!D25</f>
        <v/>
      </c>
      <c r="T49" s="58" t="str">
        <f>'Component OPR Dump'!I25</f>
        <v/>
      </c>
      <c r="U49" s="58" t="str">
        <f>'Component OPR Dump'!H25</f>
        <v/>
      </c>
      <c r="V49" s="58" t="str">
        <f>'Component OPR Dump'!G25</f>
        <v/>
      </c>
      <c r="W49" s="58" t="str">
        <f>'Component OPR Dump'!J25</f>
        <v/>
      </c>
      <c r="X49" s="48">
        <f>iferror(sumif('Raw Data'!$Q:$Q,$A49,'Raw Data'!L:L)/countif('Raw Data'!$Q:$Q,$A49), )</f>
        <v>0</v>
      </c>
    </row>
    <row r="50" ht="15.0" customHeight="1">
      <c r="A50" s="95"/>
      <c r="B50" s="48">
        <f>iferror((sumif('Raw Data'!$Q:$Q,$A50,'Raw Data'!P:P)/countif('Raw Data'!$Q:$Q,$A50))+R50+(T50/3),0)</f>
        <v>0</v>
      </c>
      <c r="C50" s="48">
        <f t="array" ref="C50">max(if('Raw Data'!$Q:$Q=$A50,'Raw Data'!$P:$P))</f>
        <v>0</v>
      </c>
      <c r="D50" s="58">
        <f>iferror(sumif('Raw Data'!$Q:$Q,$A50,'Raw Data'!E:E)/countif('Raw Data'!$Q:$Q,$A50),0)</f>
        <v>0</v>
      </c>
      <c r="E50" s="58">
        <f t="array" ref="E50">max(if('Raw Data'!$Q:$Q=$A50,'Raw Data'!$E:$E))</f>
        <v>0</v>
      </c>
      <c r="F50" s="58">
        <f>iferror(sumif('Raw Data'!$Q:$Q,$A50,'Raw Data'!F:F)/countif('Raw Data'!$Q:$Q,$A50),0)</f>
        <v>0</v>
      </c>
      <c r="G50" s="58">
        <f t="array" ref="G50">max(if('Raw Data'!$Q:$Q=$A50,'Raw Data'!$F:$F))</f>
        <v>0</v>
      </c>
      <c r="H50" s="58">
        <f>iferror(sumif('Raw Data'!$Q:$Q,$A50,'Raw Data'!G:G)/countif('Raw Data'!$Q:$Q,$A50),0)</f>
        <v>0</v>
      </c>
      <c r="I50" s="58">
        <f>iferror(sumif('Raw Data'!$Q:$Q,$A50,'Raw Data'!H:H)/countif('Raw Data'!$Q:$Q,$A50),0)</f>
        <v>0</v>
      </c>
      <c r="J50" s="58">
        <f t="array" ref="J50">max(if('Raw Data'!$Q:$Q=$A50,'Raw Data'!$H:$H))</f>
        <v>0</v>
      </c>
      <c r="K50" s="48">
        <f>iferror(sumif('Raw Data'!$Q:$Q,$A50,'Raw Data'!I:I)/countif('Raw Data'!$Q:$Q,$A50),0)</f>
        <v>0</v>
      </c>
      <c r="L50" s="48">
        <f t="array" ref="L50">max(if('Raw Data'!$Q:$Q=$A50,'Raw Data'!$I:$I))</f>
        <v>0</v>
      </c>
      <c r="M50" s="58">
        <f>iferror(sumif('Raw Data'!$Q:$Q,$A50,'Raw Data'!J:J)/countif('Raw Data'!$Q:$Q,$A50),0)</f>
        <v>0</v>
      </c>
      <c r="N50" s="58">
        <f>iferror(sumif('Raw Data'!$Q:$Q,$A50,'Raw Data'!K:K)/countif('Raw Data'!$Q:$Q,$A50),0)</f>
        <v>0</v>
      </c>
      <c r="O50" s="64">
        <f>F50*'Control PanelOur Matches'!$K$2</f>
        <v>0</v>
      </c>
      <c r="P50" s="64">
        <f t="shared" si="1"/>
        <v>0</v>
      </c>
      <c r="Q50" s="64">
        <f t="shared" si="2"/>
        <v>0</v>
      </c>
      <c r="R50" s="58" t="str">
        <f>'Component OPR Dump'!F77</f>
        <v/>
      </c>
      <c r="S50" s="58" t="str">
        <f>'Component OPR Dump'!D77</f>
        <v/>
      </c>
      <c r="T50" s="58" t="str">
        <f>'Component OPR Dump'!I77</f>
        <v/>
      </c>
      <c r="U50" s="58" t="str">
        <f>'Component OPR Dump'!H77</f>
        <v/>
      </c>
      <c r="V50" s="58" t="str">
        <f>'Component OPR Dump'!G77</f>
        <v/>
      </c>
      <c r="W50" s="58" t="str">
        <f>'Component OPR Dump'!J77</f>
        <v/>
      </c>
      <c r="X50" s="48" t="str">
        <f>iferror(sumif('Raw Data'!$Q:$Q,$A50,'Raw Data'!L:L)/countif('Raw Data'!$Q:$Q,$A50), )</f>
        <v/>
      </c>
    </row>
    <row r="51" ht="15.0" customHeight="1">
      <c r="A51" s="95"/>
      <c r="B51" s="48">
        <f>iferror((sumif('Raw Data'!$Q:$Q,$A51,'Raw Data'!P:P)/countif('Raw Data'!$Q:$Q,$A51))+R51+(T51/3),0)</f>
        <v>0</v>
      </c>
      <c r="C51" s="48">
        <f t="array" ref="C51">max(if('Raw Data'!$Q:$Q=$A51,'Raw Data'!$P:$P))</f>
        <v>0</v>
      </c>
      <c r="D51" s="58">
        <f>iferror(sumif('Raw Data'!$Q:$Q,$A51,'Raw Data'!E:E)/countif('Raw Data'!$Q:$Q,$A51),0)</f>
        <v>0</v>
      </c>
      <c r="E51" s="58">
        <f t="array" ref="E51">max(if('Raw Data'!$Q:$Q=$A51,'Raw Data'!$E:$E))</f>
        <v>0</v>
      </c>
      <c r="F51" s="58">
        <f>iferror(sumif('Raw Data'!$Q:$Q,$A51,'Raw Data'!F:F)/countif('Raw Data'!$Q:$Q,$A51),0)</f>
        <v>0</v>
      </c>
      <c r="G51" s="58">
        <f t="array" ref="G51">max(if('Raw Data'!$Q:$Q=$A51,'Raw Data'!$F:$F))</f>
        <v>0</v>
      </c>
      <c r="H51" s="58">
        <f>iferror(sumif('Raw Data'!$Q:$Q,$A51,'Raw Data'!G:G)/countif('Raw Data'!$Q:$Q,$A51),0)</f>
        <v>0</v>
      </c>
      <c r="I51" s="58">
        <f>iferror(sumif('Raw Data'!$Q:$Q,$A51,'Raw Data'!H:H)/countif('Raw Data'!$Q:$Q,$A51),0)</f>
        <v>0</v>
      </c>
      <c r="J51" s="58">
        <f t="array" ref="J51">max(if('Raw Data'!$Q:$Q=$A51,'Raw Data'!$H:$H))</f>
        <v>0</v>
      </c>
      <c r="K51" s="48">
        <f>iferror(sumif('Raw Data'!$Q:$Q,$A51,'Raw Data'!I:I)/countif('Raw Data'!$Q:$Q,$A51),0)</f>
        <v>0</v>
      </c>
      <c r="L51" s="48">
        <f t="array" ref="L51">max(if('Raw Data'!$Q:$Q=$A51,'Raw Data'!$I:$I))</f>
        <v>0</v>
      </c>
      <c r="M51" s="58">
        <f>iferror(sumif('Raw Data'!$Q:$Q,$A51,'Raw Data'!J:J)/countif('Raw Data'!$Q:$Q,$A51),0)</f>
        <v>0</v>
      </c>
      <c r="N51" s="58">
        <f>iferror(sumif('Raw Data'!$Q:$Q,$A51,'Raw Data'!K:K)/countif('Raw Data'!$Q:$Q,$A51),0)</f>
        <v>0</v>
      </c>
      <c r="O51" s="64">
        <f>F51*'Control PanelOur Matches'!$K$2</f>
        <v>0</v>
      </c>
      <c r="P51" s="64">
        <f t="shared" si="1"/>
        <v>0</v>
      </c>
      <c r="Q51" s="64">
        <f t="shared" si="2"/>
        <v>0</v>
      </c>
      <c r="R51" s="58" t="str">
        <f>'Component OPR Dump'!F78</f>
        <v/>
      </c>
      <c r="S51" s="58" t="str">
        <f>'Component OPR Dump'!D78</f>
        <v/>
      </c>
      <c r="T51" s="58" t="str">
        <f>'Component OPR Dump'!I78</f>
        <v/>
      </c>
      <c r="U51" s="58" t="str">
        <f>'Component OPR Dump'!H78</f>
        <v/>
      </c>
      <c r="V51" s="58" t="str">
        <f>'Component OPR Dump'!G78</f>
        <v/>
      </c>
      <c r="W51" s="58" t="str">
        <f>'Component OPR Dump'!J78</f>
        <v/>
      </c>
      <c r="X51" s="48" t="str">
        <f>iferror(sumif('Raw Data'!$Q:$Q,$A51,'Raw Data'!L:L)/countif('Raw Data'!$Q:$Q,$A51), )</f>
        <v/>
      </c>
    </row>
    <row r="52" ht="15.0" customHeight="1">
      <c r="A52" s="95"/>
      <c r="B52" s="48">
        <f>iferror((sumif('Raw Data'!$Q:$Q,$A52,'Raw Data'!P:P)/countif('Raw Data'!$Q:$Q,$A52))+R52+(T52/3),0)</f>
        <v>0</v>
      </c>
      <c r="C52" s="48">
        <f t="array" ref="C52">max(if('Raw Data'!$Q:$Q=$A52,'Raw Data'!$P:$P))</f>
        <v>0</v>
      </c>
      <c r="D52" s="58">
        <f>iferror(sumif('Raw Data'!$Q:$Q,$A52,'Raw Data'!E:E)/countif('Raw Data'!$Q:$Q,$A52),0)</f>
        <v>0</v>
      </c>
      <c r="E52" s="58">
        <f t="array" ref="E52">max(if('Raw Data'!$Q:$Q=$A52,'Raw Data'!$E:$E))</f>
        <v>0</v>
      </c>
      <c r="F52" s="58">
        <f>iferror(sumif('Raw Data'!$Q:$Q,$A52,'Raw Data'!F:F)/countif('Raw Data'!$Q:$Q,$A52),0)</f>
        <v>0</v>
      </c>
      <c r="G52" s="58">
        <f t="array" ref="G52">max(if('Raw Data'!$Q:$Q=$A52,'Raw Data'!$F:$F))</f>
        <v>0</v>
      </c>
      <c r="H52" s="58">
        <f>iferror(sumif('Raw Data'!$Q:$Q,$A52,'Raw Data'!G:G)/countif('Raw Data'!$Q:$Q,$A52),0)</f>
        <v>0</v>
      </c>
      <c r="I52" s="58">
        <f>iferror(sumif('Raw Data'!$Q:$Q,$A52,'Raw Data'!H:H)/countif('Raw Data'!$Q:$Q,$A52),0)</f>
        <v>0</v>
      </c>
      <c r="J52" s="58">
        <f t="array" ref="J52">max(if('Raw Data'!$Q:$Q=$A52,'Raw Data'!$H:$H))</f>
        <v>0</v>
      </c>
      <c r="K52" s="48">
        <f>iferror(sumif('Raw Data'!$Q:$Q,$A52,'Raw Data'!I:I)/countif('Raw Data'!$Q:$Q,$A52),0)</f>
        <v>0</v>
      </c>
      <c r="L52" s="48">
        <f t="array" ref="L52">max(if('Raw Data'!$Q:$Q=$A52,'Raw Data'!$I:$I))</f>
        <v>0</v>
      </c>
      <c r="M52" s="58">
        <f>iferror(sumif('Raw Data'!$Q:$Q,$A52,'Raw Data'!J:J)/countif('Raw Data'!$Q:$Q,$A52),0)</f>
        <v>0</v>
      </c>
      <c r="N52" s="58">
        <f>iferror(sumif('Raw Data'!$Q:$Q,$A52,'Raw Data'!K:K)/countif('Raw Data'!$Q:$Q,$A52),0)</f>
        <v>0</v>
      </c>
      <c r="O52" s="64">
        <f>F52*'Control PanelOur Matches'!$K$2</f>
        <v>0</v>
      </c>
      <c r="P52" s="64">
        <f t="shared" si="1"/>
        <v>0</v>
      </c>
      <c r="Q52" s="64">
        <f t="shared" si="2"/>
        <v>0</v>
      </c>
      <c r="R52" s="58" t="str">
        <f>'Component OPR Dump'!F79</f>
        <v/>
      </c>
      <c r="S52" s="58" t="str">
        <f>'Component OPR Dump'!D79</f>
        <v/>
      </c>
      <c r="T52" s="58" t="str">
        <f>'Component OPR Dump'!I79</f>
        <v/>
      </c>
      <c r="U52" s="58" t="str">
        <f>'Component OPR Dump'!H79</f>
        <v/>
      </c>
      <c r="V52" s="58" t="str">
        <f>'Component OPR Dump'!G79</f>
        <v/>
      </c>
      <c r="W52" s="58" t="str">
        <f>'Component OPR Dump'!J79</f>
        <v/>
      </c>
      <c r="X52" s="48" t="str">
        <f>iferror(sumif('Raw Data'!$Q:$Q,$A52,'Raw Data'!L:L)/countif('Raw Data'!$Q:$Q,$A52), )</f>
        <v/>
      </c>
    </row>
    <row r="53" ht="15.0" customHeight="1">
      <c r="A53" s="95"/>
      <c r="B53" s="48">
        <f>iferror((sumif('Raw Data'!$Q:$Q,$A53,'Raw Data'!P:P)/countif('Raw Data'!$Q:$Q,$A53))+R53+(T53/3),0)</f>
        <v>0</v>
      </c>
      <c r="C53" s="48">
        <f t="array" ref="C53">max(if('Raw Data'!$Q:$Q=$A53,'Raw Data'!$P:$P))</f>
        <v>0</v>
      </c>
      <c r="D53" s="58">
        <f>iferror(sumif('Raw Data'!$Q:$Q,$A53,'Raw Data'!E:E)/countif('Raw Data'!$Q:$Q,$A53),0)</f>
        <v>0</v>
      </c>
      <c r="E53" s="58">
        <f t="array" ref="E53">max(if('Raw Data'!$Q:$Q=$A53,'Raw Data'!$E:$E))</f>
        <v>0</v>
      </c>
      <c r="F53" s="58">
        <f>iferror(sumif('Raw Data'!$Q:$Q,$A53,'Raw Data'!F:F)/countif('Raw Data'!$Q:$Q,$A53),0)</f>
        <v>0</v>
      </c>
      <c r="G53" s="58">
        <f t="array" ref="G53">max(if('Raw Data'!$Q:$Q=$A53,'Raw Data'!$F:$F))</f>
        <v>0</v>
      </c>
      <c r="H53" s="58">
        <f>iferror(sumif('Raw Data'!$Q:$Q,$A53,'Raw Data'!G:G)/countif('Raw Data'!$Q:$Q,$A53),0)</f>
        <v>0</v>
      </c>
      <c r="I53" s="58">
        <f>iferror(sumif('Raw Data'!$Q:$Q,$A53,'Raw Data'!H:H)/countif('Raw Data'!$Q:$Q,$A53),0)</f>
        <v>0</v>
      </c>
      <c r="J53" s="58">
        <f t="array" ref="J53">max(if('Raw Data'!$Q:$Q=$A53,'Raw Data'!$H:$H))</f>
        <v>0</v>
      </c>
      <c r="K53" s="48">
        <f>iferror(sumif('Raw Data'!$Q:$Q,$A53,'Raw Data'!I:I)/countif('Raw Data'!$Q:$Q,$A53),0)</f>
        <v>0</v>
      </c>
      <c r="L53" s="48">
        <f t="array" ref="L53">max(if('Raw Data'!$Q:$Q=$A53,'Raw Data'!$I:$I))</f>
        <v>0</v>
      </c>
      <c r="M53" s="58">
        <f>iferror(sumif('Raw Data'!$Q:$Q,$A53,'Raw Data'!J:J)/countif('Raw Data'!$Q:$Q,$A53),0)</f>
        <v>0</v>
      </c>
      <c r="N53" s="58">
        <f>iferror(sumif('Raw Data'!$Q:$Q,$A53,'Raw Data'!K:K)/countif('Raw Data'!$Q:$Q,$A53),0)</f>
        <v>0</v>
      </c>
      <c r="O53" s="64">
        <f>F53*'Control PanelOur Matches'!$K$2</f>
        <v>0</v>
      </c>
      <c r="P53" s="64">
        <f t="shared" si="1"/>
        <v>0</v>
      </c>
      <c r="Q53" s="64">
        <f t="shared" si="2"/>
        <v>0</v>
      </c>
      <c r="R53" s="58" t="str">
        <f>'Component OPR Dump'!F80</f>
        <v/>
      </c>
      <c r="S53" s="58" t="str">
        <f>'Component OPR Dump'!D80</f>
        <v/>
      </c>
      <c r="T53" s="58" t="str">
        <f>'Component OPR Dump'!I80</f>
        <v/>
      </c>
      <c r="U53" s="58" t="str">
        <f>'Component OPR Dump'!H80</f>
        <v/>
      </c>
      <c r="V53" s="58" t="str">
        <f>'Component OPR Dump'!G80</f>
        <v/>
      </c>
      <c r="W53" s="58" t="str">
        <f>'Component OPR Dump'!J80</f>
        <v/>
      </c>
      <c r="X53" s="48" t="str">
        <f>iferror(sumif('Raw Data'!$Q:$Q,$A53,'Raw Data'!L:L)/countif('Raw Data'!$Q:$Q,$A53), )</f>
        <v/>
      </c>
    </row>
    <row r="54" ht="15.0" customHeight="1">
      <c r="A54" s="95"/>
      <c r="B54" s="48">
        <f>iferror((sumif('Raw Data'!$Q:$Q,$A54,'Raw Data'!P:P)/countif('Raw Data'!$Q:$Q,$A54))+R54+(T54/3),0)</f>
        <v>0</v>
      </c>
      <c r="C54" s="48">
        <f t="array" ref="C54">max(if('Raw Data'!$Q:$Q=$A54,'Raw Data'!$P:$P))</f>
        <v>0</v>
      </c>
      <c r="D54" s="58">
        <f>iferror(sumif('Raw Data'!$Q:$Q,$A54,'Raw Data'!E:E)/countif('Raw Data'!$Q:$Q,$A54),0)</f>
        <v>0</v>
      </c>
      <c r="E54" s="58">
        <f t="array" ref="E54">max(if('Raw Data'!$Q:$Q=$A54,'Raw Data'!$E:$E))</f>
        <v>0</v>
      </c>
      <c r="F54" s="58">
        <f>iferror(sumif('Raw Data'!$Q:$Q,$A54,'Raw Data'!F:F)/countif('Raw Data'!$Q:$Q,$A54),0)</f>
        <v>0</v>
      </c>
      <c r="G54" s="58">
        <f t="array" ref="G54">max(if('Raw Data'!$Q:$Q=$A54,'Raw Data'!$F:$F))</f>
        <v>0</v>
      </c>
      <c r="H54" s="58">
        <f>iferror(sumif('Raw Data'!$Q:$Q,$A54,'Raw Data'!G:G)/countif('Raw Data'!$Q:$Q,$A54),0)</f>
        <v>0</v>
      </c>
      <c r="I54" s="58">
        <f>iferror(sumif('Raw Data'!$Q:$Q,$A54,'Raw Data'!H:H)/countif('Raw Data'!$Q:$Q,$A54),0)</f>
        <v>0</v>
      </c>
      <c r="J54" s="58">
        <f t="array" ref="J54">max(if('Raw Data'!$Q:$Q=$A54,'Raw Data'!$H:$H))</f>
        <v>0</v>
      </c>
      <c r="K54" s="48">
        <f>iferror(sumif('Raw Data'!$Q:$Q,$A54,'Raw Data'!I:I)/countif('Raw Data'!$Q:$Q,$A54),0)</f>
        <v>0</v>
      </c>
      <c r="L54" s="48">
        <f t="array" ref="L54">max(if('Raw Data'!$Q:$Q=$A54,'Raw Data'!$I:$I))</f>
        <v>0</v>
      </c>
      <c r="M54" s="58">
        <f>iferror(sumif('Raw Data'!$Q:$Q,$A54,'Raw Data'!J:J)/countif('Raw Data'!$Q:$Q,$A54),0)</f>
        <v>0</v>
      </c>
      <c r="N54" s="58">
        <f>iferror(sumif('Raw Data'!$Q:$Q,$A54,'Raw Data'!K:K)/countif('Raw Data'!$Q:$Q,$A54),0)</f>
        <v>0</v>
      </c>
      <c r="O54" s="64">
        <f>F54*'Control PanelOur Matches'!$K$2</f>
        <v>0</v>
      </c>
      <c r="P54" s="64">
        <f t="shared" si="1"/>
        <v>0</v>
      </c>
      <c r="Q54" s="64">
        <f t="shared" si="2"/>
        <v>0</v>
      </c>
      <c r="R54" s="58" t="str">
        <f>'Component OPR Dump'!F81</f>
        <v/>
      </c>
      <c r="S54" s="58" t="str">
        <f>'Component OPR Dump'!D81</f>
        <v/>
      </c>
      <c r="T54" s="58" t="str">
        <f>'Component OPR Dump'!I81</f>
        <v/>
      </c>
      <c r="U54" s="58" t="str">
        <f>'Component OPR Dump'!H81</f>
        <v/>
      </c>
      <c r="V54" s="58" t="str">
        <f>'Component OPR Dump'!G81</f>
        <v/>
      </c>
      <c r="W54" s="58" t="str">
        <f>'Component OPR Dump'!J81</f>
        <v/>
      </c>
      <c r="X54" s="48" t="str">
        <f>iferror(sumif('Raw Data'!$Q:$Q,$A54,'Raw Data'!L:L)/countif('Raw Data'!$Q:$Q,$A54), )</f>
        <v/>
      </c>
    </row>
    <row r="55" ht="15.0" customHeight="1">
      <c r="A55" s="95"/>
      <c r="B55" s="48">
        <f>iferror((sumif('Raw Data'!$Q:$Q,$A55,'Raw Data'!P:P)/countif('Raw Data'!$Q:$Q,$A55))+R55+(T55/3),0)</f>
        <v>0</v>
      </c>
      <c r="C55" s="48">
        <f t="array" ref="C55">max(if('Raw Data'!$Q:$Q=$A55,'Raw Data'!$P:$P))</f>
        <v>0</v>
      </c>
      <c r="D55" s="58">
        <f>iferror(sumif('Raw Data'!$Q:$Q,$A55,'Raw Data'!E:E)/countif('Raw Data'!$Q:$Q,$A55),0)</f>
        <v>0</v>
      </c>
      <c r="E55" s="58">
        <f t="array" ref="E55">max(if('Raw Data'!$Q:$Q=$A55,'Raw Data'!$E:$E))</f>
        <v>0</v>
      </c>
      <c r="F55" s="58">
        <f>iferror(sumif('Raw Data'!$Q:$Q,$A55,'Raw Data'!F:F)/countif('Raw Data'!$Q:$Q,$A55),0)</f>
        <v>0</v>
      </c>
      <c r="G55" s="58">
        <f t="array" ref="G55">max(if('Raw Data'!$Q:$Q=$A55,'Raw Data'!$F:$F))</f>
        <v>0</v>
      </c>
      <c r="H55" s="58">
        <f>iferror(sumif('Raw Data'!$Q:$Q,$A55,'Raw Data'!G:G)/countif('Raw Data'!$Q:$Q,$A55),0)</f>
        <v>0</v>
      </c>
      <c r="I55" s="58">
        <f>iferror(sumif('Raw Data'!$Q:$Q,$A55,'Raw Data'!H:H)/countif('Raw Data'!$Q:$Q,$A55),0)</f>
        <v>0</v>
      </c>
      <c r="J55" s="58">
        <f t="array" ref="J55">max(if('Raw Data'!$Q:$Q=$A55,'Raw Data'!$H:$H))</f>
        <v>0</v>
      </c>
      <c r="K55" s="48">
        <f>iferror(sumif('Raw Data'!$Q:$Q,$A55,'Raw Data'!I:I)/countif('Raw Data'!$Q:$Q,$A55),0)</f>
        <v>0</v>
      </c>
      <c r="L55" s="48">
        <f t="array" ref="L55">max(if('Raw Data'!$Q:$Q=$A55,'Raw Data'!$I:$I))</f>
        <v>0</v>
      </c>
      <c r="M55" s="58">
        <f>iferror(sumif('Raw Data'!$Q:$Q,$A55,'Raw Data'!J:J)/countif('Raw Data'!$Q:$Q,$A55),0)</f>
        <v>0</v>
      </c>
      <c r="N55" s="58">
        <f>iferror(sumif('Raw Data'!$Q:$Q,$A55,'Raw Data'!K:K)/countif('Raw Data'!$Q:$Q,$A55),0)</f>
        <v>0</v>
      </c>
      <c r="O55" s="64">
        <f>F55*'Control PanelOur Matches'!$K$2</f>
        <v>0</v>
      </c>
      <c r="P55" s="64">
        <f t="shared" si="1"/>
        <v>0</v>
      </c>
      <c r="Q55" s="64">
        <f t="shared" si="2"/>
        <v>0</v>
      </c>
      <c r="R55" s="58" t="str">
        <f>'Component OPR Dump'!F82</f>
        <v/>
      </c>
      <c r="S55" s="58" t="str">
        <f>'Component OPR Dump'!D82</f>
        <v/>
      </c>
      <c r="T55" s="58" t="str">
        <f>'Component OPR Dump'!I82</f>
        <v/>
      </c>
      <c r="U55" s="58" t="str">
        <f>'Component OPR Dump'!H82</f>
        <v/>
      </c>
      <c r="V55" s="58" t="str">
        <f>'Component OPR Dump'!G82</f>
        <v/>
      </c>
      <c r="W55" s="58" t="str">
        <f>'Component OPR Dump'!J82</f>
        <v/>
      </c>
      <c r="X55" s="48" t="str">
        <f>iferror(sumif('Raw Data'!$Q:$Q,$A55,'Raw Data'!L:L)/countif('Raw Data'!$Q:$Q,$A55), )</f>
        <v/>
      </c>
    </row>
    <row r="56" ht="15.0" customHeight="1">
      <c r="A56" s="95"/>
      <c r="B56" s="48">
        <f>iferror((sumif('Raw Data'!$Q:$Q,$A56,'Raw Data'!P:P)/countif('Raw Data'!$Q:$Q,$A56))+R56+(T56/3),0)</f>
        <v>0</v>
      </c>
      <c r="C56" s="48">
        <f t="array" ref="C56">max(if('Raw Data'!$Q:$Q=$A56,'Raw Data'!$P:$P))</f>
        <v>0</v>
      </c>
      <c r="D56" s="58">
        <f>iferror(sumif('Raw Data'!$Q:$Q,$A56,'Raw Data'!E:E)/countif('Raw Data'!$Q:$Q,$A56),0)</f>
        <v>0</v>
      </c>
      <c r="E56" s="58">
        <f t="array" ref="E56">max(if('Raw Data'!$Q:$Q=$A56,'Raw Data'!$E:$E))</f>
        <v>0</v>
      </c>
      <c r="F56" s="58">
        <f>iferror(sumif('Raw Data'!$Q:$Q,$A56,'Raw Data'!F:F)/countif('Raw Data'!$Q:$Q,$A56),0)</f>
        <v>0</v>
      </c>
      <c r="G56" s="58">
        <f t="array" ref="G56">max(if('Raw Data'!$Q:$Q=$A56,'Raw Data'!$F:$F))</f>
        <v>0</v>
      </c>
      <c r="H56" s="58">
        <f>iferror(sumif('Raw Data'!$Q:$Q,$A56,'Raw Data'!G:G)/countif('Raw Data'!$Q:$Q,$A56),0)</f>
        <v>0</v>
      </c>
      <c r="I56" s="58">
        <f>iferror(sumif('Raw Data'!$Q:$Q,$A56,'Raw Data'!H:H)/countif('Raw Data'!$Q:$Q,$A56),0)</f>
        <v>0</v>
      </c>
      <c r="J56" s="58">
        <f t="array" ref="J56">max(if('Raw Data'!$Q:$Q=$A56,'Raw Data'!$H:$H))</f>
        <v>0</v>
      </c>
      <c r="K56" s="48">
        <f>iferror(sumif('Raw Data'!$Q:$Q,$A56,'Raw Data'!I:I)/countif('Raw Data'!$Q:$Q,$A56),0)</f>
        <v>0</v>
      </c>
      <c r="L56" s="48">
        <f t="array" ref="L56">max(if('Raw Data'!$Q:$Q=$A56,'Raw Data'!$I:$I))</f>
        <v>0</v>
      </c>
      <c r="M56" s="58">
        <f>iferror(sumif('Raw Data'!$Q:$Q,$A56,'Raw Data'!J:J)/countif('Raw Data'!$Q:$Q,$A56),0)</f>
        <v>0</v>
      </c>
      <c r="N56" s="58">
        <f>iferror(sumif('Raw Data'!$Q:$Q,$A56,'Raw Data'!K:K)/countif('Raw Data'!$Q:$Q,$A56),0)</f>
        <v>0</v>
      </c>
      <c r="O56" s="64">
        <f>F56*'Control PanelOur Matches'!$K$2</f>
        <v>0</v>
      </c>
      <c r="P56" s="64">
        <f t="shared" si="1"/>
        <v>0</v>
      </c>
      <c r="Q56" s="64">
        <f t="shared" si="2"/>
        <v>0</v>
      </c>
      <c r="R56" s="58" t="str">
        <f>'Component OPR Dump'!F83</f>
        <v/>
      </c>
      <c r="S56" s="58" t="str">
        <f>'Component OPR Dump'!D83</f>
        <v/>
      </c>
      <c r="T56" s="58" t="str">
        <f>'Component OPR Dump'!I83</f>
        <v/>
      </c>
      <c r="U56" s="58" t="str">
        <f>'Component OPR Dump'!H83</f>
        <v/>
      </c>
      <c r="V56" s="58" t="str">
        <f>'Component OPR Dump'!G83</f>
        <v/>
      </c>
      <c r="W56" s="58" t="str">
        <f>'Component OPR Dump'!J83</f>
        <v/>
      </c>
      <c r="X56" s="48" t="str">
        <f>iferror(sumif('Raw Data'!$Q:$Q,$A56,'Raw Data'!L:L)/countif('Raw Data'!$Q:$Q,$A56), )</f>
        <v/>
      </c>
    </row>
    <row r="57" ht="15.0" customHeight="1">
      <c r="A57" s="95"/>
      <c r="B57" s="48">
        <f>iferror((sumif('Raw Data'!$Q:$Q,$A57,'Raw Data'!P:P)/countif('Raw Data'!$Q:$Q,$A57))+R57+(T57/3),0)</f>
        <v>0</v>
      </c>
      <c r="C57" s="48">
        <f t="array" ref="C57">max(if('Raw Data'!$Q:$Q=$A57,'Raw Data'!$P:$P))</f>
        <v>0</v>
      </c>
      <c r="D57" s="58">
        <f>iferror(sumif('Raw Data'!$Q:$Q,$A57,'Raw Data'!E:E)/countif('Raw Data'!$Q:$Q,$A57),0)</f>
        <v>0</v>
      </c>
      <c r="E57" s="58">
        <f t="array" ref="E57">max(if('Raw Data'!$Q:$Q=$A57,'Raw Data'!$E:$E))</f>
        <v>0</v>
      </c>
      <c r="F57" s="58">
        <f>iferror(sumif('Raw Data'!$Q:$Q,$A57,'Raw Data'!F:F)/countif('Raw Data'!$Q:$Q,$A57),0)</f>
        <v>0</v>
      </c>
      <c r="G57" s="58">
        <f t="array" ref="G57">max(if('Raw Data'!$Q:$Q=$A57,'Raw Data'!$F:$F))</f>
        <v>0</v>
      </c>
      <c r="H57" s="58">
        <f>iferror(sumif('Raw Data'!$Q:$Q,$A57,'Raw Data'!G:G)/countif('Raw Data'!$Q:$Q,$A57),0)</f>
        <v>0</v>
      </c>
      <c r="I57" s="58">
        <f>iferror(sumif('Raw Data'!$Q:$Q,$A57,'Raw Data'!H:H)/countif('Raw Data'!$Q:$Q,$A57),0)</f>
        <v>0</v>
      </c>
      <c r="J57" s="58">
        <f t="array" ref="J57">max(if('Raw Data'!$Q:$Q=$A57,'Raw Data'!$H:$H))</f>
        <v>0</v>
      </c>
      <c r="K57" s="48">
        <f>iferror(sumif('Raw Data'!$Q:$Q,$A57,'Raw Data'!I:I)/countif('Raw Data'!$Q:$Q,$A57),0)</f>
        <v>0</v>
      </c>
      <c r="L57" s="48">
        <f t="array" ref="L57">max(if('Raw Data'!$Q:$Q=$A57,'Raw Data'!$I:$I))</f>
        <v>0</v>
      </c>
      <c r="M57" s="58">
        <f>iferror(sumif('Raw Data'!$Q:$Q,$A57,'Raw Data'!J:J)/countif('Raw Data'!$Q:$Q,$A57),0)</f>
        <v>0</v>
      </c>
      <c r="N57" s="58">
        <f>iferror(sumif('Raw Data'!$Q:$Q,$A57,'Raw Data'!K:K)/countif('Raw Data'!$Q:$Q,$A57),0)</f>
        <v>0</v>
      </c>
      <c r="O57" s="64">
        <f>F57*'Control PanelOur Matches'!$K$2</f>
        <v>0</v>
      </c>
      <c r="P57" s="64">
        <f t="shared" si="1"/>
        <v>0</v>
      </c>
      <c r="Q57" s="64">
        <f t="shared" si="2"/>
        <v>0</v>
      </c>
      <c r="R57" s="58" t="str">
        <f>'Component OPR Dump'!F84</f>
        <v/>
      </c>
      <c r="S57" s="58" t="str">
        <f>'Component OPR Dump'!D84</f>
        <v/>
      </c>
      <c r="T57" s="58" t="str">
        <f>'Component OPR Dump'!I84</f>
        <v/>
      </c>
      <c r="U57" s="58" t="str">
        <f>'Component OPR Dump'!H84</f>
        <v/>
      </c>
      <c r="V57" s="58" t="str">
        <f>'Component OPR Dump'!G84</f>
        <v/>
      </c>
      <c r="W57" s="58" t="str">
        <f>'Component OPR Dump'!J84</f>
        <v/>
      </c>
      <c r="X57" s="48" t="str">
        <f>iferror(sumif('Raw Data'!$Q:$Q,$A57,'Raw Data'!L:L)/countif('Raw Data'!$Q:$Q,$A57), )</f>
        <v/>
      </c>
    </row>
    <row r="58" ht="15.0" customHeight="1">
      <c r="A58" s="95"/>
      <c r="B58" s="48">
        <f>iferror((sumif('Raw Data'!$Q:$Q,$A58,'Raw Data'!P:P)/countif('Raw Data'!$Q:$Q,$A58))+R58+(T58/3),0)</f>
        <v>0</v>
      </c>
      <c r="C58" s="48">
        <f t="array" ref="C58">max(if('Raw Data'!$Q:$Q=$A58,'Raw Data'!$P:$P))</f>
        <v>0</v>
      </c>
      <c r="D58" s="58">
        <f>iferror(sumif('Raw Data'!$Q:$Q,$A58,'Raw Data'!E:E)/countif('Raw Data'!$Q:$Q,$A58),0)</f>
        <v>0</v>
      </c>
      <c r="E58" s="58">
        <f t="array" ref="E58">max(if('Raw Data'!$Q:$Q=$A58,'Raw Data'!$E:$E))</f>
        <v>0</v>
      </c>
      <c r="F58" s="58">
        <f>iferror(sumif('Raw Data'!$Q:$Q,$A58,'Raw Data'!F:F)/countif('Raw Data'!$Q:$Q,$A58),0)</f>
        <v>0</v>
      </c>
      <c r="G58" s="58">
        <f t="array" ref="G58">max(if('Raw Data'!$Q:$Q=$A58,'Raw Data'!$F:$F))</f>
        <v>0</v>
      </c>
      <c r="H58" s="58">
        <f>iferror(sumif('Raw Data'!$Q:$Q,$A58,'Raw Data'!G:G)/countif('Raw Data'!$Q:$Q,$A58),0)</f>
        <v>0</v>
      </c>
      <c r="I58" s="58">
        <f>iferror(sumif('Raw Data'!$Q:$Q,$A58,'Raw Data'!H:H)/countif('Raw Data'!$Q:$Q,$A58),0)</f>
        <v>0</v>
      </c>
      <c r="J58" s="58">
        <f t="array" ref="J58">max(if('Raw Data'!$Q:$Q=$A58,'Raw Data'!$H:$H))</f>
        <v>0</v>
      </c>
      <c r="K58" s="48">
        <f>iferror(sumif('Raw Data'!$Q:$Q,$A58,'Raw Data'!I:I)/countif('Raw Data'!$Q:$Q,$A58),0)</f>
        <v>0</v>
      </c>
      <c r="L58" s="48">
        <f t="array" ref="L58">max(if('Raw Data'!$Q:$Q=$A58,'Raw Data'!$I:$I))</f>
        <v>0</v>
      </c>
      <c r="M58" s="58">
        <f>iferror(sumif('Raw Data'!$Q:$Q,$A58,'Raw Data'!J:J)/countif('Raw Data'!$Q:$Q,$A58),0)</f>
        <v>0</v>
      </c>
      <c r="N58" s="58">
        <f>iferror(sumif('Raw Data'!$Q:$Q,$A58,'Raw Data'!K:K)/countif('Raw Data'!$Q:$Q,$A58),0)</f>
        <v>0</v>
      </c>
      <c r="O58" s="64">
        <f>F58*'Control PanelOur Matches'!$K$2</f>
        <v>0</v>
      </c>
      <c r="P58" s="64">
        <f t="shared" si="1"/>
        <v>0</v>
      </c>
      <c r="Q58" s="64">
        <f t="shared" si="2"/>
        <v>0</v>
      </c>
      <c r="R58" s="58" t="str">
        <f>'Component OPR Dump'!F85</f>
        <v/>
      </c>
      <c r="S58" s="58" t="str">
        <f>'Component OPR Dump'!D85</f>
        <v/>
      </c>
      <c r="T58" s="58" t="str">
        <f>'Component OPR Dump'!I85</f>
        <v/>
      </c>
      <c r="U58" s="58" t="str">
        <f>'Component OPR Dump'!H85</f>
        <v/>
      </c>
      <c r="V58" s="58" t="str">
        <f>'Component OPR Dump'!G85</f>
        <v/>
      </c>
      <c r="W58" s="58" t="str">
        <f>'Component OPR Dump'!J85</f>
        <v/>
      </c>
      <c r="X58" s="48" t="str">
        <f>iferror(sumif('Raw Data'!$Q:$Q,$A58,'Raw Data'!L:L)/countif('Raw Data'!$Q:$Q,$A58), )</f>
        <v/>
      </c>
    </row>
    <row r="59" ht="15.0" customHeight="1">
      <c r="A59" s="95"/>
      <c r="B59" s="48">
        <f>iferror((sumif('Raw Data'!$Q:$Q,$A59,'Raw Data'!P:P)/countif('Raw Data'!$Q:$Q,$A59))+R59+(T59/3),0)</f>
        <v>0</v>
      </c>
      <c r="C59" s="48">
        <f t="array" ref="C59">max(if('Raw Data'!$Q:$Q=$A59,'Raw Data'!$P:$P))</f>
        <v>0</v>
      </c>
      <c r="D59" s="58">
        <f>iferror(sumif('Raw Data'!$Q:$Q,$A59,'Raw Data'!E:E)/countif('Raw Data'!$Q:$Q,$A59),0)</f>
        <v>0</v>
      </c>
      <c r="E59" s="58">
        <f t="array" ref="E59">max(if('Raw Data'!$Q:$Q=$A59,'Raw Data'!$E:$E))</f>
        <v>0</v>
      </c>
      <c r="F59" s="58">
        <f>iferror(sumif('Raw Data'!$Q:$Q,$A59,'Raw Data'!F:F)/countif('Raw Data'!$Q:$Q,$A59),0)</f>
        <v>0</v>
      </c>
      <c r="G59" s="58">
        <f t="array" ref="G59">max(if('Raw Data'!$Q:$Q=$A59,'Raw Data'!$F:$F))</f>
        <v>0</v>
      </c>
      <c r="H59" s="58">
        <f>iferror(sumif('Raw Data'!$Q:$Q,$A59,'Raw Data'!G:G)/countif('Raw Data'!$Q:$Q,$A59),0)</f>
        <v>0</v>
      </c>
      <c r="I59" s="58">
        <f>iferror(sumif('Raw Data'!$Q:$Q,$A59,'Raw Data'!H:H)/countif('Raw Data'!$Q:$Q,$A59),0)</f>
        <v>0</v>
      </c>
      <c r="J59" s="58">
        <f t="array" ref="J59">max(if('Raw Data'!$Q:$Q=$A59,'Raw Data'!$H:$H))</f>
        <v>0</v>
      </c>
      <c r="K59" s="48">
        <f>iferror(sumif('Raw Data'!$Q:$Q,$A59,'Raw Data'!I:I)/countif('Raw Data'!$Q:$Q,$A59),0)</f>
        <v>0</v>
      </c>
      <c r="L59" s="48">
        <f t="array" ref="L59">max(if('Raw Data'!$Q:$Q=$A59,'Raw Data'!$I:$I))</f>
        <v>0</v>
      </c>
      <c r="M59" s="58">
        <f>iferror(sumif('Raw Data'!$Q:$Q,$A59,'Raw Data'!J:J)/countif('Raw Data'!$Q:$Q,$A59),0)</f>
        <v>0</v>
      </c>
      <c r="N59" s="58">
        <f>iferror(sumif('Raw Data'!$Q:$Q,$A59,'Raw Data'!K:K)/countif('Raw Data'!$Q:$Q,$A59),0)</f>
        <v>0</v>
      </c>
      <c r="O59" s="64">
        <f>F59*'Control PanelOur Matches'!$K$2</f>
        <v>0</v>
      </c>
      <c r="P59" s="64">
        <f t="shared" si="1"/>
        <v>0</v>
      </c>
      <c r="Q59" s="64">
        <f t="shared" si="2"/>
        <v>0</v>
      </c>
      <c r="R59" s="58" t="str">
        <f>'Component OPR Dump'!F86</f>
        <v/>
      </c>
      <c r="S59" s="58" t="str">
        <f>'Component OPR Dump'!D86</f>
        <v/>
      </c>
      <c r="T59" s="58" t="str">
        <f>'Component OPR Dump'!I86</f>
        <v/>
      </c>
      <c r="U59" s="58" t="str">
        <f>'Component OPR Dump'!H86</f>
        <v/>
      </c>
      <c r="V59" s="58" t="str">
        <f>'Component OPR Dump'!G86</f>
        <v/>
      </c>
      <c r="W59" s="58" t="str">
        <f>'Component OPR Dump'!J86</f>
        <v/>
      </c>
      <c r="X59" s="48" t="str">
        <f>iferror(sumif('Raw Data'!$Q:$Q,$A59,'Raw Data'!L:L)/countif('Raw Data'!$Q:$Q,$A59), )</f>
        <v/>
      </c>
    </row>
    <row r="60" ht="15.0" customHeight="1">
      <c r="A60" s="95"/>
      <c r="B60" s="48">
        <f>iferror((sumif('Raw Data'!$Q:$Q,$A60,'Raw Data'!P:P)/countif('Raw Data'!$Q:$Q,$A60))+R60+(T60/3),0)</f>
        <v>0</v>
      </c>
      <c r="C60" s="48">
        <f t="array" ref="C60">max(if('Raw Data'!$Q:$Q=$A60,'Raw Data'!$P:$P))</f>
        <v>0</v>
      </c>
      <c r="D60" s="58">
        <f>iferror(sumif('Raw Data'!$Q:$Q,$A60,'Raw Data'!E:E)/countif('Raw Data'!$Q:$Q,$A60),0)</f>
        <v>0</v>
      </c>
      <c r="E60" s="58">
        <f t="array" ref="E60">max(if('Raw Data'!$Q:$Q=$A60,'Raw Data'!$E:$E))</f>
        <v>0</v>
      </c>
      <c r="F60" s="58">
        <f>iferror(sumif('Raw Data'!$Q:$Q,$A60,'Raw Data'!F:F)/countif('Raw Data'!$Q:$Q,$A60),0)</f>
        <v>0</v>
      </c>
      <c r="G60" s="58">
        <f t="array" ref="G60">max(if('Raw Data'!$Q:$Q=$A60,'Raw Data'!$F:$F))</f>
        <v>0</v>
      </c>
      <c r="H60" s="58">
        <f>iferror(sumif('Raw Data'!$Q:$Q,$A60,'Raw Data'!G:G)/countif('Raw Data'!$Q:$Q,$A60),0)</f>
        <v>0</v>
      </c>
      <c r="I60" s="58">
        <f>iferror(sumif('Raw Data'!$Q:$Q,$A60,'Raw Data'!H:H)/countif('Raw Data'!$Q:$Q,$A60),0)</f>
        <v>0</v>
      </c>
      <c r="J60" s="58">
        <f t="array" ref="J60">max(if('Raw Data'!$Q:$Q=$A60,'Raw Data'!$H:$H))</f>
        <v>0</v>
      </c>
      <c r="K60" s="48">
        <f>iferror(sumif('Raw Data'!$Q:$Q,$A60,'Raw Data'!I:I)/countif('Raw Data'!$Q:$Q,$A60),0)</f>
        <v>0</v>
      </c>
      <c r="L60" s="48">
        <f t="array" ref="L60">max(if('Raw Data'!$Q:$Q=$A60,'Raw Data'!$I:$I))</f>
        <v>0</v>
      </c>
      <c r="M60" s="58">
        <f>iferror(sumif('Raw Data'!$Q:$Q,$A60,'Raw Data'!J:J)/countif('Raw Data'!$Q:$Q,$A60),0)</f>
        <v>0</v>
      </c>
      <c r="N60" s="58">
        <f>iferror(sumif('Raw Data'!$Q:$Q,$A60,'Raw Data'!K:K)/countif('Raw Data'!$Q:$Q,$A60),0)</f>
        <v>0</v>
      </c>
      <c r="O60" s="64">
        <f>F60*'Control PanelOur Matches'!$K$2</f>
        <v>0</v>
      </c>
      <c r="P60" s="64">
        <f t="shared" si="1"/>
        <v>0</v>
      </c>
      <c r="Q60" s="64">
        <f t="shared" si="2"/>
        <v>0</v>
      </c>
      <c r="R60" s="58" t="str">
        <f>'Component OPR Dump'!F87</f>
        <v/>
      </c>
      <c r="S60" s="58" t="str">
        <f>'Component OPR Dump'!D87</f>
        <v/>
      </c>
      <c r="T60" s="58" t="str">
        <f>'Component OPR Dump'!I87</f>
        <v/>
      </c>
      <c r="U60" s="58" t="str">
        <f>'Component OPR Dump'!H87</f>
        <v/>
      </c>
      <c r="V60" s="58" t="str">
        <f>'Component OPR Dump'!G87</f>
        <v/>
      </c>
      <c r="W60" s="58" t="str">
        <f>'Component OPR Dump'!J87</f>
        <v/>
      </c>
      <c r="X60" s="48" t="str">
        <f>iferror(sumif('Raw Data'!$Q:$Q,$A60,'Raw Data'!L:L)/countif('Raw Data'!$Q:$Q,$A60), )</f>
        <v/>
      </c>
    </row>
    <row r="61" ht="15.0" customHeight="1">
      <c r="A61" s="95"/>
      <c r="B61" s="48">
        <f>iferror((sumif('Raw Data'!$Q:$Q,$A61,'Raw Data'!P:P)/countif('Raw Data'!$Q:$Q,$A61))+R61+(T61/3),0)</f>
        <v>0</v>
      </c>
      <c r="C61" s="48">
        <f t="array" ref="C61">max(if('Raw Data'!$Q:$Q=$A61,'Raw Data'!$P:$P))</f>
        <v>0</v>
      </c>
      <c r="D61" s="58">
        <f>iferror(sumif('Raw Data'!$Q:$Q,$A61,'Raw Data'!E:E)/countif('Raw Data'!$Q:$Q,$A61),0)</f>
        <v>0</v>
      </c>
      <c r="E61" s="58">
        <f t="array" ref="E61">max(if('Raw Data'!$Q:$Q=$A61,'Raw Data'!$E:$E))</f>
        <v>0</v>
      </c>
      <c r="F61" s="58">
        <f>iferror(sumif('Raw Data'!$Q:$Q,$A61,'Raw Data'!F:F)/countif('Raw Data'!$Q:$Q,$A61),0)</f>
        <v>0</v>
      </c>
      <c r="G61" s="58">
        <f t="array" ref="G61">max(if('Raw Data'!$Q:$Q=$A61,'Raw Data'!$F:$F))</f>
        <v>0</v>
      </c>
      <c r="H61" s="58">
        <f>iferror(sumif('Raw Data'!$Q:$Q,$A61,'Raw Data'!G:G)/countif('Raw Data'!$Q:$Q,$A61),0)</f>
        <v>0</v>
      </c>
      <c r="I61" s="58">
        <f>iferror(sumif('Raw Data'!$Q:$Q,$A61,'Raw Data'!H:H)/countif('Raw Data'!$Q:$Q,$A61),0)</f>
        <v>0</v>
      </c>
      <c r="J61" s="58">
        <f t="array" ref="J61">max(if('Raw Data'!$Q:$Q=$A61,'Raw Data'!$H:$H))</f>
        <v>0</v>
      </c>
      <c r="K61" s="48">
        <f>iferror(sumif('Raw Data'!$Q:$Q,$A61,'Raw Data'!I:I)/countif('Raw Data'!$Q:$Q,$A61),0)</f>
        <v>0</v>
      </c>
      <c r="L61" s="48">
        <f t="array" ref="L61">max(if('Raw Data'!$Q:$Q=$A61,'Raw Data'!$I:$I))</f>
        <v>0</v>
      </c>
      <c r="M61" s="58">
        <f>iferror(sumif('Raw Data'!$Q:$Q,$A61,'Raw Data'!J:J)/countif('Raw Data'!$Q:$Q,$A61),0)</f>
        <v>0</v>
      </c>
      <c r="N61" s="58">
        <f>iferror(sumif('Raw Data'!$Q:$Q,$A61,'Raw Data'!K:K)/countif('Raw Data'!$Q:$Q,$A61),0)</f>
        <v>0</v>
      </c>
      <c r="O61" s="64">
        <f>F61*'Control PanelOur Matches'!$K$2</f>
        <v>0</v>
      </c>
      <c r="P61" s="64">
        <f t="shared" si="1"/>
        <v>0</v>
      </c>
      <c r="Q61" s="64">
        <f t="shared" si="2"/>
        <v>0</v>
      </c>
      <c r="R61" s="58" t="str">
        <f>'Component OPR Dump'!F88</f>
        <v/>
      </c>
      <c r="S61" s="58" t="str">
        <f>'Component OPR Dump'!D88</f>
        <v/>
      </c>
      <c r="T61" s="58" t="str">
        <f>'Component OPR Dump'!I88</f>
        <v/>
      </c>
      <c r="U61" s="58" t="str">
        <f>'Component OPR Dump'!H88</f>
        <v/>
      </c>
      <c r="V61" s="58" t="str">
        <f>'Component OPR Dump'!G88</f>
        <v/>
      </c>
      <c r="W61" s="58" t="str">
        <f>'Component OPR Dump'!J88</f>
        <v/>
      </c>
      <c r="X61" s="48" t="str">
        <f>iferror(sumif('Raw Data'!$Q:$Q,$A61,'Raw Data'!L:L)/countif('Raw Data'!$Q:$Q,$A61), )</f>
        <v/>
      </c>
    </row>
    <row r="62" ht="15.0" customHeight="1">
      <c r="A62" s="95"/>
      <c r="B62" s="48">
        <f>iferror((sumif('Raw Data'!$Q:$Q,$A62,'Raw Data'!P:P)/countif('Raw Data'!$Q:$Q,$A62))+R62+(T62/3),0)</f>
        <v>0</v>
      </c>
      <c r="C62" s="48">
        <f t="array" ref="C62">max(if('Raw Data'!$Q:$Q=$A62,'Raw Data'!$P:$P))</f>
        <v>0</v>
      </c>
      <c r="D62" s="58">
        <f>iferror(sumif('Raw Data'!$Q:$Q,$A62,'Raw Data'!E:E)/countif('Raw Data'!$Q:$Q,$A62),0)</f>
        <v>0</v>
      </c>
      <c r="E62" s="58">
        <f t="array" ref="E62">max(if('Raw Data'!$Q:$Q=$A62,'Raw Data'!$E:$E))</f>
        <v>0</v>
      </c>
      <c r="F62" s="58">
        <f>iferror(sumif('Raw Data'!$Q:$Q,$A62,'Raw Data'!F:F)/countif('Raw Data'!$Q:$Q,$A62),0)</f>
        <v>0</v>
      </c>
      <c r="G62" s="58">
        <f t="array" ref="G62">max(if('Raw Data'!$Q:$Q=$A62,'Raw Data'!$F:$F))</f>
        <v>0</v>
      </c>
      <c r="H62" s="58">
        <f>iferror(sumif('Raw Data'!$Q:$Q,$A62,'Raw Data'!G:G)/countif('Raw Data'!$Q:$Q,$A62),0)</f>
        <v>0</v>
      </c>
      <c r="I62" s="58">
        <f>iferror(sumif('Raw Data'!$Q:$Q,$A62,'Raw Data'!H:H)/countif('Raw Data'!$Q:$Q,$A62),0)</f>
        <v>0</v>
      </c>
      <c r="J62" s="58">
        <f t="array" ref="J62">max(if('Raw Data'!$Q:$Q=$A62,'Raw Data'!$H:$H))</f>
        <v>0</v>
      </c>
      <c r="K62" s="48">
        <f>iferror(sumif('Raw Data'!$Q:$Q,$A62,'Raw Data'!I:I)/countif('Raw Data'!$Q:$Q,$A62),0)</f>
        <v>0</v>
      </c>
      <c r="L62" s="48">
        <f t="array" ref="L62">max(if('Raw Data'!$Q:$Q=$A62,'Raw Data'!$I:$I))</f>
        <v>0</v>
      </c>
      <c r="M62" s="58">
        <f>iferror(sumif('Raw Data'!$Q:$Q,$A62,'Raw Data'!J:J)/countif('Raw Data'!$Q:$Q,$A62),0)</f>
        <v>0</v>
      </c>
      <c r="N62" s="58">
        <f>iferror(sumif('Raw Data'!$Q:$Q,$A62,'Raw Data'!K:K)/countif('Raw Data'!$Q:$Q,$A62),0)</f>
        <v>0</v>
      </c>
      <c r="O62" s="64">
        <f>F62*'Control PanelOur Matches'!$K$2</f>
        <v>0</v>
      </c>
      <c r="P62" s="64">
        <f t="shared" si="1"/>
        <v>0</v>
      </c>
      <c r="Q62" s="64">
        <f t="shared" si="2"/>
        <v>0</v>
      </c>
      <c r="R62" s="58" t="str">
        <f>'Component OPR Dump'!F89</f>
        <v/>
      </c>
      <c r="S62" s="58" t="str">
        <f>'Component OPR Dump'!D89</f>
        <v/>
      </c>
      <c r="T62" s="58" t="str">
        <f>'Component OPR Dump'!I89</f>
        <v/>
      </c>
      <c r="U62" s="58" t="str">
        <f>'Component OPR Dump'!H89</f>
        <v/>
      </c>
      <c r="V62" s="58" t="str">
        <f>'Component OPR Dump'!G89</f>
        <v/>
      </c>
      <c r="W62" s="58" t="str">
        <f>'Component OPR Dump'!J89</f>
        <v/>
      </c>
      <c r="X62" s="48" t="str">
        <f>iferror(sumif('Raw Data'!$Q:$Q,$A62,'Raw Data'!L:L)/countif('Raw Data'!$Q:$Q,$A62), )</f>
        <v/>
      </c>
    </row>
    <row r="63" ht="15.0" customHeight="1">
      <c r="A63" s="95"/>
      <c r="B63" s="48">
        <f>iferror((sumif('Raw Data'!$Q:$Q,$A63,'Raw Data'!P:P)/countif('Raw Data'!$Q:$Q,$A63))+R63+(T63/3),0)</f>
        <v>0</v>
      </c>
      <c r="C63" s="48">
        <f t="array" ref="C63">max(if('Raw Data'!$Q:$Q=$A63,'Raw Data'!$P:$P))</f>
        <v>0</v>
      </c>
      <c r="D63" s="58">
        <f>iferror(sumif('Raw Data'!$Q:$Q,$A63,'Raw Data'!E:E)/countif('Raw Data'!$Q:$Q,$A63),0)</f>
        <v>0</v>
      </c>
      <c r="E63" s="58">
        <f t="array" ref="E63">max(if('Raw Data'!$Q:$Q=$A63,'Raw Data'!$E:$E))</f>
        <v>0</v>
      </c>
      <c r="F63" s="58">
        <f>iferror(sumif('Raw Data'!$Q:$Q,$A63,'Raw Data'!F:F)/countif('Raw Data'!$Q:$Q,$A63),0)</f>
        <v>0</v>
      </c>
      <c r="G63" s="58">
        <f t="array" ref="G63">max(if('Raw Data'!$Q:$Q=$A63,'Raw Data'!$F:$F))</f>
        <v>0</v>
      </c>
      <c r="H63" s="58">
        <f>iferror(sumif('Raw Data'!$Q:$Q,$A63,'Raw Data'!G:G)/countif('Raw Data'!$Q:$Q,$A63),0)</f>
        <v>0</v>
      </c>
      <c r="I63" s="58">
        <f>iferror(sumif('Raw Data'!$Q:$Q,$A63,'Raw Data'!H:H)/countif('Raw Data'!$Q:$Q,$A63),0)</f>
        <v>0</v>
      </c>
      <c r="J63" s="58">
        <f t="array" ref="J63">max(if('Raw Data'!$Q:$Q=$A63,'Raw Data'!$H:$H))</f>
        <v>0</v>
      </c>
      <c r="K63" s="48">
        <f>iferror(sumif('Raw Data'!$Q:$Q,$A63,'Raw Data'!I:I)/countif('Raw Data'!$Q:$Q,$A63),0)</f>
        <v>0</v>
      </c>
      <c r="L63" s="48">
        <f t="array" ref="L63">max(if('Raw Data'!$Q:$Q=$A63,'Raw Data'!$I:$I))</f>
        <v>0</v>
      </c>
      <c r="M63" s="58">
        <f>iferror(sumif('Raw Data'!$Q:$Q,$A63,'Raw Data'!J:J)/countif('Raw Data'!$Q:$Q,$A63),0)</f>
        <v>0</v>
      </c>
      <c r="N63" s="58">
        <f>iferror(sumif('Raw Data'!$Q:$Q,$A63,'Raw Data'!K:K)/countif('Raw Data'!$Q:$Q,$A63),0)</f>
        <v>0</v>
      </c>
      <c r="O63" s="64">
        <f>F63*'Control PanelOur Matches'!$K$2</f>
        <v>0</v>
      </c>
      <c r="P63" s="64">
        <f t="shared" si="1"/>
        <v>0</v>
      </c>
      <c r="Q63" s="64">
        <f t="shared" si="2"/>
        <v>0</v>
      </c>
      <c r="R63" s="58" t="str">
        <f>'Component OPR Dump'!F90</f>
        <v/>
      </c>
      <c r="S63" s="58" t="str">
        <f>'Component OPR Dump'!D90</f>
        <v/>
      </c>
      <c r="T63" s="58" t="str">
        <f>'Component OPR Dump'!I90</f>
        <v/>
      </c>
      <c r="U63" s="58" t="str">
        <f>'Component OPR Dump'!H90</f>
        <v/>
      </c>
      <c r="V63" s="58" t="str">
        <f>'Component OPR Dump'!G90</f>
        <v/>
      </c>
      <c r="W63" s="58" t="str">
        <f>'Component OPR Dump'!J90</f>
        <v/>
      </c>
      <c r="X63" s="48" t="str">
        <f>iferror(sumif('Raw Data'!$Q:$Q,$A63,'Raw Data'!L:L)/countif('Raw Data'!$Q:$Q,$A63), )</f>
        <v/>
      </c>
    </row>
    <row r="64" ht="15.0" customHeight="1">
      <c r="A64" s="95"/>
      <c r="B64" s="48">
        <f>iferror((sumif('Raw Data'!$Q:$Q,$A64,'Raw Data'!P:P)/countif('Raw Data'!$Q:$Q,$A64))+R64+(T64/3),0)</f>
        <v>0</v>
      </c>
      <c r="C64" s="48">
        <f t="array" ref="C64">max(if('Raw Data'!$Q:$Q=$A64,'Raw Data'!$P:$P))</f>
        <v>0</v>
      </c>
      <c r="D64" s="58">
        <f>iferror(sumif('Raw Data'!$Q:$Q,$A64,'Raw Data'!E:E)/countif('Raw Data'!$Q:$Q,$A64),0)</f>
        <v>0</v>
      </c>
      <c r="E64" s="58">
        <f t="array" ref="E64">max(if('Raw Data'!$Q:$Q=$A64,'Raw Data'!$E:$E))</f>
        <v>0</v>
      </c>
      <c r="F64" s="58">
        <f>iferror(sumif('Raw Data'!$Q:$Q,$A64,'Raw Data'!F:F)/countif('Raw Data'!$Q:$Q,$A64),0)</f>
        <v>0</v>
      </c>
      <c r="G64" s="58">
        <f t="array" ref="G64">max(if('Raw Data'!$Q:$Q=$A64,'Raw Data'!$F:$F))</f>
        <v>0</v>
      </c>
      <c r="H64" s="58">
        <f>iferror(sumif('Raw Data'!$Q:$Q,$A64,'Raw Data'!G:G)/countif('Raw Data'!$Q:$Q,$A64),0)</f>
        <v>0</v>
      </c>
      <c r="I64" s="58">
        <f>iferror(sumif('Raw Data'!$Q:$Q,$A64,'Raw Data'!H:H)/countif('Raw Data'!$Q:$Q,$A64),0)</f>
        <v>0</v>
      </c>
      <c r="J64" s="58">
        <f t="array" ref="J64">max(if('Raw Data'!$Q:$Q=$A64,'Raw Data'!$H:$H))</f>
        <v>0</v>
      </c>
      <c r="K64" s="48">
        <f>iferror(sumif('Raw Data'!$Q:$Q,$A64,'Raw Data'!I:I)/countif('Raw Data'!$Q:$Q,$A64),0)</f>
        <v>0</v>
      </c>
      <c r="L64" s="48">
        <f t="array" ref="L64">max(if('Raw Data'!$Q:$Q=$A64,'Raw Data'!$I:$I))</f>
        <v>0</v>
      </c>
      <c r="M64" s="58">
        <f>iferror(sumif('Raw Data'!$Q:$Q,$A64,'Raw Data'!J:J)/countif('Raw Data'!$Q:$Q,$A64),0)</f>
        <v>0</v>
      </c>
      <c r="N64" s="58">
        <f>iferror(sumif('Raw Data'!$Q:$Q,$A64,'Raw Data'!K:K)/countif('Raw Data'!$Q:$Q,$A64),0)</f>
        <v>0</v>
      </c>
      <c r="O64" s="64">
        <f>F64*'Control PanelOur Matches'!$K$2</f>
        <v>0</v>
      </c>
      <c r="P64" s="64">
        <f t="shared" si="1"/>
        <v>0</v>
      </c>
      <c r="Q64" s="64">
        <f t="shared" si="2"/>
        <v>0</v>
      </c>
      <c r="R64" s="58" t="str">
        <f>'Component OPR Dump'!F91</f>
        <v/>
      </c>
      <c r="S64" s="58" t="str">
        <f>'Component OPR Dump'!D91</f>
        <v/>
      </c>
      <c r="T64" s="58" t="str">
        <f>'Component OPR Dump'!I91</f>
        <v/>
      </c>
      <c r="U64" s="58" t="str">
        <f>'Component OPR Dump'!H91</f>
        <v/>
      </c>
      <c r="V64" s="58" t="str">
        <f>'Component OPR Dump'!G91</f>
        <v/>
      </c>
      <c r="W64" s="58" t="str">
        <f>'Component OPR Dump'!J91</f>
        <v/>
      </c>
      <c r="X64" s="48" t="str">
        <f>iferror(sumif('Raw Data'!$Q:$Q,$A64,'Raw Data'!L:L)/countif('Raw Data'!$Q:$Q,$A64), )</f>
        <v/>
      </c>
    </row>
    <row r="65" ht="15.0" customHeight="1">
      <c r="A65" s="95"/>
      <c r="B65" s="48">
        <f>iferror((sumif('Raw Data'!$Q:$Q,$A65,'Raw Data'!P:P)/countif('Raw Data'!$Q:$Q,$A65))+R65+(T65/3),0)</f>
        <v>0</v>
      </c>
      <c r="C65" s="48">
        <f t="array" ref="C65">max(if('Raw Data'!$Q:$Q=$A65,'Raw Data'!$P:$P))</f>
        <v>0</v>
      </c>
      <c r="D65" s="58">
        <f>iferror(sumif('Raw Data'!$Q:$Q,$A65,'Raw Data'!E:E)/countif('Raw Data'!$Q:$Q,$A65),0)</f>
        <v>0</v>
      </c>
      <c r="E65" s="58">
        <f t="array" ref="E65">max(if('Raw Data'!$Q:$Q=$A65,'Raw Data'!$E:$E))</f>
        <v>0</v>
      </c>
      <c r="F65" s="58">
        <f>iferror(sumif('Raw Data'!$Q:$Q,$A65,'Raw Data'!F:F)/countif('Raw Data'!$Q:$Q,$A65),0)</f>
        <v>0</v>
      </c>
      <c r="G65" s="58">
        <f t="array" ref="G65">max(if('Raw Data'!$Q:$Q=$A65,'Raw Data'!$F:$F))</f>
        <v>0</v>
      </c>
      <c r="H65" s="58">
        <f>iferror(sumif('Raw Data'!$Q:$Q,$A65,'Raw Data'!G:G)/countif('Raw Data'!$Q:$Q,$A65),0)</f>
        <v>0</v>
      </c>
      <c r="I65" s="58">
        <f>iferror(sumif('Raw Data'!$Q:$Q,$A65,'Raw Data'!H:H)/countif('Raw Data'!$Q:$Q,$A65),0)</f>
        <v>0</v>
      </c>
      <c r="J65" s="58">
        <f t="array" ref="J65">max(if('Raw Data'!$Q:$Q=$A65,'Raw Data'!$H:$H))</f>
        <v>0</v>
      </c>
      <c r="K65" s="48">
        <f>iferror(sumif('Raw Data'!$Q:$Q,$A65,'Raw Data'!I:I)/countif('Raw Data'!$Q:$Q,$A65),0)</f>
        <v>0</v>
      </c>
      <c r="L65" s="48">
        <f t="array" ref="L65">max(if('Raw Data'!$Q:$Q=$A65,'Raw Data'!$I:$I))</f>
        <v>0</v>
      </c>
      <c r="M65" s="58">
        <f>iferror(sumif('Raw Data'!$Q:$Q,$A65,'Raw Data'!J:J)/countif('Raw Data'!$Q:$Q,$A65),0)</f>
        <v>0</v>
      </c>
      <c r="N65" s="58">
        <f>iferror(sumif('Raw Data'!$Q:$Q,$A65,'Raw Data'!K:K)/countif('Raw Data'!$Q:$Q,$A65),0)</f>
        <v>0</v>
      </c>
      <c r="O65" s="64">
        <f>F65*'Control PanelOur Matches'!$K$2</f>
        <v>0</v>
      </c>
      <c r="P65" s="64">
        <f t="shared" si="1"/>
        <v>0</v>
      </c>
      <c r="Q65" s="64">
        <f t="shared" si="2"/>
        <v>0</v>
      </c>
      <c r="R65" s="58" t="str">
        <f>'Component OPR Dump'!F92</f>
        <v/>
      </c>
      <c r="S65" s="58" t="str">
        <f>'Component OPR Dump'!D92</f>
        <v/>
      </c>
      <c r="T65" s="58" t="str">
        <f>'Component OPR Dump'!I92</f>
        <v/>
      </c>
      <c r="U65" s="58" t="str">
        <f>'Component OPR Dump'!H92</f>
        <v/>
      </c>
      <c r="V65" s="58" t="str">
        <f>'Component OPR Dump'!G92</f>
        <v/>
      </c>
      <c r="W65" s="58" t="str">
        <f>'Component OPR Dump'!J92</f>
        <v/>
      </c>
      <c r="X65" s="48" t="str">
        <f>iferror(sumif('Raw Data'!$Q:$Q,$A65,'Raw Data'!L:L)/countif('Raw Data'!$Q:$Q,$A65), )</f>
        <v/>
      </c>
    </row>
    <row r="66" ht="15.0" customHeight="1">
      <c r="A66" s="95"/>
      <c r="B66" s="48">
        <f>iferror((sumif('Raw Data'!$Q:$Q,$A66,'Raw Data'!P:P)/countif('Raw Data'!$Q:$Q,$A66))+R66+(T66/3),0)</f>
        <v>0</v>
      </c>
      <c r="C66" s="48">
        <f t="array" ref="C66">max(if('Raw Data'!$Q:$Q=$A66,'Raw Data'!$P:$P))</f>
        <v>0</v>
      </c>
      <c r="D66" s="58">
        <f>iferror(sumif('Raw Data'!$Q:$Q,$A66,'Raw Data'!E:E)/countif('Raw Data'!$Q:$Q,$A66),0)</f>
        <v>0</v>
      </c>
      <c r="E66" s="58">
        <f t="array" ref="E66">max(if('Raw Data'!$Q:$Q=$A66,'Raw Data'!$E:$E))</f>
        <v>0</v>
      </c>
      <c r="F66" s="58">
        <f>iferror(sumif('Raw Data'!$Q:$Q,$A66,'Raw Data'!F:F)/countif('Raw Data'!$Q:$Q,$A66),0)</f>
        <v>0</v>
      </c>
      <c r="G66" s="58">
        <f t="array" ref="G66">max(if('Raw Data'!$Q:$Q=$A66,'Raw Data'!$F:$F))</f>
        <v>0</v>
      </c>
      <c r="H66" s="58">
        <f>iferror(sumif('Raw Data'!$Q:$Q,$A66,'Raw Data'!G:G)/countif('Raw Data'!$Q:$Q,$A66),0)</f>
        <v>0</v>
      </c>
      <c r="I66" s="58">
        <f>iferror(sumif('Raw Data'!$Q:$Q,$A66,'Raw Data'!H:H)/countif('Raw Data'!$Q:$Q,$A66),0)</f>
        <v>0</v>
      </c>
      <c r="J66" s="58">
        <f t="array" ref="J66">max(if('Raw Data'!$Q:$Q=$A66,'Raw Data'!$H:$H))</f>
        <v>0</v>
      </c>
      <c r="K66" s="48">
        <f>iferror(sumif('Raw Data'!$Q:$Q,$A66,'Raw Data'!I:I)/countif('Raw Data'!$Q:$Q,$A66),0)</f>
        <v>0</v>
      </c>
      <c r="L66" s="48">
        <f t="array" ref="L66">max(if('Raw Data'!$Q:$Q=$A66,'Raw Data'!$I:$I))</f>
        <v>0</v>
      </c>
      <c r="M66" s="58">
        <f>iferror(sumif('Raw Data'!$Q:$Q,$A66,'Raw Data'!J:J)/countif('Raw Data'!$Q:$Q,$A66),0)</f>
        <v>0</v>
      </c>
      <c r="N66" s="58">
        <f>iferror(sumif('Raw Data'!$Q:$Q,$A66,'Raw Data'!K:K)/countif('Raw Data'!$Q:$Q,$A66),0)</f>
        <v>0</v>
      </c>
      <c r="O66" s="64">
        <f>F66*'Control PanelOur Matches'!$K$2</f>
        <v>0</v>
      </c>
      <c r="P66" s="64">
        <f t="shared" si="1"/>
        <v>0</v>
      </c>
      <c r="Q66" s="64">
        <f t="shared" si="2"/>
        <v>0</v>
      </c>
      <c r="R66" s="58" t="str">
        <f>'Component OPR Dump'!F93</f>
        <v/>
      </c>
      <c r="S66" s="58" t="str">
        <f>'Component OPR Dump'!D93</f>
        <v/>
      </c>
      <c r="T66" s="58" t="str">
        <f>'Component OPR Dump'!I93</f>
        <v/>
      </c>
      <c r="U66" s="58" t="str">
        <f>'Component OPR Dump'!H93</f>
        <v/>
      </c>
      <c r="V66" s="58" t="str">
        <f>'Component OPR Dump'!G93</f>
        <v/>
      </c>
      <c r="W66" s="58" t="str">
        <f>'Component OPR Dump'!J93</f>
        <v/>
      </c>
      <c r="X66" s="48" t="str">
        <f>iferror(sumif('Raw Data'!$Q:$Q,$A66,'Raw Data'!L:L)/countif('Raw Data'!$Q:$Q,$A66), )</f>
        <v/>
      </c>
    </row>
    <row r="67" ht="15.0" customHeight="1">
      <c r="A67" s="95"/>
      <c r="B67" s="48">
        <f>iferror((sumif('Raw Data'!$Q:$Q,$A67,'Raw Data'!P:P)/countif('Raw Data'!$Q:$Q,$A67))+R67+(T67/3),0)</f>
        <v>0</v>
      </c>
      <c r="C67" s="48">
        <f t="array" ref="C67">max(if('Raw Data'!$Q:$Q=$A67,'Raw Data'!$P:$P))</f>
        <v>0</v>
      </c>
      <c r="D67" s="58">
        <f>iferror(sumif('Raw Data'!$Q:$Q,$A67,'Raw Data'!E:E)/countif('Raw Data'!$Q:$Q,$A67),0)</f>
        <v>0</v>
      </c>
      <c r="E67" s="58">
        <f t="array" ref="E67">max(if('Raw Data'!$Q:$Q=$A67,'Raw Data'!$E:$E))</f>
        <v>0</v>
      </c>
      <c r="F67" s="58">
        <f>iferror(sumif('Raw Data'!$Q:$Q,$A67,'Raw Data'!F:F)/countif('Raw Data'!$Q:$Q,$A67),0)</f>
        <v>0</v>
      </c>
      <c r="G67" s="58">
        <f t="array" ref="G67">max(if('Raw Data'!$Q:$Q=$A67,'Raw Data'!$F:$F))</f>
        <v>0</v>
      </c>
      <c r="H67" s="58">
        <f>iferror(sumif('Raw Data'!$Q:$Q,$A67,'Raw Data'!G:G)/countif('Raw Data'!$Q:$Q,$A67),0)</f>
        <v>0</v>
      </c>
      <c r="I67" s="58">
        <f>iferror(sumif('Raw Data'!$Q:$Q,$A67,'Raw Data'!H:H)/countif('Raw Data'!$Q:$Q,$A67),0)</f>
        <v>0</v>
      </c>
      <c r="J67" s="58">
        <f t="array" ref="J67">max(if('Raw Data'!$Q:$Q=$A67,'Raw Data'!$H:$H))</f>
        <v>0</v>
      </c>
      <c r="K67" s="48">
        <f>iferror(sumif('Raw Data'!$Q:$Q,$A67,'Raw Data'!I:I)/countif('Raw Data'!$Q:$Q,$A67),0)</f>
        <v>0</v>
      </c>
      <c r="L67" s="48">
        <f t="array" ref="L67">max(if('Raw Data'!$Q:$Q=$A67,'Raw Data'!$I:$I))</f>
        <v>0</v>
      </c>
      <c r="M67" s="58">
        <f>iferror(sumif('Raw Data'!$Q:$Q,$A67,'Raw Data'!J:J)/countif('Raw Data'!$Q:$Q,$A67),0)</f>
        <v>0</v>
      </c>
      <c r="N67" s="58">
        <f>iferror(sumif('Raw Data'!$Q:$Q,$A67,'Raw Data'!K:K)/countif('Raw Data'!$Q:$Q,$A67),0)</f>
        <v>0</v>
      </c>
      <c r="O67" s="64">
        <f>F67*'Control PanelOur Matches'!$K$2</f>
        <v>0</v>
      </c>
      <c r="P67" s="64">
        <f t="shared" si="1"/>
        <v>0</v>
      </c>
      <c r="Q67" s="64">
        <f t="shared" si="2"/>
        <v>0</v>
      </c>
      <c r="R67" s="58" t="str">
        <f>'Component OPR Dump'!F94</f>
        <v/>
      </c>
      <c r="S67" s="58" t="str">
        <f>'Component OPR Dump'!D94</f>
        <v/>
      </c>
      <c r="T67" s="58" t="str">
        <f>'Component OPR Dump'!I94</f>
        <v/>
      </c>
      <c r="U67" s="58" t="str">
        <f>'Component OPR Dump'!H94</f>
        <v/>
      </c>
      <c r="V67" s="58" t="str">
        <f>'Component OPR Dump'!G94</f>
        <v/>
      </c>
      <c r="W67" s="58" t="str">
        <f>'Component OPR Dump'!J94</f>
        <v/>
      </c>
      <c r="X67" s="48" t="str">
        <f>iferror(sumif('Raw Data'!$Q:$Q,$A67,'Raw Data'!L:L)/countif('Raw Data'!$Q:$Q,$A67), )</f>
        <v/>
      </c>
    </row>
    <row r="68" ht="15.0" customHeight="1">
      <c r="A68" s="95"/>
      <c r="B68" s="48">
        <f>iferror((sumif('Raw Data'!$Q:$Q,$A68,'Raw Data'!P:P)/countif('Raw Data'!$Q:$Q,$A68))+R68+(T68/3),0)</f>
        <v>0</v>
      </c>
      <c r="C68" s="48">
        <f t="array" ref="C68">max(if('Raw Data'!$Q:$Q=$A68,'Raw Data'!$P:$P))</f>
        <v>0</v>
      </c>
      <c r="D68" s="58">
        <f>iferror(sumif('Raw Data'!$Q:$Q,$A68,'Raw Data'!E:E)/countif('Raw Data'!$Q:$Q,$A68),0)</f>
        <v>0</v>
      </c>
      <c r="E68" s="58">
        <f t="array" ref="E68">max(if('Raw Data'!$Q:$Q=$A68,'Raw Data'!$E:$E))</f>
        <v>0</v>
      </c>
      <c r="F68" s="58">
        <f>iferror(sumif('Raw Data'!$Q:$Q,$A68,'Raw Data'!F:F)/countif('Raw Data'!$Q:$Q,$A68),0)</f>
        <v>0</v>
      </c>
      <c r="G68" s="58">
        <f t="array" ref="G68">max(if('Raw Data'!$Q:$Q=$A68,'Raw Data'!$F:$F))</f>
        <v>0</v>
      </c>
      <c r="H68" s="58">
        <f>iferror(sumif('Raw Data'!$Q:$Q,$A68,'Raw Data'!G:G)/countif('Raw Data'!$Q:$Q,$A68),0)</f>
        <v>0</v>
      </c>
      <c r="I68" s="58">
        <f>iferror(sumif('Raw Data'!$Q:$Q,$A68,'Raw Data'!H:H)/countif('Raw Data'!$Q:$Q,$A68),0)</f>
        <v>0</v>
      </c>
      <c r="J68" s="58">
        <f t="array" ref="J68">max(if('Raw Data'!$Q:$Q=$A68,'Raw Data'!$H:$H))</f>
        <v>0</v>
      </c>
      <c r="K68" s="48">
        <f>iferror(sumif('Raw Data'!$Q:$Q,$A68,'Raw Data'!I:I)/countif('Raw Data'!$Q:$Q,$A68),0)</f>
        <v>0</v>
      </c>
      <c r="L68" s="48">
        <f t="array" ref="L68">max(if('Raw Data'!$Q:$Q=$A68,'Raw Data'!$I:$I))</f>
        <v>0</v>
      </c>
      <c r="M68" s="58">
        <f>iferror(sumif('Raw Data'!$Q:$Q,$A68,'Raw Data'!J:J)/countif('Raw Data'!$Q:$Q,$A68),0)</f>
        <v>0</v>
      </c>
      <c r="N68" s="58">
        <f>iferror(sumif('Raw Data'!$Q:$Q,$A68,'Raw Data'!K:K)/countif('Raw Data'!$Q:$Q,$A68),0)</f>
        <v>0</v>
      </c>
      <c r="O68" s="64">
        <f>F68*'Control PanelOur Matches'!$K$2</f>
        <v>0</v>
      </c>
      <c r="P68" s="64">
        <f t="shared" si="1"/>
        <v>0</v>
      </c>
      <c r="Q68" s="64">
        <f t="shared" si="2"/>
        <v>0</v>
      </c>
      <c r="R68" s="58" t="str">
        <f>'Component OPR Dump'!F95</f>
        <v/>
      </c>
      <c r="S68" s="58" t="str">
        <f>'Component OPR Dump'!D95</f>
        <v/>
      </c>
      <c r="T68" s="58" t="str">
        <f>'Component OPR Dump'!I95</f>
        <v/>
      </c>
      <c r="U68" s="58" t="str">
        <f>'Component OPR Dump'!H95</f>
        <v/>
      </c>
      <c r="V68" s="58" t="str">
        <f>'Component OPR Dump'!G95</f>
        <v/>
      </c>
      <c r="W68" s="58" t="str">
        <f>'Component OPR Dump'!J95</f>
        <v/>
      </c>
      <c r="X68" s="48" t="str">
        <f>iferror(sumif('Raw Data'!$Q:$Q,$A68,'Raw Data'!L:L)/countif('Raw Data'!$Q:$Q,$A68), )</f>
        <v/>
      </c>
    </row>
    <row r="69" ht="15.0" customHeight="1">
      <c r="A69" s="95"/>
      <c r="B69" s="48">
        <f>iferror((sumif('Raw Data'!$Q:$Q,$A69,'Raw Data'!P:P)/countif('Raw Data'!$Q:$Q,$A69))+R69+(T69/3),0)</f>
        <v>0</v>
      </c>
      <c r="C69" s="48">
        <f t="array" ref="C69">max(if('Raw Data'!$Q:$Q=$A69,'Raw Data'!$P:$P))</f>
        <v>0</v>
      </c>
      <c r="D69" s="58">
        <f>iferror(sumif('Raw Data'!$Q:$Q,$A69,'Raw Data'!E:E)/countif('Raw Data'!$Q:$Q,$A69),0)</f>
        <v>0</v>
      </c>
      <c r="E69" s="58">
        <f t="array" ref="E69">max(if('Raw Data'!$Q:$Q=$A69,'Raw Data'!$E:$E))</f>
        <v>0</v>
      </c>
      <c r="F69" s="58">
        <f>iferror(sumif('Raw Data'!$Q:$Q,$A69,'Raw Data'!F:F)/countif('Raw Data'!$Q:$Q,$A69),0)</f>
        <v>0</v>
      </c>
      <c r="G69" s="58">
        <f t="array" ref="G69">max(if('Raw Data'!$Q:$Q=$A69,'Raw Data'!$F:$F))</f>
        <v>0</v>
      </c>
      <c r="H69" s="58">
        <f>iferror(sumif('Raw Data'!$Q:$Q,$A69,'Raw Data'!G:G)/countif('Raw Data'!$Q:$Q,$A69),0)</f>
        <v>0</v>
      </c>
      <c r="I69" s="58">
        <f>iferror(sumif('Raw Data'!$Q:$Q,$A69,'Raw Data'!H:H)/countif('Raw Data'!$Q:$Q,$A69),0)</f>
        <v>0</v>
      </c>
      <c r="J69" s="58">
        <f t="array" ref="J69">max(if('Raw Data'!$Q:$Q=$A69,'Raw Data'!$H:$H))</f>
        <v>0</v>
      </c>
      <c r="K69" s="48">
        <f>iferror(sumif('Raw Data'!$Q:$Q,$A69,'Raw Data'!I:I)/countif('Raw Data'!$Q:$Q,$A69),0)</f>
        <v>0</v>
      </c>
      <c r="L69" s="48">
        <f t="array" ref="L69">max(if('Raw Data'!$Q:$Q=$A69,'Raw Data'!$I:$I))</f>
        <v>0</v>
      </c>
      <c r="M69" s="58">
        <f>iferror(sumif('Raw Data'!$Q:$Q,$A69,'Raw Data'!J:J)/countif('Raw Data'!$Q:$Q,$A69),0)</f>
        <v>0</v>
      </c>
      <c r="N69" s="58">
        <f>iferror(sumif('Raw Data'!$Q:$Q,$A69,'Raw Data'!K:K)/countif('Raw Data'!$Q:$Q,$A69),0)</f>
        <v>0</v>
      </c>
      <c r="O69" s="64">
        <f>F69*'Control PanelOur Matches'!$K$2</f>
        <v>0</v>
      </c>
      <c r="P69" s="64">
        <f t="shared" si="1"/>
        <v>0</v>
      </c>
      <c r="Q69" s="64">
        <f t="shared" si="2"/>
        <v>0</v>
      </c>
      <c r="R69" s="58" t="str">
        <f>'Component OPR Dump'!F96</f>
        <v/>
      </c>
      <c r="S69" s="58" t="str">
        <f>'Component OPR Dump'!D96</f>
        <v/>
      </c>
      <c r="T69" s="58" t="str">
        <f>'Component OPR Dump'!I96</f>
        <v/>
      </c>
      <c r="U69" s="58" t="str">
        <f>'Component OPR Dump'!H96</f>
        <v/>
      </c>
      <c r="V69" s="58" t="str">
        <f>'Component OPR Dump'!G96</f>
        <v/>
      </c>
      <c r="W69" s="58" t="str">
        <f>'Component OPR Dump'!J96</f>
        <v/>
      </c>
      <c r="X69" s="48" t="str">
        <f>iferror(sumif('Raw Data'!$Q:$Q,$A69,'Raw Data'!L:L)/countif('Raw Data'!$Q:$Q,$A69), )</f>
        <v/>
      </c>
    </row>
    <row r="70" ht="15.0" customHeight="1">
      <c r="A70" s="95"/>
      <c r="B70" s="48">
        <f>iferror((sumif('Raw Data'!$Q:$Q,$A70,'Raw Data'!P:P)/countif('Raw Data'!$Q:$Q,$A70))+R70+(T70/3),0)</f>
        <v>0</v>
      </c>
      <c r="C70" s="48">
        <f t="array" ref="C70">max(if('Raw Data'!$Q:$Q=$A70,'Raw Data'!$P:$P))</f>
        <v>0</v>
      </c>
      <c r="D70" s="58">
        <f>iferror(sumif('Raw Data'!$Q:$Q,$A70,'Raw Data'!E:E)/countif('Raw Data'!$Q:$Q,$A70),0)</f>
        <v>0</v>
      </c>
      <c r="E70" s="58">
        <f t="array" ref="E70">max(if('Raw Data'!$Q:$Q=$A70,'Raw Data'!$E:$E))</f>
        <v>0</v>
      </c>
      <c r="F70" s="58">
        <f>iferror(sumif('Raw Data'!$Q:$Q,$A70,'Raw Data'!F:F)/countif('Raw Data'!$Q:$Q,$A70),0)</f>
        <v>0</v>
      </c>
      <c r="G70" s="58">
        <f t="array" ref="G70">max(if('Raw Data'!$Q:$Q=$A70,'Raw Data'!$F:$F))</f>
        <v>0</v>
      </c>
      <c r="H70" s="58">
        <f>iferror(sumif('Raw Data'!$Q:$Q,$A70,'Raw Data'!G:G)/countif('Raw Data'!$Q:$Q,$A70),0)</f>
        <v>0</v>
      </c>
      <c r="I70" s="58">
        <f>iferror(sumif('Raw Data'!$Q:$Q,$A70,'Raw Data'!H:H)/countif('Raw Data'!$Q:$Q,$A70),0)</f>
        <v>0</v>
      </c>
      <c r="J70" s="58">
        <f t="array" ref="J70">max(if('Raw Data'!$Q:$Q=$A70,'Raw Data'!$H:$H))</f>
        <v>0</v>
      </c>
      <c r="K70" s="48">
        <f>iferror(sumif('Raw Data'!$Q:$Q,$A70,'Raw Data'!I:I)/countif('Raw Data'!$Q:$Q,$A70),0)</f>
        <v>0</v>
      </c>
      <c r="L70" s="48">
        <f t="array" ref="L70">max(if('Raw Data'!$Q:$Q=$A70,'Raw Data'!$I:$I))</f>
        <v>0</v>
      </c>
      <c r="M70" s="58">
        <f>iferror(sumif('Raw Data'!$Q:$Q,$A70,'Raw Data'!J:J)/countif('Raw Data'!$Q:$Q,$A70),0)</f>
        <v>0</v>
      </c>
      <c r="N70" s="58">
        <f>iferror(sumif('Raw Data'!$Q:$Q,$A70,'Raw Data'!K:K)/countif('Raw Data'!$Q:$Q,$A70),0)</f>
        <v>0</v>
      </c>
      <c r="O70" s="64">
        <f>F70*'Control PanelOur Matches'!$K$2</f>
        <v>0</v>
      </c>
      <c r="P70" s="64">
        <f t="shared" si="1"/>
        <v>0</v>
      </c>
      <c r="Q70" s="64">
        <f t="shared" si="2"/>
        <v>0</v>
      </c>
      <c r="R70" s="58" t="str">
        <f>'Component OPR Dump'!F97</f>
        <v/>
      </c>
      <c r="S70" s="58" t="str">
        <f>'Component OPR Dump'!D97</f>
        <v/>
      </c>
      <c r="T70" s="58" t="str">
        <f>'Component OPR Dump'!I97</f>
        <v/>
      </c>
      <c r="U70" s="58" t="str">
        <f>'Component OPR Dump'!H97</f>
        <v/>
      </c>
      <c r="V70" s="58" t="str">
        <f>'Component OPR Dump'!G97</f>
        <v/>
      </c>
      <c r="W70" s="58" t="str">
        <f>'Component OPR Dump'!J97</f>
        <v/>
      </c>
      <c r="X70" s="48" t="str">
        <f>iferror(sumif('Raw Data'!$Q:$Q,$A70,'Raw Data'!L:L)/countif('Raw Data'!$Q:$Q,$A70), )</f>
        <v/>
      </c>
    </row>
    <row r="71" ht="15.0" customHeight="1">
      <c r="A71" s="95"/>
      <c r="B71" s="48">
        <f>iferror((sumif('Raw Data'!$Q:$Q,$A71,'Raw Data'!P:P)/countif('Raw Data'!$Q:$Q,$A71))+R71+(T71/3),0)</f>
        <v>0</v>
      </c>
      <c r="C71" s="48">
        <f t="array" ref="C71">max(if('Raw Data'!$Q:$Q=$A71,'Raw Data'!$P:$P))</f>
        <v>0</v>
      </c>
      <c r="D71" s="58">
        <f>iferror(sumif('Raw Data'!$Q:$Q,$A71,'Raw Data'!E:E)/countif('Raw Data'!$Q:$Q,$A71),0)</f>
        <v>0</v>
      </c>
      <c r="E71" s="58">
        <f t="array" ref="E71">max(if('Raw Data'!$Q:$Q=$A71,'Raw Data'!$E:$E))</f>
        <v>0</v>
      </c>
      <c r="F71" s="58">
        <f>iferror(sumif('Raw Data'!$Q:$Q,$A71,'Raw Data'!F:F)/countif('Raw Data'!$Q:$Q,$A71),0)</f>
        <v>0</v>
      </c>
      <c r="G71" s="58">
        <f t="array" ref="G71">max(if('Raw Data'!$Q:$Q=$A71,'Raw Data'!$F:$F))</f>
        <v>0</v>
      </c>
      <c r="H71" s="58">
        <f>iferror(sumif('Raw Data'!$Q:$Q,$A71,'Raw Data'!G:G)/countif('Raw Data'!$Q:$Q,$A71),0)</f>
        <v>0</v>
      </c>
      <c r="I71" s="58">
        <f>iferror(sumif('Raw Data'!$Q:$Q,$A71,'Raw Data'!H:H)/countif('Raw Data'!$Q:$Q,$A71),0)</f>
        <v>0</v>
      </c>
      <c r="J71" s="58">
        <f t="array" ref="J71">max(if('Raw Data'!$Q:$Q=$A71,'Raw Data'!$H:$H))</f>
        <v>0</v>
      </c>
      <c r="K71" s="48">
        <f>iferror(sumif('Raw Data'!$Q:$Q,$A71,'Raw Data'!I:I)/countif('Raw Data'!$Q:$Q,$A71),0)</f>
        <v>0</v>
      </c>
      <c r="L71" s="48">
        <f t="array" ref="L71">max(if('Raw Data'!$Q:$Q=$A71,'Raw Data'!$I:$I))</f>
        <v>0</v>
      </c>
      <c r="M71" s="58">
        <f>iferror(sumif('Raw Data'!$Q:$Q,$A71,'Raw Data'!J:J)/countif('Raw Data'!$Q:$Q,$A71),0)</f>
        <v>0</v>
      </c>
      <c r="N71" s="58">
        <f>iferror(sumif('Raw Data'!$Q:$Q,$A71,'Raw Data'!K:K)/countif('Raw Data'!$Q:$Q,$A71),0)</f>
        <v>0</v>
      </c>
      <c r="O71" s="64">
        <f>F71*'Control PanelOur Matches'!$K$2</f>
        <v>0</v>
      </c>
      <c r="P71" s="64">
        <f t="shared" si="1"/>
        <v>0</v>
      </c>
      <c r="Q71" s="64">
        <f t="shared" si="2"/>
        <v>0</v>
      </c>
      <c r="R71" s="58" t="str">
        <f>'Component OPR Dump'!F98</f>
        <v/>
      </c>
      <c r="S71" s="58" t="str">
        <f>'Component OPR Dump'!D98</f>
        <v/>
      </c>
      <c r="T71" s="58" t="str">
        <f>'Component OPR Dump'!I98</f>
        <v/>
      </c>
      <c r="U71" s="58" t="str">
        <f>'Component OPR Dump'!H98</f>
        <v/>
      </c>
      <c r="V71" s="58" t="str">
        <f>'Component OPR Dump'!G98</f>
        <v/>
      </c>
      <c r="W71" s="58" t="str">
        <f>'Component OPR Dump'!J98</f>
        <v/>
      </c>
      <c r="X71" s="48" t="str">
        <f>iferror(sumif('Raw Data'!$Q:$Q,$A71,'Raw Data'!L:L)/countif('Raw Data'!$Q:$Q,$A71), )</f>
        <v/>
      </c>
    </row>
    <row r="72" ht="15.0" customHeight="1">
      <c r="A72" s="95"/>
      <c r="B72" s="48">
        <f>iferror((sumif('Raw Data'!$Q:$Q,$A72,'Raw Data'!P:P)/countif('Raw Data'!$Q:$Q,$A72))+R72+(T72/3),0)</f>
        <v>0</v>
      </c>
      <c r="C72" s="48">
        <f t="array" ref="C72">max(if('Raw Data'!$Q:$Q=$A72,'Raw Data'!$P:$P))</f>
        <v>0</v>
      </c>
      <c r="D72" s="58">
        <f>iferror(sumif('Raw Data'!$Q:$Q,$A72,'Raw Data'!E:E)/countif('Raw Data'!$Q:$Q,$A72),0)</f>
        <v>0</v>
      </c>
      <c r="E72" s="58">
        <f t="array" ref="E72">max(if('Raw Data'!$Q:$Q=$A72,'Raw Data'!$E:$E))</f>
        <v>0</v>
      </c>
      <c r="F72" s="58">
        <f>iferror(sumif('Raw Data'!$Q:$Q,$A72,'Raw Data'!F:F)/countif('Raw Data'!$Q:$Q,$A72),0)</f>
        <v>0</v>
      </c>
      <c r="G72" s="58">
        <f t="array" ref="G72">max(if('Raw Data'!$Q:$Q=$A72,'Raw Data'!$F:$F))</f>
        <v>0</v>
      </c>
      <c r="H72" s="58">
        <f>iferror(sumif('Raw Data'!$Q:$Q,$A72,'Raw Data'!G:G)/countif('Raw Data'!$Q:$Q,$A72),0)</f>
        <v>0</v>
      </c>
      <c r="I72" s="58">
        <f>iferror(sumif('Raw Data'!$Q:$Q,$A72,'Raw Data'!H:H)/countif('Raw Data'!$Q:$Q,$A72),0)</f>
        <v>0</v>
      </c>
      <c r="J72" s="58">
        <f t="array" ref="J72">max(if('Raw Data'!$Q:$Q=$A72,'Raw Data'!$H:$H))</f>
        <v>0</v>
      </c>
      <c r="K72" s="48">
        <f>iferror(sumif('Raw Data'!$Q:$Q,$A72,'Raw Data'!I:I)/countif('Raw Data'!$Q:$Q,$A72),0)</f>
        <v>0</v>
      </c>
      <c r="L72" s="48">
        <f t="array" ref="L72">max(if('Raw Data'!$Q:$Q=$A72,'Raw Data'!$I:$I))</f>
        <v>0</v>
      </c>
      <c r="M72" s="58">
        <f>iferror(sumif('Raw Data'!$Q:$Q,$A72,'Raw Data'!J:J)/countif('Raw Data'!$Q:$Q,$A72),0)</f>
        <v>0</v>
      </c>
      <c r="N72" s="58">
        <f>iferror(sumif('Raw Data'!$Q:$Q,$A72,'Raw Data'!K:K)/countif('Raw Data'!$Q:$Q,$A72),0)</f>
        <v>0</v>
      </c>
      <c r="O72" s="64">
        <f>F72*'Control PanelOur Matches'!$K$2</f>
        <v>0</v>
      </c>
      <c r="P72" s="64">
        <f t="shared" si="1"/>
        <v>0</v>
      </c>
      <c r="Q72" s="64">
        <f t="shared" si="2"/>
        <v>0</v>
      </c>
      <c r="R72" s="58" t="str">
        <f>'Component OPR Dump'!F99</f>
        <v/>
      </c>
      <c r="S72" s="58" t="str">
        <f>'Component OPR Dump'!D99</f>
        <v/>
      </c>
      <c r="T72" s="58" t="str">
        <f>'Component OPR Dump'!I99</f>
        <v/>
      </c>
      <c r="U72" s="58" t="str">
        <f>'Component OPR Dump'!H99</f>
        <v/>
      </c>
      <c r="V72" s="58" t="str">
        <f>'Component OPR Dump'!G99</f>
        <v/>
      </c>
      <c r="W72" s="58" t="str">
        <f>'Component OPR Dump'!J99</f>
        <v/>
      </c>
      <c r="X72" s="48" t="str">
        <f>iferror(sumif('Raw Data'!$Q:$Q,$A72,'Raw Data'!L:L)/countif('Raw Data'!$Q:$Q,$A72), )</f>
        <v/>
      </c>
    </row>
    <row r="73" ht="15.0" customHeight="1">
      <c r="A73" s="95"/>
      <c r="B73" s="48">
        <f>iferror((sumif('Raw Data'!$Q:$Q,$A73,'Raw Data'!P:P)/countif('Raw Data'!$Q:$Q,$A73))+R73+(T73/3),0)</f>
        <v>0</v>
      </c>
      <c r="C73" s="48">
        <f t="array" ref="C73">max(if('Raw Data'!$Q:$Q=$A73,'Raw Data'!$P:$P))</f>
        <v>0</v>
      </c>
      <c r="D73" s="58">
        <f>iferror(sumif('Raw Data'!$Q:$Q,$A73,'Raw Data'!E:E)/countif('Raw Data'!$Q:$Q,$A73),0)</f>
        <v>0</v>
      </c>
      <c r="E73" s="58">
        <f t="array" ref="E73">max(if('Raw Data'!$Q:$Q=$A73,'Raw Data'!$E:$E))</f>
        <v>0</v>
      </c>
      <c r="F73" s="58">
        <f>iferror(sumif('Raw Data'!$Q:$Q,$A73,'Raw Data'!F:F)/countif('Raw Data'!$Q:$Q,$A73),0)</f>
        <v>0</v>
      </c>
      <c r="G73" s="58">
        <f t="array" ref="G73">max(if('Raw Data'!$Q:$Q=$A73,'Raw Data'!$F:$F))</f>
        <v>0</v>
      </c>
      <c r="H73" s="58">
        <f>iferror(sumif('Raw Data'!$Q:$Q,$A73,'Raw Data'!G:G)/countif('Raw Data'!$Q:$Q,$A73),0)</f>
        <v>0</v>
      </c>
      <c r="I73" s="58">
        <f>iferror(sumif('Raw Data'!$Q:$Q,$A73,'Raw Data'!H:H)/countif('Raw Data'!$Q:$Q,$A73),0)</f>
        <v>0</v>
      </c>
      <c r="J73" s="58">
        <f t="array" ref="J73">max(if('Raw Data'!$Q:$Q=$A73,'Raw Data'!$H:$H))</f>
        <v>0</v>
      </c>
      <c r="K73" s="48">
        <f>iferror(sumif('Raw Data'!$Q:$Q,$A73,'Raw Data'!I:I)/countif('Raw Data'!$Q:$Q,$A73),0)</f>
        <v>0</v>
      </c>
      <c r="L73" s="48">
        <f t="array" ref="L73">max(if('Raw Data'!$Q:$Q=$A73,'Raw Data'!$I:$I))</f>
        <v>0</v>
      </c>
      <c r="M73" s="58">
        <f>iferror(sumif('Raw Data'!$Q:$Q,$A73,'Raw Data'!J:J)/countif('Raw Data'!$Q:$Q,$A73),0)</f>
        <v>0</v>
      </c>
      <c r="N73" s="58">
        <f>iferror(sumif('Raw Data'!$Q:$Q,$A73,'Raw Data'!K:K)/countif('Raw Data'!$Q:$Q,$A73),0)</f>
        <v>0</v>
      </c>
      <c r="O73" s="64">
        <f>F73*'Control PanelOur Matches'!$K$2</f>
        <v>0</v>
      </c>
      <c r="P73" s="64">
        <f t="shared" si="1"/>
        <v>0</v>
      </c>
      <c r="Q73" s="64">
        <f t="shared" si="2"/>
        <v>0</v>
      </c>
      <c r="R73" s="58" t="str">
        <f>'Component OPR Dump'!F100</f>
        <v/>
      </c>
      <c r="S73" s="58" t="str">
        <f>'Component OPR Dump'!D100</f>
        <v/>
      </c>
      <c r="T73" s="58" t="str">
        <f>'Component OPR Dump'!I100</f>
        <v/>
      </c>
      <c r="U73" s="58" t="str">
        <f>'Component OPR Dump'!H100</f>
        <v/>
      </c>
      <c r="V73" s="58" t="str">
        <f>'Component OPR Dump'!G100</f>
        <v/>
      </c>
      <c r="W73" s="58" t="str">
        <f>'Component OPR Dump'!J100</f>
        <v/>
      </c>
      <c r="X73" s="48" t="str">
        <f>iferror(sumif('Raw Data'!$Q:$Q,$A73,'Raw Data'!L:L)/countif('Raw Data'!$Q:$Q,$A73), )</f>
        <v/>
      </c>
    </row>
    <row r="74" ht="15.0" customHeight="1">
      <c r="A74" s="95"/>
      <c r="B74" s="48">
        <f>iferror((sumif('Raw Data'!$Q:$Q,$A74,'Raw Data'!P:P)/countif('Raw Data'!$Q:$Q,$A74))+R74+(T74/3),0)</f>
        <v>0</v>
      </c>
      <c r="C74" s="48">
        <f t="array" ref="C74">max(if('Raw Data'!$Q:$Q=$A74,'Raw Data'!$P:$P))</f>
        <v>0</v>
      </c>
      <c r="D74" s="58">
        <f>iferror(sumif('Raw Data'!$Q:$Q,$A74,'Raw Data'!E:E)/countif('Raw Data'!$Q:$Q,$A74),0)</f>
        <v>0</v>
      </c>
      <c r="E74" s="58">
        <f t="array" ref="E74">max(if('Raw Data'!$Q:$Q=$A74,'Raw Data'!$E:$E))</f>
        <v>0</v>
      </c>
      <c r="F74" s="58">
        <f>iferror(sumif('Raw Data'!$Q:$Q,$A74,'Raw Data'!F:F)/countif('Raw Data'!$Q:$Q,$A74),0)</f>
        <v>0</v>
      </c>
      <c r="G74" s="58">
        <f t="array" ref="G74">max(if('Raw Data'!$Q:$Q=$A74,'Raw Data'!$F:$F))</f>
        <v>0</v>
      </c>
      <c r="H74" s="58">
        <f>iferror(sumif('Raw Data'!$Q:$Q,$A74,'Raw Data'!G:G)/countif('Raw Data'!$Q:$Q,$A74),0)</f>
        <v>0</v>
      </c>
      <c r="I74" s="58">
        <f>iferror(sumif('Raw Data'!$Q:$Q,$A74,'Raw Data'!H:H)/countif('Raw Data'!$Q:$Q,$A74),0)</f>
        <v>0</v>
      </c>
      <c r="J74" s="58">
        <f t="array" ref="J74">max(if('Raw Data'!$Q:$Q=$A74,'Raw Data'!$H:$H))</f>
        <v>0</v>
      </c>
      <c r="K74" s="48">
        <f>iferror(sumif('Raw Data'!$Q:$Q,$A74,'Raw Data'!I:I)/countif('Raw Data'!$Q:$Q,$A74),0)</f>
        <v>0</v>
      </c>
      <c r="L74" s="48">
        <f t="array" ref="L74">max(if('Raw Data'!$Q:$Q=$A74,'Raw Data'!$I:$I))</f>
        <v>0</v>
      </c>
      <c r="M74" s="58">
        <f>iferror(sumif('Raw Data'!$Q:$Q,$A74,'Raw Data'!J:J)/countif('Raw Data'!$Q:$Q,$A74),0)</f>
        <v>0</v>
      </c>
      <c r="N74" s="58">
        <f>iferror(sumif('Raw Data'!$Q:$Q,$A74,'Raw Data'!K:K)/countif('Raw Data'!$Q:$Q,$A74),0)</f>
        <v>0</v>
      </c>
      <c r="O74" s="64">
        <f>F74*'Control PanelOur Matches'!$K$2</f>
        <v>0</v>
      </c>
      <c r="P74" s="64">
        <f t="shared" si="1"/>
        <v>0</v>
      </c>
      <c r="Q74" s="64">
        <f t="shared" si="2"/>
        <v>0</v>
      </c>
      <c r="R74" s="58" t="str">
        <f>'Component OPR Dump'!F101</f>
        <v/>
      </c>
      <c r="S74" s="58" t="str">
        <f>'Component OPR Dump'!D101</f>
        <v/>
      </c>
      <c r="T74" s="58" t="str">
        <f>'Component OPR Dump'!I101</f>
        <v/>
      </c>
      <c r="U74" s="58" t="str">
        <f>'Component OPR Dump'!H101</f>
        <v/>
      </c>
      <c r="V74" s="58" t="str">
        <f>'Component OPR Dump'!G101</f>
        <v/>
      </c>
      <c r="W74" s="58" t="str">
        <f>'Component OPR Dump'!J101</f>
        <v/>
      </c>
      <c r="X74" s="48" t="str">
        <f>iferror(sumif('Raw Data'!$Q:$Q,$A74,'Raw Data'!L:L)/countif('Raw Data'!$Q:$Q,$A74), )</f>
        <v/>
      </c>
    </row>
    <row r="75" ht="15.0" customHeight="1">
      <c r="A75" s="95"/>
      <c r="B75" s="48">
        <f>iferror((sumif('Raw Data'!$Q:$Q,$A75,'Raw Data'!P:P)/countif('Raw Data'!$Q:$Q,$A75))+R75+(T75/3),0)</f>
        <v>0</v>
      </c>
      <c r="C75" s="48">
        <f t="array" ref="C75">max(if('Raw Data'!$Q:$Q=$A75,'Raw Data'!$P:$P))</f>
        <v>0</v>
      </c>
      <c r="D75" s="58">
        <f>iferror(sumif('Raw Data'!$Q:$Q,$A75,'Raw Data'!E:E)/countif('Raw Data'!$Q:$Q,$A75),0)</f>
        <v>0</v>
      </c>
      <c r="E75" s="58">
        <f t="array" ref="E75">max(if('Raw Data'!$Q:$Q=$A75,'Raw Data'!$E:$E))</f>
        <v>0</v>
      </c>
      <c r="F75" s="58">
        <f>iferror(sumif('Raw Data'!$Q:$Q,$A75,'Raw Data'!F:F)/countif('Raw Data'!$Q:$Q,$A75),0)</f>
        <v>0</v>
      </c>
      <c r="G75" s="58">
        <f t="array" ref="G75">max(if('Raw Data'!$Q:$Q=$A75,'Raw Data'!$F:$F))</f>
        <v>0</v>
      </c>
      <c r="H75" s="58">
        <f>iferror(sumif('Raw Data'!$Q:$Q,$A75,'Raw Data'!G:G)/countif('Raw Data'!$Q:$Q,$A75),0)</f>
        <v>0</v>
      </c>
      <c r="I75" s="58">
        <f>iferror(sumif('Raw Data'!$Q:$Q,$A75,'Raw Data'!H:H)/countif('Raw Data'!$Q:$Q,$A75),0)</f>
        <v>0</v>
      </c>
      <c r="J75" s="58">
        <f t="array" ref="J75">max(if('Raw Data'!$Q:$Q=$A75,'Raw Data'!$H:$H))</f>
        <v>0</v>
      </c>
      <c r="K75" s="48">
        <f>iferror(sumif('Raw Data'!$Q:$Q,$A75,'Raw Data'!I:I)/countif('Raw Data'!$Q:$Q,$A75),0)</f>
        <v>0</v>
      </c>
      <c r="L75" s="48">
        <f t="array" ref="L75">max(if('Raw Data'!$Q:$Q=$A75,'Raw Data'!$I:$I))</f>
        <v>0</v>
      </c>
      <c r="M75" s="58">
        <f>iferror(sumif('Raw Data'!$Q:$Q,$A75,'Raw Data'!J:J)/countif('Raw Data'!$Q:$Q,$A75),0)</f>
        <v>0</v>
      </c>
      <c r="N75" s="58">
        <f>iferror(sumif('Raw Data'!$Q:$Q,$A75,'Raw Data'!K:K)/countif('Raw Data'!$Q:$Q,$A75),0)</f>
        <v>0</v>
      </c>
      <c r="O75" s="64">
        <f>F75*'Control PanelOur Matches'!$K$2</f>
        <v>0</v>
      </c>
      <c r="P75" s="64">
        <f t="shared" si="1"/>
        <v>0</v>
      </c>
      <c r="Q75" s="64">
        <f t="shared" si="2"/>
        <v>0</v>
      </c>
      <c r="R75" s="58" t="str">
        <f>'Component OPR Dump'!F102</f>
        <v/>
      </c>
      <c r="S75" s="58" t="str">
        <f>'Component OPR Dump'!D102</f>
        <v/>
      </c>
      <c r="T75" s="58" t="str">
        <f>'Component OPR Dump'!I102</f>
        <v/>
      </c>
      <c r="U75" s="58" t="str">
        <f>'Component OPR Dump'!H102</f>
        <v/>
      </c>
      <c r="V75" s="58" t="str">
        <f>'Component OPR Dump'!G102</f>
        <v/>
      </c>
      <c r="W75" s="58" t="str">
        <f>'Component OPR Dump'!J102</f>
        <v/>
      </c>
      <c r="X75" s="48" t="str">
        <f>iferror(sumif('Raw Data'!$Q:$Q,$A75,'Raw Data'!L:L)/countif('Raw Data'!$Q:$Q,$A75), )</f>
        <v/>
      </c>
    </row>
    <row r="76" ht="15.0" customHeight="1">
      <c r="A76" s="95"/>
      <c r="B76" s="48">
        <f>iferror((sumif('Raw Data'!$Q:$Q,$A76,'Raw Data'!P:P)/countif('Raw Data'!$Q:$Q,$A76))+R76+(T76/3),0)</f>
        <v>0</v>
      </c>
      <c r="C76" s="48">
        <f t="array" ref="C76">max(if('Raw Data'!$Q:$Q=$A76,'Raw Data'!$P:$P))</f>
        <v>0</v>
      </c>
      <c r="D76" s="58">
        <f>iferror(sumif('Raw Data'!$Q:$Q,$A76,'Raw Data'!E:E)/countif('Raw Data'!$Q:$Q,$A76),0)</f>
        <v>0</v>
      </c>
      <c r="E76" s="58">
        <f t="array" ref="E76">max(if('Raw Data'!$Q:$Q=$A76,'Raw Data'!$E:$E))</f>
        <v>0</v>
      </c>
      <c r="F76" s="58">
        <f>iferror(sumif('Raw Data'!$Q:$Q,$A76,'Raw Data'!F:F)/countif('Raw Data'!$Q:$Q,$A76),0)</f>
        <v>0</v>
      </c>
      <c r="G76" s="58">
        <f t="array" ref="G76">max(if('Raw Data'!$Q:$Q=$A76,'Raw Data'!$F:$F))</f>
        <v>0</v>
      </c>
      <c r="H76" s="58">
        <f>iferror(sumif('Raw Data'!$Q:$Q,$A76,'Raw Data'!G:G)/countif('Raw Data'!$Q:$Q,$A76),0)</f>
        <v>0</v>
      </c>
      <c r="I76" s="58">
        <f>iferror(sumif('Raw Data'!$Q:$Q,$A76,'Raw Data'!H:H)/countif('Raw Data'!$Q:$Q,$A76),0)</f>
        <v>0</v>
      </c>
      <c r="J76" s="58">
        <f t="array" ref="J76">max(if('Raw Data'!$Q:$Q=$A76,'Raw Data'!$H:$H))</f>
        <v>0</v>
      </c>
      <c r="K76" s="48">
        <f>iferror(sumif('Raw Data'!$Q:$Q,$A76,'Raw Data'!I:I)/countif('Raw Data'!$Q:$Q,$A76),0)</f>
        <v>0</v>
      </c>
      <c r="L76" s="48">
        <f t="array" ref="L76">max(if('Raw Data'!$Q:$Q=$A76,'Raw Data'!$I:$I))</f>
        <v>0</v>
      </c>
      <c r="M76" s="58">
        <f>iferror(sumif('Raw Data'!$Q:$Q,$A76,'Raw Data'!J:J)/countif('Raw Data'!$Q:$Q,$A76),0)</f>
        <v>0</v>
      </c>
      <c r="N76" s="58">
        <f>iferror(sumif('Raw Data'!$Q:$Q,$A76,'Raw Data'!K:K)/countif('Raw Data'!$Q:$Q,$A76),0)</f>
        <v>0</v>
      </c>
      <c r="O76" s="64">
        <f>F76*'Control PanelOur Matches'!$K$2</f>
        <v>0</v>
      </c>
      <c r="P76" s="64">
        <f t="shared" si="1"/>
        <v>0</v>
      </c>
      <c r="Q76" s="64">
        <f t="shared" si="2"/>
        <v>0</v>
      </c>
      <c r="R76" s="58" t="str">
        <f>'Component OPR Dump'!F103</f>
        <v/>
      </c>
      <c r="S76" s="58" t="str">
        <f>'Component OPR Dump'!D103</f>
        <v/>
      </c>
      <c r="T76" s="58" t="str">
        <f>'Component OPR Dump'!I103</f>
        <v/>
      </c>
      <c r="U76" s="58" t="str">
        <f>'Component OPR Dump'!H103</f>
        <v/>
      </c>
      <c r="V76" s="58" t="str">
        <f>'Component OPR Dump'!G103</f>
        <v/>
      </c>
      <c r="W76" s="58" t="str">
        <f>'Component OPR Dump'!J103</f>
        <v/>
      </c>
      <c r="X76" s="48" t="str">
        <f>iferror(sumif('Raw Data'!$Q:$Q,$A76,'Raw Data'!L:L)/countif('Raw Data'!$Q:$Q,$A76), )</f>
        <v/>
      </c>
    </row>
    <row r="77" ht="15.0" customHeight="1">
      <c r="A77" s="95"/>
      <c r="B77" s="48">
        <f>iferror((sumif('Raw Data'!$Q:$Q,$A77,'Raw Data'!P:P)/countif('Raw Data'!$Q:$Q,$A77))+R77+(T77/3),0)</f>
        <v>0</v>
      </c>
      <c r="C77" s="48">
        <f t="array" ref="C77">max(if('Raw Data'!$Q:$Q=$A77,'Raw Data'!$P:$P))</f>
        <v>0</v>
      </c>
      <c r="D77" s="58">
        <f>iferror(sumif('Raw Data'!$Q:$Q,$A77,'Raw Data'!E:E)/countif('Raw Data'!$Q:$Q,$A77),0)</f>
        <v>0</v>
      </c>
      <c r="E77" s="58">
        <f t="array" ref="E77">max(if('Raw Data'!$Q:$Q=$A77,'Raw Data'!$E:$E))</f>
        <v>0</v>
      </c>
      <c r="F77" s="58">
        <f>iferror(sumif('Raw Data'!$Q:$Q,$A77,'Raw Data'!F:F)/countif('Raw Data'!$Q:$Q,$A77),0)</f>
        <v>0</v>
      </c>
      <c r="G77" s="58">
        <f t="array" ref="G77">max(if('Raw Data'!$Q:$Q=$A77,'Raw Data'!$F:$F))</f>
        <v>0</v>
      </c>
      <c r="H77" s="58">
        <f>iferror(sumif('Raw Data'!$Q:$Q,$A77,'Raw Data'!G:G)/countif('Raw Data'!$Q:$Q,$A77),0)</f>
        <v>0</v>
      </c>
      <c r="I77" s="58">
        <f>iferror(sumif('Raw Data'!$Q:$Q,$A77,'Raw Data'!H:H)/countif('Raw Data'!$Q:$Q,$A77),0)</f>
        <v>0</v>
      </c>
      <c r="J77" s="58">
        <f t="array" ref="J77">max(if('Raw Data'!$Q:$Q=$A77,'Raw Data'!$H:$H))</f>
        <v>0</v>
      </c>
      <c r="K77" s="48">
        <f>iferror(sumif('Raw Data'!$Q:$Q,$A77,'Raw Data'!I:I)/countif('Raw Data'!$Q:$Q,$A77),0)</f>
        <v>0</v>
      </c>
      <c r="L77" s="48">
        <f t="array" ref="L77">max(if('Raw Data'!$Q:$Q=$A77,'Raw Data'!$I:$I))</f>
        <v>0</v>
      </c>
      <c r="M77" s="58">
        <f>iferror(sumif('Raw Data'!$Q:$Q,$A77,'Raw Data'!J:J)/countif('Raw Data'!$Q:$Q,$A77),0)</f>
        <v>0</v>
      </c>
      <c r="N77" s="58">
        <f>iferror(sumif('Raw Data'!$Q:$Q,$A77,'Raw Data'!K:K)/countif('Raw Data'!$Q:$Q,$A77),0)</f>
        <v>0</v>
      </c>
      <c r="O77" s="64">
        <f>F77*'Control PanelOur Matches'!$K$2</f>
        <v>0</v>
      </c>
      <c r="P77" s="64">
        <f t="shared" si="1"/>
        <v>0</v>
      </c>
      <c r="Q77" s="64">
        <f t="shared" si="2"/>
        <v>0</v>
      </c>
      <c r="R77" s="58" t="str">
        <f>'Component OPR Dump'!F104</f>
        <v/>
      </c>
      <c r="S77" s="58" t="str">
        <f>'Component OPR Dump'!D104</f>
        <v/>
      </c>
      <c r="T77" s="58" t="str">
        <f>'Component OPR Dump'!I104</f>
        <v/>
      </c>
      <c r="U77" s="58" t="str">
        <f>'Component OPR Dump'!H104</f>
        <v/>
      </c>
      <c r="V77" s="58" t="str">
        <f>'Component OPR Dump'!G104</f>
        <v/>
      </c>
      <c r="W77" s="58" t="str">
        <f>'Component OPR Dump'!J104</f>
        <v/>
      </c>
      <c r="X77" s="48" t="str">
        <f>iferror(sumif('Raw Data'!$Q:$Q,$A77,'Raw Data'!L:L)/countif('Raw Data'!$Q:$Q,$A77), )</f>
        <v/>
      </c>
    </row>
    <row r="78" ht="15.0" customHeight="1">
      <c r="A78" s="95"/>
      <c r="B78" s="48">
        <f>iferror((sumif('Raw Data'!$Q:$Q,$A78,'Raw Data'!P:P)/countif('Raw Data'!$Q:$Q,$A78))+R78+(T78/3),0)</f>
        <v>0</v>
      </c>
      <c r="C78" s="48">
        <f t="array" ref="C78">max(if('Raw Data'!$Q:$Q=$A78,'Raw Data'!$P:$P))</f>
        <v>0</v>
      </c>
      <c r="D78" s="58">
        <f>iferror(sumif('Raw Data'!$Q:$Q,$A78,'Raw Data'!E:E)/countif('Raw Data'!$Q:$Q,$A78),0)</f>
        <v>0</v>
      </c>
      <c r="E78" s="58">
        <f t="array" ref="E78">max(if('Raw Data'!$Q:$Q=$A78,'Raw Data'!$E:$E))</f>
        <v>0</v>
      </c>
      <c r="F78" s="58">
        <f>iferror(sumif('Raw Data'!$Q:$Q,$A78,'Raw Data'!F:F)/countif('Raw Data'!$Q:$Q,$A78),0)</f>
        <v>0</v>
      </c>
      <c r="G78" s="58">
        <f t="array" ref="G78">max(if('Raw Data'!$Q:$Q=$A78,'Raw Data'!$F:$F))</f>
        <v>0</v>
      </c>
      <c r="H78" s="58">
        <f>iferror(sumif('Raw Data'!$Q:$Q,$A78,'Raw Data'!G:G)/countif('Raw Data'!$Q:$Q,$A78),0)</f>
        <v>0</v>
      </c>
      <c r="I78" s="58">
        <f>iferror(sumif('Raw Data'!$Q:$Q,$A78,'Raw Data'!H:H)/countif('Raw Data'!$Q:$Q,$A78),0)</f>
        <v>0</v>
      </c>
      <c r="J78" s="58">
        <f t="array" ref="J78">max(if('Raw Data'!$Q:$Q=$A78,'Raw Data'!$H:$H))</f>
        <v>0</v>
      </c>
      <c r="K78" s="48">
        <f>iferror(sumif('Raw Data'!$Q:$Q,$A78,'Raw Data'!I:I)/countif('Raw Data'!$Q:$Q,$A78),0)</f>
        <v>0</v>
      </c>
      <c r="L78" s="48">
        <f t="array" ref="L78">max(if('Raw Data'!$Q:$Q=$A78,'Raw Data'!$I:$I))</f>
        <v>0</v>
      </c>
      <c r="M78" s="58">
        <f>iferror(sumif('Raw Data'!$Q:$Q,$A78,'Raw Data'!J:J)/countif('Raw Data'!$Q:$Q,$A78),0)</f>
        <v>0</v>
      </c>
      <c r="N78" s="58">
        <f>iferror(sumif('Raw Data'!$Q:$Q,$A78,'Raw Data'!K:K)/countif('Raw Data'!$Q:$Q,$A78),0)</f>
        <v>0</v>
      </c>
      <c r="O78" s="64">
        <f>F78*'Control PanelOur Matches'!$K$2</f>
        <v>0</v>
      </c>
      <c r="P78" s="64">
        <f t="shared" si="1"/>
        <v>0</v>
      </c>
      <c r="Q78" s="64">
        <f t="shared" si="2"/>
        <v>0</v>
      </c>
      <c r="R78" s="58" t="str">
        <f>'Component OPR Dump'!F105</f>
        <v/>
      </c>
      <c r="S78" s="58" t="str">
        <f>'Component OPR Dump'!D105</f>
        <v/>
      </c>
      <c r="T78" s="58" t="str">
        <f>'Component OPR Dump'!I105</f>
        <v/>
      </c>
      <c r="U78" s="58" t="str">
        <f>'Component OPR Dump'!H105</f>
        <v/>
      </c>
      <c r="V78" s="58" t="str">
        <f>'Component OPR Dump'!G105</f>
        <v/>
      </c>
      <c r="W78" s="58" t="str">
        <f>'Component OPR Dump'!J105</f>
        <v/>
      </c>
      <c r="X78" s="48" t="str">
        <f>iferror(sumif('Raw Data'!$Q:$Q,$A78,'Raw Data'!L:L)/countif('Raw Data'!$Q:$Q,$A78), )</f>
        <v/>
      </c>
    </row>
    <row r="79" ht="15.0" customHeight="1">
      <c r="A79" s="95"/>
      <c r="B79" s="48">
        <f>iferror((sumif('Raw Data'!$Q:$Q,$A79,'Raw Data'!P:P)/countif('Raw Data'!$Q:$Q,$A79))+R79+(T79/3),0)</f>
        <v>0</v>
      </c>
      <c r="C79" s="48">
        <f t="array" ref="C79">max(if('Raw Data'!$Q:$Q=$A79,'Raw Data'!$P:$P))</f>
        <v>0</v>
      </c>
      <c r="D79" s="58">
        <f>iferror(sumif('Raw Data'!$Q:$Q,$A79,'Raw Data'!E:E)/countif('Raw Data'!$Q:$Q,$A79),0)</f>
        <v>0</v>
      </c>
      <c r="E79" s="58">
        <f t="array" ref="E79">max(if('Raw Data'!$Q:$Q=$A79,'Raw Data'!$E:$E))</f>
        <v>0</v>
      </c>
      <c r="F79" s="58">
        <f>iferror(sumif('Raw Data'!$Q:$Q,$A79,'Raw Data'!F:F)/countif('Raw Data'!$Q:$Q,$A79),0)</f>
        <v>0</v>
      </c>
      <c r="G79" s="58">
        <f t="array" ref="G79">max(if('Raw Data'!$Q:$Q=$A79,'Raw Data'!$F:$F))</f>
        <v>0</v>
      </c>
      <c r="H79" s="58">
        <f>iferror(sumif('Raw Data'!$Q:$Q,$A79,'Raw Data'!G:G)/countif('Raw Data'!$Q:$Q,$A79),0)</f>
        <v>0</v>
      </c>
      <c r="I79" s="58">
        <f>iferror(sumif('Raw Data'!$Q:$Q,$A79,'Raw Data'!H:H)/countif('Raw Data'!$Q:$Q,$A79),0)</f>
        <v>0</v>
      </c>
      <c r="J79" s="58">
        <f t="array" ref="J79">max(if('Raw Data'!$Q:$Q=$A79,'Raw Data'!$H:$H))</f>
        <v>0</v>
      </c>
      <c r="K79" s="48">
        <f>iferror(sumif('Raw Data'!$Q:$Q,$A79,'Raw Data'!I:I)/countif('Raw Data'!$Q:$Q,$A79),0)</f>
        <v>0</v>
      </c>
      <c r="L79" s="48">
        <f t="array" ref="L79">max(if('Raw Data'!$Q:$Q=$A79,'Raw Data'!$I:$I))</f>
        <v>0</v>
      </c>
      <c r="M79" s="58">
        <f>iferror(sumif('Raw Data'!$Q:$Q,$A79,'Raw Data'!J:J)/countif('Raw Data'!$Q:$Q,$A79),0)</f>
        <v>0</v>
      </c>
      <c r="N79" s="58">
        <f>iferror(sumif('Raw Data'!$Q:$Q,$A79,'Raw Data'!K:K)/countif('Raw Data'!$Q:$Q,$A79),0)</f>
        <v>0</v>
      </c>
      <c r="O79" s="64">
        <f>F79*'Control PanelOur Matches'!$K$2</f>
        <v>0</v>
      </c>
      <c r="P79" s="64">
        <f t="shared" si="1"/>
        <v>0</v>
      </c>
      <c r="Q79" s="64">
        <f t="shared" si="2"/>
        <v>0</v>
      </c>
      <c r="R79" s="58" t="str">
        <f>'Component OPR Dump'!F106</f>
        <v/>
      </c>
      <c r="S79" s="58" t="str">
        <f>'Component OPR Dump'!D106</f>
        <v/>
      </c>
      <c r="T79" s="58" t="str">
        <f>'Component OPR Dump'!I106</f>
        <v/>
      </c>
      <c r="U79" s="58" t="str">
        <f>'Component OPR Dump'!H106</f>
        <v/>
      </c>
      <c r="V79" s="58" t="str">
        <f>'Component OPR Dump'!G106</f>
        <v/>
      </c>
      <c r="W79" s="58" t="str">
        <f>'Component OPR Dump'!J106</f>
        <v/>
      </c>
      <c r="X79" s="48" t="str">
        <f>iferror(sumif('Raw Data'!$Q:$Q,$A79,'Raw Data'!L:L)/countif('Raw Data'!$Q:$Q,$A79), )</f>
        <v/>
      </c>
    </row>
    <row r="80" ht="15.0" customHeight="1">
      <c r="A80" s="95"/>
      <c r="B80" s="48">
        <f>iferror((sumif('Raw Data'!$Q:$Q,$A80,'Raw Data'!P:P)/countif('Raw Data'!$Q:$Q,$A80))+R80+(T80/3),0)</f>
        <v>0</v>
      </c>
      <c r="C80" s="48">
        <f t="array" ref="C80">max(if('Raw Data'!$Q:$Q=$A80,'Raw Data'!$P:$P))</f>
        <v>0</v>
      </c>
      <c r="D80" s="58">
        <f>iferror(sumif('Raw Data'!$Q:$Q,$A80,'Raw Data'!E:E)/countif('Raw Data'!$Q:$Q,$A80),0)</f>
        <v>0</v>
      </c>
      <c r="E80" s="58">
        <f t="array" ref="E80">max(if('Raw Data'!$Q:$Q=$A80,'Raw Data'!$E:$E))</f>
        <v>0</v>
      </c>
      <c r="F80" s="58">
        <f>iferror(sumif('Raw Data'!$Q:$Q,$A80,'Raw Data'!F:F)/countif('Raw Data'!$Q:$Q,$A80),0)</f>
        <v>0</v>
      </c>
      <c r="G80" s="58">
        <f t="array" ref="G80">max(if('Raw Data'!$Q:$Q=$A80,'Raw Data'!$F:$F))</f>
        <v>0</v>
      </c>
      <c r="H80" s="58">
        <f>iferror(sumif('Raw Data'!$Q:$Q,$A80,'Raw Data'!G:G)/countif('Raw Data'!$Q:$Q,$A80),0)</f>
        <v>0</v>
      </c>
      <c r="I80" s="58">
        <f>iferror(sumif('Raw Data'!$Q:$Q,$A80,'Raw Data'!H:H)/countif('Raw Data'!$Q:$Q,$A80),0)</f>
        <v>0</v>
      </c>
      <c r="J80" s="58">
        <f t="array" ref="J80">max(if('Raw Data'!$Q:$Q=$A80,'Raw Data'!$H:$H))</f>
        <v>0</v>
      </c>
      <c r="K80" s="48">
        <f>iferror(sumif('Raw Data'!$Q:$Q,$A80,'Raw Data'!I:I)/countif('Raw Data'!$Q:$Q,$A80),0)</f>
        <v>0</v>
      </c>
      <c r="L80" s="48">
        <f t="array" ref="L80">max(if('Raw Data'!$Q:$Q=$A80,'Raw Data'!$I:$I))</f>
        <v>0</v>
      </c>
      <c r="M80" s="58">
        <f>iferror(sumif('Raw Data'!$Q:$Q,$A80,'Raw Data'!J:J)/countif('Raw Data'!$Q:$Q,$A80),0)</f>
        <v>0</v>
      </c>
      <c r="N80" s="58">
        <f>iferror(sumif('Raw Data'!$Q:$Q,$A80,'Raw Data'!K:K)/countif('Raw Data'!$Q:$Q,$A80),0)</f>
        <v>0</v>
      </c>
      <c r="O80" s="64">
        <f>F80*'Control PanelOur Matches'!$K$2</f>
        <v>0</v>
      </c>
      <c r="P80" s="64">
        <f t="shared" si="1"/>
        <v>0</v>
      </c>
      <c r="Q80" s="64">
        <f t="shared" si="2"/>
        <v>0</v>
      </c>
      <c r="R80" s="58" t="str">
        <f>'Component OPR Dump'!F107</f>
        <v/>
      </c>
      <c r="S80" s="58" t="str">
        <f>'Component OPR Dump'!D107</f>
        <v/>
      </c>
      <c r="T80" s="58" t="str">
        <f>'Component OPR Dump'!I107</f>
        <v/>
      </c>
      <c r="U80" s="58" t="str">
        <f>'Component OPR Dump'!H107</f>
        <v/>
      </c>
      <c r="V80" s="58" t="str">
        <f>'Component OPR Dump'!G107</f>
        <v/>
      </c>
      <c r="W80" s="58" t="str">
        <f>'Component OPR Dump'!J107</f>
        <v/>
      </c>
      <c r="X80" s="48" t="str">
        <f>iferror(sumif('Raw Data'!$Q:$Q,$A80,'Raw Data'!L:L)/countif('Raw Data'!$Q:$Q,$A80), )</f>
        <v/>
      </c>
    </row>
    <row r="81" ht="15.0" customHeight="1">
      <c r="A81" s="95"/>
      <c r="B81" s="48">
        <f>iferror((sumif('Raw Data'!$Q:$Q,$A81,'Raw Data'!P:P)/countif('Raw Data'!$Q:$Q,$A81))+R81+(T81/3),0)</f>
        <v>0</v>
      </c>
      <c r="C81" s="48">
        <f t="array" ref="C81">max(if('Raw Data'!$Q:$Q=$A81,'Raw Data'!$P:$P))</f>
        <v>0</v>
      </c>
      <c r="D81" s="58">
        <f>iferror(sumif('Raw Data'!$Q:$Q,$A81,'Raw Data'!E:E)/countif('Raw Data'!$Q:$Q,$A81),0)</f>
        <v>0</v>
      </c>
      <c r="E81" s="58">
        <f t="array" ref="E81">max(if('Raw Data'!$Q:$Q=$A81,'Raw Data'!$E:$E))</f>
        <v>0</v>
      </c>
      <c r="F81" s="58">
        <f>iferror(sumif('Raw Data'!$Q:$Q,$A81,'Raw Data'!F:F)/countif('Raw Data'!$Q:$Q,$A81),0)</f>
        <v>0</v>
      </c>
      <c r="G81" s="58">
        <f t="array" ref="G81">max(if('Raw Data'!$Q:$Q=$A81,'Raw Data'!$F:$F))</f>
        <v>0</v>
      </c>
      <c r="H81" s="58">
        <f>iferror(sumif('Raw Data'!$Q:$Q,$A81,'Raw Data'!G:G)/countif('Raw Data'!$Q:$Q,$A81),0)</f>
        <v>0</v>
      </c>
      <c r="I81" s="58">
        <f>iferror(sumif('Raw Data'!$Q:$Q,$A81,'Raw Data'!H:H)/countif('Raw Data'!$Q:$Q,$A81),0)</f>
        <v>0</v>
      </c>
      <c r="J81" s="58">
        <f t="array" ref="J81">max(if('Raw Data'!$Q:$Q=$A81,'Raw Data'!$H:$H))</f>
        <v>0</v>
      </c>
      <c r="K81" s="48">
        <f>iferror(sumif('Raw Data'!$Q:$Q,$A81,'Raw Data'!I:I)/countif('Raw Data'!$Q:$Q,$A81),0)</f>
        <v>0</v>
      </c>
      <c r="L81" s="48">
        <f t="array" ref="L81">max(if('Raw Data'!$Q:$Q=$A81,'Raw Data'!$I:$I))</f>
        <v>0</v>
      </c>
      <c r="M81" s="58">
        <f>iferror(sumif('Raw Data'!$Q:$Q,$A81,'Raw Data'!J:J)/countif('Raw Data'!$Q:$Q,$A81),0)</f>
        <v>0</v>
      </c>
      <c r="N81" s="58">
        <f>iferror(sumif('Raw Data'!$Q:$Q,$A81,'Raw Data'!K:K)/countif('Raw Data'!$Q:$Q,$A81),0)</f>
        <v>0</v>
      </c>
      <c r="O81" s="64">
        <f>F81*'Control PanelOur Matches'!$K$2</f>
        <v>0</v>
      </c>
      <c r="P81" s="64">
        <f t="shared" si="1"/>
        <v>0</v>
      </c>
      <c r="Q81" s="64">
        <f t="shared" si="2"/>
        <v>0</v>
      </c>
      <c r="R81" s="58" t="str">
        <f>'Component OPR Dump'!F108</f>
        <v/>
      </c>
      <c r="S81" s="58" t="str">
        <f>'Component OPR Dump'!D108</f>
        <v/>
      </c>
      <c r="T81" s="58" t="str">
        <f>'Component OPR Dump'!I108</f>
        <v/>
      </c>
      <c r="U81" s="58" t="str">
        <f>'Component OPR Dump'!H108</f>
        <v/>
      </c>
      <c r="V81" s="58" t="str">
        <f>'Component OPR Dump'!G108</f>
        <v/>
      </c>
      <c r="W81" s="58" t="str">
        <f>'Component OPR Dump'!J108</f>
        <v/>
      </c>
      <c r="X81" s="48" t="str">
        <f>iferror(sumif('Raw Data'!$Q:$Q,$A81,'Raw Data'!L:L)/countif('Raw Data'!$Q:$Q,$A81), )</f>
        <v/>
      </c>
    </row>
    <row r="82" ht="15.0" customHeight="1">
      <c r="A82" s="95"/>
      <c r="B82" s="48">
        <f>iferror((sumif('Raw Data'!$Q:$Q,$A82,'Raw Data'!P:P)/countif('Raw Data'!$Q:$Q,$A82))+R82+(T82/3),0)</f>
        <v>0</v>
      </c>
      <c r="C82" s="48">
        <f t="array" ref="C82">max(if('Raw Data'!$Q:$Q=$A82,'Raw Data'!$P:$P))</f>
        <v>0</v>
      </c>
      <c r="D82" s="58">
        <f>iferror(sumif('Raw Data'!$Q:$Q,$A82,'Raw Data'!E:E)/countif('Raw Data'!$Q:$Q,$A82),0)</f>
        <v>0</v>
      </c>
      <c r="E82" s="58">
        <f t="array" ref="E82">max(if('Raw Data'!$Q:$Q=$A82,'Raw Data'!$E:$E))</f>
        <v>0</v>
      </c>
      <c r="F82" s="58">
        <f>iferror(sumif('Raw Data'!$Q:$Q,$A82,'Raw Data'!F:F)/countif('Raw Data'!$Q:$Q,$A82),0)</f>
        <v>0</v>
      </c>
      <c r="G82" s="58">
        <f t="array" ref="G82">max(if('Raw Data'!$Q:$Q=$A82,'Raw Data'!$F:$F))</f>
        <v>0</v>
      </c>
      <c r="H82" s="58">
        <f>iferror(sumif('Raw Data'!$Q:$Q,$A82,'Raw Data'!G:G)/countif('Raw Data'!$Q:$Q,$A82),0)</f>
        <v>0</v>
      </c>
      <c r="I82" s="58">
        <f>iferror(sumif('Raw Data'!$Q:$Q,$A82,'Raw Data'!H:H)/countif('Raw Data'!$Q:$Q,$A82),0)</f>
        <v>0</v>
      </c>
      <c r="J82" s="58">
        <f t="array" ref="J82">max(if('Raw Data'!$Q:$Q=$A82,'Raw Data'!$H:$H))</f>
        <v>0</v>
      </c>
      <c r="K82" s="48">
        <f>iferror(sumif('Raw Data'!$Q:$Q,$A82,'Raw Data'!I:I)/countif('Raw Data'!$Q:$Q,$A82),0)</f>
        <v>0</v>
      </c>
      <c r="L82" s="48">
        <f t="array" ref="L82">max(if('Raw Data'!$Q:$Q=$A82,'Raw Data'!$I:$I))</f>
        <v>0</v>
      </c>
      <c r="M82" s="58">
        <f>iferror(sumif('Raw Data'!$Q:$Q,$A82,'Raw Data'!J:J)/countif('Raw Data'!$Q:$Q,$A82),0)</f>
        <v>0</v>
      </c>
      <c r="N82" s="58">
        <f>iferror(sumif('Raw Data'!$Q:$Q,$A82,'Raw Data'!K:K)/countif('Raw Data'!$Q:$Q,$A82),0)</f>
        <v>0</v>
      </c>
      <c r="O82" s="64">
        <f>F82*'Control PanelOur Matches'!$K$2</f>
        <v>0</v>
      </c>
      <c r="P82" s="64">
        <f t="shared" si="1"/>
        <v>0</v>
      </c>
      <c r="Q82" s="64">
        <f t="shared" si="2"/>
        <v>0</v>
      </c>
      <c r="R82" s="58" t="str">
        <f>'Component OPR Dump'!F109</f>
        <v/>
      </c>
      <c r="S82" s="58" t="str">
        <f>'Component OPR Dump'!D109</f>
        <v/>
      </c>
      <c r="T82" s="58" t="str">
        <f>'Component OPR Dump'!I109</f>
        <v/>
      </c>
      <c r="U82" s="58" t="str">
        <f>'Component OPR Dump'!H109</f>
        <v/>
      </c>
      <c r="V82" s="58" t="str">
        <f>'Component OPR Dump'!G109</f>
        <v/>
      </c>
      <c r="W82" s="58" t="str">
        <f>'Component OPR Dump'!J109</f>
        <v/>
      </c>
      <c r="X82" s="48" t="str">
        <f>iferror(sumif('Raw Data'!$Q:$Q,$A82,'Raw Data'!L:L)/countif('Raw Data'!$Q:$Q,$A82), )</f>
        <v/>
      </c>
    </row>
    <row r="83" ht="15.0" customHeight="1">
      <c r="A83" s="95"/>
      <c r="B83" s="48">
        <f>iferror((sumif('Raw Data'!$Q:$Q,$A83,'Raw Data'!P:P)/countif('Raw Data'!$Q:$Q,$A83))+R83+(T83/3),0)</f>
        <v>0</v>
      </c>
      <c r="C83" s="48">
        <f t="array" ref="C83">max(if('Raw Data'!$Q:$Q=$A83,'Raw Data'!$P:$P))</f>
        <v>0</v>
      </c>
      <c r="D83" s="58">
        <f>iferror(sumif('Raw Data'!$Q:$Q,$A83,'Raw Data'!E:E)/countif('Raw Data'!$Q:$Q,$A83),0)</f>
        <v>0</v>
      </c>
      <c r="E83" s="58">
        <f t="array" ref="E83">max(if('Raw Data'!$Q:$Q=$A83,'Raw Data'!$E:$E))</f>
        <v>0</v>
      </c>
      <c r="F83" s="58">
        <f>iferror(sumif('Raw Data'!$Q:$Q,$A83,'Raw Data'!F:F)/countif('Raw Data'!$Q:$Q,$A83),0)</f>
        <v>0</v>
      </c>
      <c r="G83" s="58">
        <f t="array" ref="G83">max(if('Raw Data'!$Q:$Q=$A83,'Raw Data'!$F:$F))</f>
        <v>0</v>
      </c>
      <c r="H83" s="58">
        <f>iferror(sumif('Raw Data'!$Q:$Q,$A83,'Raw Data'!G:G)/countif('Raw Data'!$Q:$Q,$A83),0)</f>
        <v>0</v>
      </c>
      <c r="I83" s="58">
        <f>iferror(sumif('Raw Data'!$Q:$Q,$A83,'Raw Data'!H:H)/countif('Raw Data'!$Q:$Q,$A83),0)</f>
        <v>0</v>
      </c>
      <c r="J83" s="58">
        <f t="array" ref="J83">max(if('Raw Data'!$Q:$Q=$A83,'Raw Data'!$H:$H))</f>
        <v>0</v>
      </c>
      <c r="K83" s="48">
        <f>iferror(sumif('Raw Data'!$Q:$Q,$A83,'Raw Data'!I:I)/countif('Raw Data'!$Q:$Q,$A83),0)</f>
        <v>0</v>
      </c>
      <c r="L83" s="48">
        <f t="array" ref="L83">max(if('Raw Data'!$Q:$Q=$A83,'Raw Data'!$I:$I))</f>
        <v>0</v>
      </c>
      <c r="M83" s="58">
        <f>iferror(sumif('Raw Data'!$Q:$Q,$A83,'Raw Data'!J:J)/countif('Raw Data'!$Q:$Q,$A83),0)</f>
        <v>0</v>
      </c>
      <c r="N83" s="58">
        <f>iferror(sumif('Raw Data'!$Q:$Q,$A83,'Raw Data'!K:K)/countif('Raw Data'!$Q:$Q,$A83),0)</f>
        <v>0</v>
      </c>
      <c r="O83" s="64">
        <f>F83*'Control PanelOur Matches'!$K$2</f>
        <v>0</v>
      </c>
      <c r="P83" s="64">
        <f t="shared" si="1"/>
        <v>0</v>
      </c>
      <c r="Q83" s="64">
        <f t="shared" si="2"/>
        <v>0</v>
      </c>
      <c r="R83" s="58" t="str">
        <f>'Component OPR Dump'!F110</f>
        <v/>
      </c>
      <c r="S83" s="58" t="str">
        <f>'Component OPR Dump'!D110</f>
        <v/>
      </c>
      <c r="T83" s="58" t="str">
        <f>'Component OPR Dump'!I110</f>
        <v/>
      </c>
      <c r="U83" s="58" t="str">
        <f>'Component OPR Dump'!H110</f>
        <v/>
      </c>
      <c r="V83" s="58" t="str">
        <f>'Component OPR Dump'!G110</f>
        <v/>
      </c>
      <c r="W83" s="58" t="str">
        <f>'Component OPR Dump'!J110</f>
        <v/>
      </c>
      <c r="X83" s="48" t="str">
        <f>iferror(sumif('Raw Data'!$Q:$Q,$A83,'Raw Data'!L:L)/countif('Raw Data'!$Q:$Q,$A83), )</f>
        <v/>
      </c>
    </row>
    <row r="84" ht="15.0" customHeight="1">
      <c r="A84" s="95"/>
      <c r="B84" s="48">
        <f>iferror((sumif('Raw Data'!$Q:$Q,$A84,'Raw Data'!P:P)/countif('Raw Data'!$Q:$Q,$A84))+R84+(T84/3),0)</f>
        <v>0</v>
      </c>
      <c r="C84" s="48">
        <f t="array" ref="C84">max(if('Raw Data'!$Q:$Q=$A84,'Raw Data'!$P:$P))</f>
        <v>0</v>
      </c>
      <c r="D84" s="58">
        <f>iferror(sumif('Raw Data'!$Q:$Q,$A84,'Raw Data'!E:E)/countif('Raw Data'!$Q:$Q,$A84),0)</f>
        <v>0</v>
      </c>
      <c r="E84" s="58">
        <f t="array" ref="E84">max(if('Raw Data'!$Q:$Q=$A84,'Raw Data'!$E:$E))</f>
        <v>0</v>
      </c>
      <c r="F84" s="58">
        <f>iferror(sumif('Raw Data'!$Q:$Q,$A84,'Raw Data'!F:F)/countif('Raw Data'!$Q:$Q,$A84),0)</f>
        <v>0</v>
      </c>
      <c r="G84" s="58">
        <f t="array" ref="G84">max(if('Raw Data'!$Q:$Q=$A84,'Raw Data'!$F:$F))</f>
        <v>0</v>
      </c>
      <c r="H84" s="58">
        <f>iferror(sumif('Raw Data'!$Q:$Q,$A84,'Raw Data'!G:G)/countif('Raw Data'!$Q:$Q,$A84),0)</f>
        <v>0</v>
      </c>
      <c r="I84" s="58">
        <f>iferror(sumif('Raw Data'!$Q:$Q,$A84,'Raw Data'!H:H)/countif('Raw Data'!$Q:$Q,$A84),0)</f>
        <v>0</v>
      </c>
      <c r="J84" s="58">
        <f t="array" ref="J84">max(if('Raw Data'!$Q:$Q=$A84,'Raw Data'!$H:$H))</f>
        <v>0</v>
      </c>
      <c r="K84" s="48">
        <f>iferror(sumif('Raw Data'!$Q:$Q,$A84,'Raw Data'!I:I)/countif('Raw Data'!$Q:$Q,$A84),0)</f>
        <v>0</v>
      </c>
      <c r="L84" s="48">
        <f t="array" ref="L84">max(if('Raw Data'!$Q:$Q=$A84,'Raw Data'!$I:$I))</f>
        <v>0</v>
      </c>
      <c r="M84" s="58">
        <f>iferror(sumif('Raw Data'!$Q:$Q,$A84,'Raw Data'!J:J)/countif('Raw Data'!$Q:$Q,$A84),0)</f>
        <v>0</v>
      </c>
      <c r="N84" s="58">
        <f>iferror(sumif('Raw Data'!$Q:$Q,$A84,'Raw Data'!K:K)/countif('Raw Data'!$Q:$Q,$A84),0)</f>
        <v>0</v>
      </c>
      <c r="O84" s="64">
        <f>F84*'Control PanelOur Matches'!$K$2</f>
        <v>0</v>
      </c>
      <c r="P84" s="64">
        <f t="shared" si="1"/>
        <v>0</v>
      </c>
      <c r="Q84" s="64">
        <f t="shared" si="2"/>
        <v>0</v>
      </c>
      <c r="R84" s="58" t="str">
        <f>'Component OPR Dump'!F111</f>
        <v/>
      </c>
      <c r="S84" s="58" t="str">
        <f>'Component OPR Dump'!D111</f>
        <v/>
      </c>
      <c r="T84" s="58" t="str">
        <f>'Component OPR Dump'!I111</f>
        <v/>
      </c>
      <c r="U84" s="58" t="str">
        <f>'Component OPR Dump'!H111</f>
        <v/>
      </c>
      <c r="V84" s="58" t="str">
        <f>'Component OPR Dump'!G111</f>
        <v/>
      </c>
      <c r="W84" s="58" t="str">
        <f>'Component OPR Dump'!J111</f>
        <v/>
      </c>
      <c r="X84" s="48" t="str">
        <f>iferror(sumif('Raw Data'!$Q:$Q,$A84,'Raw Data'!L:L)/countif('Raw Data'!$Q:$Q,$A84), )</f>
        <v/>
      </c>
    </row>
    <row r="85" ht="15.0" customHeight="1">
      <c r="A85" s="70"/>
      <c r="B85" s="48">
        <f>iferror((sumif('Raw Data'!$Q:$Q,$A85,'Raw Data'!P:P)/countif('Raw Data'!$Q:$Q,$A85))+R85+(T85/3),0)</f>
        <v>0</v>
      </c>
      <c r="C85" s="48">
        <f t="array" ref="C85">max(if('Raw Data'!$Q:$Q=$A85,'Raw Data'!$P:$P))</f>
        <v>0</v>
      </c>
      <c r="D85" s="58"/>
      <c r="E85" s="58">
        <f t="array" ref="E85">max(if('Raw Data'!$Q:$Q=$A85,'Raw Data'!$E:$E))</f>
        <v>0</v>
      </c>
      <c r="F85" s="58"/>
      <c r="G85" s="58">
        <f t="array" ref="G85">max(if('Raw Data'!$Q:$Q=$A85,'Raw Data'!$F:$F))</f>
        <v>0</v>
      </c>
      <c r="H85" s="58"/>
      <c r="I85" s="58"/>
      <c r="J85" s="58"/>
      <c r="K85" s="48"/>
      <c r="L85" s="48"/>
      <c r="M85" s="58"/>
      <c r="N85" s="58"/>
      <c r="O85" s="64"/>
      <c r="P85" s="64"/>
      <c r="Q85" s="64"/>
      <c r="R85" s="58" t="str">
        <f>'Component OPR Dump'!F49</f>
        <v/>
      </c>
      <c r="S85" s="58" t="str">
        <f>'Component OPR Dump'!D49</f>
        <v/>
      </c>
      <c r="T85" s="58" t="str">
        <f>'Component OPR Dump'!I49</f>
        <v/>
      </c>
      <c r="U85" s="58" t="str">
        <f>'Component OPR Dump'!H49</f>
        <v/>
      </c>
      <c r="V85" s="58" t="str">
        <f>'Component OPR Dump'!G49</f>
        <v/>
      </c>
      <c r="W85" s="58" t="str">
        <f>'Component OPR Dump'!J49</f>
        <v/>
      </c>
      <c r="X85" s="48" t="str">
        <f>iferror(sumif('Raw Data'!$Q:$Q,$A85,'Raw Data'!L:L)/countif('Raw Data'!$Q:$Q,$A85), )</f>
        <v/>
      </c>
    </row>
    <row r="86" ht="15.0" customHeight="1">
      <c r="A86" s="70"/>
      <c r="B86" s="48">
        <f>iferror((sumif('Raw Data'!$Q:$Q,$A86,'Raw Data'!P:P)/countif('Raw Data'!$Q:$Q,$A86))+R86+(T86/3),0)</f>
        <v>0</v>
      </c>
      <c r="C86" s="48">
        <f t="array" ref="C86">max(if('Raw Data'!$Q:$Q=$A86,'Raw Data'!$P:$P))</f>
        <v>0</v>
      </c>
      <c r="D86" s="58"/>
      <c r="E86" s="58">
        <f t="array" ref="E86">max(if('Raw Data'!$Q:$Q=$A86,'Raw Data'!$E:$E))</f>
        <v>0</v>
      </c>
      <c r="F86" s="58"/>
      <c r="G86" s="58">
        <f t="array" ref="G86">max(if('Raw Data'!$Q:$Q=$A86,'Raw Data'!$F:$F))</f>
        <v>0</v>
      </c>
      <c r="H86" s="58"/>
      <c r="I86" s="58"/>
      <c r="J86" s="58"/>
      <c r="K86" s="48"/>
      <c r="L86" s="48"/>
      <c r="M86" s="58"/>
      <c r="N86" s="58"/>
      <c r="O86" s="64"/>
      <c r="P86" s="64"/>
      <c r="Q86" s="64"/>
      <c r="R86" s="58" t="str">
        <f>'Component OPR Dump'!F50</f>
        <v/>
      </c>
      <c r="S86" s="58" t="str">
        <f>'Component OPR Dump'!D50</f>
        <v/>
      </c>
      <c r="T86" s="58" t="str">
        <f>'Component OPR Dump'!I50</f>
        <v/>
      </c>
      <c r="U86" s="58" t="str">
        <f>'Component OPR Dump'!H50</f>
        <v/>
      </c>
      <c r="V86" s="58" t="str">
        <f>'Component OPR Dump'!G50</f>
        <v/>
      </c>
      <c r="W86" s="58" t="str">
        <f>'Component OPR Dump'!J50</f>
        <v/>
      </c>
      <c r="X86" s="48" t="str">
        <f>iferror(sumif('Raw Data'!$Q:$Q,$A86,'Raw Data'!L:L)/countif('Raw Data'!$Q:$Q,$A86), )</f>
        <v/>
      </c>
    </row>
    <row r="87" ht="15.0" customHeight="1">
      <c r="A87" s="70"/>
      <c r="B87" s="48">
        <f>iferror((sumif('Raw Data'!$Q:$Q,$A87,'Raw Data'!P:P)/countif('Raw Data'!$Q:$Q,$A87))+R87+(T87/3),0)</f>
        <v>0</v>
      </c>
      <c r="C87" s="48">
        <f t="array" ref="C87">max(if('Raw Data'!$Q:$Q=$A87,'Raw Data'!$P:$P))</f>
        <v>0</v>
      </c>
      <c r="D87" s="58"/>
      <c r="E87" s="58">
        <f t="array" ref="E87">max(if('Raw Data'!$Q:$Q=$A87,'Raw Data'!$E:$E))</f>
        <v>0</v>
      </c>
      <c r="F87" s="58"/>
      <c r="G87" s="58">
        <f t="array" ref="G87">max(if('Raw Data'!$Q:$Q=$A87,'Raw Data'!$F:$F))</f>
        <v>0</v>
      </c>
      <c r="H87" s="58"/>
      <c r="I87" s="58"/>
      <c r="J87" s="58"/>
      <c r="K87" s="48"/>
      <c r="L87" s="48"/>
      <c r="M87" s="58"/>
      <c r="N87" s="58"/>
      <c r="O87" s="64"/>
      <c r="P87" s="64"/>
      <c r="Q87" s="64"/>
      <c r="R87" s="58" t="str">
        <f>'Component OPR Dump'!F51</f>
        <v/>
      </c>
      <c r="S87" s="58" t="str">
        <f>'Component OPR Dump'!D51</f>
        <v/>
      </c>
      <c r="T87" s="58" t="str">
        <f>'Component OPR Dump'!I51</f>
        <v/>
      </c>
      <c r="U87" s="58" t="str">
        <f>'Component OPR Dump'!H51</f>
        <v/>
      </c>
      <c r="V87" s="58" t="str">
        <f>'Component OPR Dump'!G51</f>
        <v/>
      </c>
      <c r="W87" s="58" t="str">
        <f>'Component OPR Dump'!J51</f>
        <v/>
      </c>
      <c r="X87" s="48" t="str">
        <f>iferror(sumif('Raw Data'!$Q:$Q,$A87,'Raw Data'!L:L)/countif('Raw Data'!$Q:$Q,$A87), )</f>
        <v/>
      </c>
    </row>
    <row r="88" ht="15.0" customHeight="1">
      <c r="A88" s="70"/>
      <c r="B88" s="48">
        <f>iferror((sumif('Raw Data'!$Q:$Q,$A88,'Raw Data'!P:P)/countif('Raw Data'!$Q:$Q,$A88))+R88+(T88/3),0)</f>
        <v>0</v>
      </c>
      <c r="C88" s="48">
        <f t="array" ref="C88">max(if('Raw Data'!$Q:$Q=$A88,'Raw Data'!$P:$P))</f>
        <v>0</v>
      </c>
      <c r="D88" s="58"/>
      <c r="E88" s="58">
        <f t="array" ref="E88">max(if('Raw Data'!$Q:$Q=$A88,'Raw Data'!$E:$E))</f>
        <v>0</v>
      </c>
      <c r="F88" s="58"/>
      <c r="G88" s="58">
        <f t="array" ref="G88">max(if('Raw Data'!$Q:$Q=$A88,'Raw Data'!$F:$F))</f>
        <v>0</v>
      </c>
      <c r="H88" s="58"/>
      <c r="I88" s="58"/>
      <c r="J88" s="58"/>
      <c r="K88" s="48"/>
      <c r="L88" s="48"/>
      <c r="M88" s="58"/>
      <c r="N88" s="58"/>
      <c r="O88" s="64"/>
      <c r="P88" s="64"/>
      <c r="Q88" s="64"/>
      <c r="R88" s="58" t="str">
        <f>'Component OPR Dump'!F52</f>
        <v/>
      </c>
      <c r="S88" s="58" t="str">
        <f>'Component OPR Dump'!D52</f>
        <v/>
      </c>
      <c r="T88" s="58" t="str">
        <f>'Component OPR Dump'!I52</f>
        <v/>
      </c>
      <c r="U88" s="58" t="str">
        <f>'Component OPR Dump'!H52</f>
        <v/>
      </c>
      <c r="V88" s="58" t="str">
        <f>'Component OPR Dump'!G52</f>
        <v/>
      </c>
      <c r="W88" s="58" t="str">
        <f>'Component OPR Dump'!J52</f>
        <v/>
      </c>
      <c r="X88" s="48" t="str">
        <f>iferror(sumif('Raw Data'!$Q:$Q,$A88,'Raw Data'!L:L)/countif('Raw Data'!$Q:$Q,$A88), )</f>
        <v/>
      </c>
    </row>
    <row r="89" ht="15.0" customHeight="1">
      <c r="A89" s="70"/>
      <c r="B89" s="48">
        <f>iferror((sumif('Raw Data'!$Q:$Q,$A89,'Raw Data'!P:P)/countif('Raw Data'!$Q:$Q,$A89))+R89+(T89/3),0)</f>
        <v>0</v>
      </c>
      <c r="C89" s="48">
        <f t="array" ref="C89">max(if('Raw Data'!$Q:$Q=$A89,'Raw Data'!$P:$P))</f>
        <v>0</v>
      </c>
      <c r="D89" s="58"/>
      <c r="E89" s="58">
        <f t="array" ref="E89">max(if('Raw Data'!$Q:$Q=$A89,'Raw Data'!$E:$E))</f>
        <v>0</v>
      </c>
      <c r="F89" s="58"/>
      <c r="G89" s="58">
        <f t="array" ref="G89">max(if('Raw Data'!$Q:$Q=$A89,'Raw Data'!$F:$F))</f>
        <v>0</v>
      </c>
      <c r="H89" s="58"/>
      <c r="I89" s="58"/>
      <c r="J89" s="58"/>
      <c r="K89" s="48"/>
      <c r="L89" s="48"/>
      <c r="M89" s="58"/>
      <c r="N89" s="58"/>
      <c r="O89" s="64"/>
      <c r="P89" s="64"/>
      <c r="Q89" s="64"/>
      <c r="R89" s="58" t="str">
        <f>'Component OPR Dump'!F53</f>
        <v/>
      </c>
      <c r="S89" s="58" t="str">
        <f>'Component OPR Dump'!D53</f>
        <v/>
      </c>
      <c r="T89" s="58" t="str">
        <f>'Component OPR Dump'!I53</f>
        <v/>
      </c>
      <c r="U89" s="58" t="str">
        <f>'Component OPR Dump'!H53</f>
        <v/>
      </c>
      <c r="V89" s="58" t="str">
        <f>'Component OPR Dump'!G53</f>
        <v/>
      </c>
      <c r="W89" s="58" t="str">
        <f>'Component OPR Dump'!J53</f>
        <v/>
      </c>
      <c r="X89" s="48" t="str">
        <f>iferror(sumif('Raw Data'!$Q:$Q,$A89,'Raw Data'!L:L)/countif('Raw Data'!$Q:$Q,$A89), )</f>
        <v/>
      </c>
    </row>
    <row r="90" ht="15.0" customHeight="1">
      <c r="A90" s="70"/>
      <c r="B90" s="48">
        <f>iferror((sumif('Raw Data'!$Q:$Q,$A90,'Raw Data'!P:P)/countif('Raw Data'!$Q:$Q,$A90))+R90+(T90/3),0)</f>
        <v>0</v>
      </c>
      <c r="C90" s="48">
        <f t="array" ref="C90">max(if('Raw Data'!$Q:$Q=$A90,'Raw Data'!$P:$P))</f>
        <v>0</v>
      </c>
      <c r="D90" s="58"/>
      <c r="E90" s="58">
        <f t="array" ref="E90">max(if('Raw Data'!$Q:$Q=$A90,'Raw Data'!$E:$E))</f>
        <v>0</v>
      </c>
      <c r="F90" s="58"/>
      <c r="G90" s="58">
        <f t="array" ref="G90">max(if('Raw Data'!$Q:$Q=$A90,'Raw Data'!$F:$F))</f>
        <v>0</v>
      </c>
      <c r="H90" s="58"/>
      <c r="I90" s="58"/>
      <c r="J90" s="58"/>
      <c r="K90" s="48"/>
      <c r="L90" s="48"/>
      <c r="M90" s="58"/>
      <c r="N90" s="58"/>
      <c r="O90" s="64"/>
      <c r="P90" s="64"/>
      <c r="Q90" s="64"/>
      <c r="R90" s="58" t="str">
        <f>'Component OPR Dump'!F54</f>
        <v/>
      </c>
      <c r="S90" s="58" t="str">
        <f>'Component OPR Dump'!D54</f>
        <v/>
      </c>
      <c r="T90" s="58" t="str">
        <f>'Component OPR Dump'!I54</f>
        <v/>
      </c>
      <c r="U90" s="58" t="str">
        <f>'Component OPR Dump'!H54</f>
        <v/>
      </c>
      <c r="V90" s="58" t="str">
        <f>'Component OPR Dump'!G54</f>
        <v/>
      </c>
      <c r="W90" s="58" t="str">
        <f>'Component OPR Dump'!J54</f>
        <v/>
      </c>
      <c r="X90" s="48" t="str">
        <f>iferror(sumif('Raw Data'!$Q:$Q,$A90,'Raw Data'!L:L)/countif('Raw Data'!$Q:$Q,$A90), )</f>
        <v/>
      </c>
    </row>
    <row r="91" ht="15.0" customHeight="1">
      <c r="A91" s="70"/>
      <c r="B91" s="48">
        <f>iferror((sumif('Raw Data'!$Q:$Q,$A91,'Raw Data'!P:P)/countif('Raw Data'!$Q:$Q,$A91))+R91+(T91/3),0)</f>
        <v>0</v>
      </c>
      <c r="C91" s="48">
        <f t="array" ref="C91">max(if('Raw Data'!$Q:$Q=$A91,'Raw Data'!$P:$P))</f>
        <v>0</v>
      </c>
      <c r="D91" s="58"/>
      <c r="E91" s="58">
        <f t="array" ref="E91">max(if('Raw Data'!$Q:$Q=$A91,'Raw Data'!$E:$E))</f>
        <v>0</v>
      </c>
      <c r="F91" s="58"/>
      <c r="G91" s="58">
        <f t="array" ref="G91">max(if('Raw Data'!$Q:$Q=$A91,'Raw Data'!$F:$F))</f>
        <v>0</v>
      </c>
      <c r="H91" s="58"/>
      <c r="I91" s="58"/>
      <c r="J91" s="58"/>
      <c r="K91" s="48"/>
      <c r="L91" s="48"/>
      <c r="M91" s="58"/>
      <c r="N91" s="58"/>
      <c r="O91" s="64"/>
      <c r="P91" s="64"/>
      <c r="Q91" s="64"/>
      <c r="R91" s="58" t="str">
        <f>'Component OPR Dump'!F55</f>
        <v/>
      </c>
      <c r="S91" s="58" t="str">
        <f>'Component OPR Dump'!D55</f>
        <v/>
      </c>
      <c r="T91" s="58" t="str">
        <f>'Component OPR Dump'!I55</f>
        <v/>
      </c>
      <c r="U91" s="58" t="str">
        <f>'Component OPR Dump'!H55</f>
        <v/>
      </c>
      <c r="V91" s="58" t="str">
        <f>'Component OPR Dump'!G55</f>
        <v/>
      </c>
      <c r="W91" s="58" t="str">
        <f>'Component OPR Dump'!J55</f>
        <v/>
      </c>
      <c r="X91" s="48" t="str">
        <f>iferror(sumif('Raw Data'!$Q:$Q,$A91,'Raw Data'!L:L)/countif('Raw Data'!$Q:$Q,$A91), )</f>
        <v/>
      </c>
    </row>
    <row r="92" ht="15.0" customHeight="1">
      <c r="A92" s="70"/>
      <c r="B92" s="48">
        <f>iferror((sumif('Raw Data'!$Q:$Q,$A92,'Raw Data'!P:P)/countif('Raw Data'!$Q:$Q,$A92))+R92+(T92/3),0)</f>
        <v>0</v>
      </c>
      <c r="C92" s="48">
        <f t="array" ref="C92">max(if('Raw Data'!$Q:$Q=$A92,'Raw Data'!$P:$P))</f>
        <v>0</v>
      </c>
      <c r="D92" s="58"/>
      <c r="E92" s="58">
        <f t="array" ref="E92">max(if('Raw Data'!$Q:$Q=$A92,'Raw Data'!$E:$E))</f>
        <v>0</v>
      </c>
      <c r="F92" s="58"/>
      <c r="G92" s="58">
        <f t="array" ref="G92">max(if('Raw Data'!$Q:$Q=$A92,'Raw Data'!$F:$F))</f>
        <v>0</v>
      </c>
      <c r="H92" s="58"/>
      <c r="I92" s="58"/>
      <c r="J92" s="58"/>
      <c r="K92" s="48"/>
      <c r="L92" s="48"/>
      <c r="M92" s="58"/>
      <c r="N92" s="58"/>
      <c r="O92" s="64"/>
      <c r="P92" s="64"/>
      <c r="Q92" s="64"/>
      <c r="R92" s="58" t="str">
        <f>'Component OPR Dump'!F56</f>
        <v/>
      </c>
      <c r="S92" s="58" t="str">
        <f>'Component OPR Dump'!D56</f>
        <v/>
      </c>
      <c r="T92" s="58" t="str">
        <f>'Component OPR Dump'!I56</f>
        <v/>
      </c>
      <c r="U92" s="58" t="str">
        <f>'Component OPR Dump'!H56</f>
        <v/>
      </c>
      <c r="V92" s="58" t="str">
        <f>'Component OPR Dump'!G56</f>
        <v/>
      </c>
      <c r="W92" s="58" t="str">
        <f>'Component OPR Dump'!J56</f>
        <v/>
      </c>
      <c r="X92" s="48" t="str">
        <f>iferror(sumif('Raw Data'!$Q:$Q,$A92,'Raw Data'!L:L)/countif('Raw Data'!$Q:$Q,$A92), )</f>
        <v/>
      </c>
    </row>
    <row r="93" ht="15.0" customHeight="1">
      <c r="A93" s="70"/>
      <c r="B93" s="48">
        <f>iferror((sumif('Raw Data'!$Q:$Q,$A93,'Raw Data'!P:P)/countif('Raw Data'!$Q:$Q,$A93))+R93+(T93/3),0)</f>
        <v>0</v>
      </c>
      <c r="C93" s="48">
        <f t="array" ref="C93">max(if('Raw Data'!$Q:$Q=$A93,'Raw Data'!$P:$P))</f>
        <v>0</v>
      </c>
      <c r="D93" s="58"/>
      <c r="E93" s="58">
        <f t="array" ref="E93">max(if('Raw Data'!$Q:$Q=$A93,'Raw Data'!$E:$E))</f>
        <v>0</v>
      </c>
      <c r="F93" s="58"/>
      <c r="G93" s="58">
        <f t="array" ref="G93">max(if('Raw Data'!$Q:$Q=$A93,'Raw Data'!$F:$F))</f>
        <v>0</v>
      </c>
      <c r="H93" s="58"/>
      <c r="I93" s="58"/>
      <c r="J93" s="58"/>
      <c r="K93" s="48"/>
      <c r="L93" s="48"/>
      <c r="M93" s="58"/>
      <c r="N93" s="58"/>
      <c r="O93" s="64"/>
      <c r="P93" s="64"/>
      <c r="Q93" s="64"/>
      <c r="R93" s="58" t="str">
        <f>'Component OPR Dump'!F57</f>
        <v/>
      </c>
      <c r="S93" s="58" t="str">
        <f>'Component OPR Dump'!D57</f>
        <v/>
      </c>
      <c r="T93" s="58" t="str">
        <f>'Component OPR Dump'!I57</f>
        <v/>
      </c>
      <c r="U93" s="58" t="str">
        <f>'Component OPR Dump'!H57</f>
        <v/>
      </c>
      <c r="V93" s="58" t="str">
        <f>'Component OPR Dump'!G57</f>
        <v/>
      </c>
      <c r="W93" s="58" t="str">
        <f>'Component OPR Dump'!J57</f>
        <v/>
      </c>
      <c r="X93" s="48" t="str">
        <f>iferror(sumif('Raw Data'!$Q:$Q,$A93,'Raw Data'!L:L)/countif('Raw Data'!$Q:$Q,$A93), )</f>
        <v/>
      </c>
    </row>
    <row r="94" ht="15.0" customHeight="1">
      <c r="A94" s="70"/>
      <c r="B94" s="48">
        <f>iferror((sumif('Raw Data'!$Q:$Q,$A94,'Raw Data'!P:P)/countif('Raw Data'!$Q:$Q,$A94))+R94+(T94/3),0)</f>
        <v>0</v>
      </c>
      <c r="C94" s="48">
        <f t="array" ref="C94">max(if('Raw Data'!$Q:$Q=$A94,'Raw Data'!$P:$P))</f>
        <v>0</v>
      </c>
      <c r="D94" s="58"/>
      <c r="E94" s="58">
        <f t="array" ref="E94">max(if('Raw Data'!$Q:$Q=$A94,'Raw Data'!$E:$E))</f>
        <v>0</v>
      </c>
      <c r="F94" s="58"/>
      <c r="G94" s="58">
        <f t="array" ref="G94">max(if('Raw Data'!$Q:$Q=$A94,'Raw Data'!$F:$F))</f>
        <v>0</v>
      </c>
      <c r="H94" s="58"/>
      <c r="I94" s="58"/>
      <c r="J94" s="58"/>
      <c r="K94" s="48"/>
      <c r="L94" s="48"/>
      <c r="M94" s="58"/>
      <c r="N94" s="58"/>
      <c r="O94" s="64"/>
      <c r="P94" s="64"/>
      <c r="Q94" s="64"/>
      <c r="R94" s="58" t="str">
        <f>'Component OPR Dump'!F58</f>
        <v/>
      </c>
      <c r="S94" s="58" t="str">
        <f>'Component OPR Dump'!D58</f>
        <v/>
      </c>
      <c r="T94" s="58" t="str">
        <f>'Component OPR Dump'!I58</f>
        <v/>
      </c>
      <c r="U94" s="58" t="str">
        <f>'Component OPR Dump'!H58</f>
        <v/>
      </c>
      <c r="V94" s="58" t="str">
        <f>'Component OPR Dump'!G58</f>
        <v/>
      </c>
      <c r="W94" s="58" t="str">
        <f>'Component OPR Dump'!J58</f>
        <v/>
      </c>
      <c r="X94" s="48" t="str">
        <f>iferror(sumif('Raw Data'!$Q:$Q,$A94,'Raw Data'!L:L)/countif('Raw Data'!$Q:$Q,$A94), )</f>
        <v/>
      </c>
    </row>
    <row r="95" ht="15.0" customHeight="1">
      <c r="A95" s="70"/>
      <c r="B95" s="48">
        <f>iferror((sumif('Raw Data'!$Q:$Q,$A95,'Raw Data'!P:P)/countif('Raw Data'!$Q:$Q,$A95))+R95+(T95/3),0)</f>
        <v>0</v>
      </c>
      <c r="C95" s="48">
        <f t="array" ref="C95">max(if('Raw Data'!$Q:$Q=$A95,'Raw Data'!$P:$P))</f>
        <v>0</v>
      </c>
      <c r="D95" s="58"/>
      <c r="E95" s="58">
        <f t="array" ref="E95">max(if('Raw Data'!$Q:$Q=$A95,'Raw Data'!$E:$E))</f>
        <v>0</v>
      </c>
      <c r="F95" s="58"/>
      <c r="G95" s="58">
        <f t="array" ref="G95">max(if('Raw Data'!$Q:$Q=$A95,'Raw Data'!$F:$F))</f>
        <v>0</v>
      </c>
      <c r="H95" s="58"/>
      <c r="I95" s="58"/>
      <c r="J95" s="58"/>
      <c r="K95" s="48"/>
      <c r="L95" s="48"/>
      <c r="M95" s="58"/>
      <c r="N95" s="58"/>
      <c r="O95" s="64"/>
      <c r="P95" s="64"/>
      <c r="Q95" s="64"/>
      <c r="R95" s="58" t="str">
        <f>'Component OPR Dump'!F59</f>
        <v/>
      </c>
      <c r="S95" s="58" t="str">
        <f>'Component OPR Dump'!D59</f>
        <v/>
      </c>
      <c r="T95" s="58" t="str">
        <f>'Component OPR Dump'!I59</f>
        <v/>
      </c>
      <c r="U95" s="58" t="str">
        <f>'Component OPR Dump'!H59</f>
        <v/>
      </c>
      <c r="V95" s="58" t="str">
        <f>'Component OPR Dump'!G59</f>
        <v/>
      </c>
      <c r="W95" s="58" t="str">
        <f>'Component OPR Dump'!J59</f>
        <v/>
      </c>
      <c r="X95" s="48" t="str">
        <f>iferror(sumif('Raw Data'!$Q:$Q,$A95,'Raw Data'!L:L)/countif('Raw Data'!$Q:$Q,$A95), )</f>
        <v/>
      </c>
    </row>
    <row r="96" ht="15.0" customHeight="1">
      <c r="A96" s="70"/>
      <c r="B96" s="48">
        <f>iferror((sumif('Raw Data'!$Q:$Q,$A96,'Raw Data'!P:P)/countif('Raw Data'!$Q:$Q,$A96))+R96+(T96/3),0)</f>
        <v>0</v>
      </c>
      <c r="C96" s="48">
        <f t="array" ref="C96">max(if('Raw Data'!$Q:$Q=$A96,'Raw Data'!$P:$P))</f>
        <v>0</v>
      </c>
      <c r="D96" s="58"/>
      <c r="E96" s="58">
        <f t="array" ref="E96">max(if('Raw Data'!$Q:$Q=$A96,'Raw Data'!$E:$E))</f>
        <v>0</v>
      </c>
      <c r="F96" s="58"/>
      <c r="G96" s="58">
        <f t="array" ref="G96">max(if('Raw Data'!$Q:$Q=$A96,'Raw Data'!$F:$F))</f>
        <v>0</v>
      </c>
      <c r="H96" s="58"/>
      <c r="I96" s="58"/>
      <c r="J96" s="58"/>
      <c r="K96" s="48"/>
      <c r="L96" s="48"/>
      <c r="M96" s="58"/>
      <c r="N96" s="58"/>
      <c r="O96" s="64"/>
      <c r="P96" s="64"/>
      <c r="Q96" s="64"/>
      <c r="R96" s="58" t="str">
        <f>'Component OPR Dump'!F60</f>
        <v/>
      </c>
      <c r="S96" s="58" t="str">
        <f>'Component OPR Dump'!D60</f>
        <v/>
      </c>
      <c r="T96" s="58" t="str">
        <f>'Component OPR Dump'!I60</f>
        <v/>
      </c>
      <c r="U96" s="58" t="str">
        <f>'Component OPR Dump'!H60</f>
        <v/>
      </c>
      <c r="V96" s="58" t="str">
        <f>'Component OPR Dump'!G60</f>
        <v/>
      </c>
      <c r="W96" s="58" t="str">
        <f>'Component OPR Dump'!J60</f>
        <v/>
      </c>
      <c r="X96" s="48" t="str">
        <f>iferror(sumif('Raw Data'!$Q:$Q,$A96,'Raw Data'!L:L)/countif('Raw Data'!$Q:$Q,$A96), )</f>
        <v/>
      </c>
    </row>
    <row r="97" ht="15.0" customHeight="1">
      <c r="A97" s="70"/>
      <c r="B97" s="48">
        <f>iferror((sumif('Raw Data'!$Q:$Q,$A97,'Raw Data'!P:P)/countif('Raw Data'!$Q:$Q,$A97))+R97+(T97/3),0)</f>
        <v>0</v>
      </c>
      <c r="C97" s="48">
        <f t="array" ref="C97">max(if('Raw Data'!$Q:$Q=$A97,'Raw Data'!$P:$P))</f>
        <v>0</v>
      </c>
      <c r="D97" s="58"/>
      <c r="E97" s="58">
        <f t="array" ref="E97">max(if('Raw Data'!$Q:$Q=$A97,'Raw Data'!$E:$E))</f>
        <v>0</v>
      </c>
      <c r="F97" s="58"/>
      <c r="G97" s="58">
        <f t="array" ref="G97">max(if('Raw Data'!$Q:$Q=$A97,'Raw Data'!$F:$F))</f>
        <v>0</v>
      </c>
      <c r="H97" s="58"/>
      <c r="I97" s="58"/>
      <c r="J97" s="58"/>
      <c r="K97" s="48"/>
      <c r="L97" s="48"/>
      <c r="M97" s="58"/>
      <c r="N97" s="58"/>
      <c r="O97" s="64"/>
      <c r="P97" s="64"/>
      <c r="Q97" s="64"/>
      <c r="R97" s="58" t="str">
        <f>'Component OPR Dump'!F61</f>
        <v/>
      </c>
      <c r="S97" s="58" t="str">
        <f>'Component OPR Dump'!D61</f>
        <v/>
      </c>
      <c r="T97" s="58" t="str">
        <f>'Component OPR Dump'!I61</f>
        <v/>
      </c>
      <c r="U97" s="58" t="str">
        <f>'Component OPR Dump'!H61</f>
        <v/>
      </c>
      <c r="V97" s="58" t="str">
        <f>'Component OPR Dump'!G61</f>
        <v/>
      </c>
      <c r="W97" s="58" t="str">
        <f>'Component OPR Dump'!J61</f>
        <v/>
      </c>
      <c r="X97" s="48" t="str">
        <f>iferror(sumif('Raw Data'!$Q:$Q,$A97,'Raw Data'!L:L)/countif('Raw Data'!$Q:$Q,$A97), )</f>
        <v/>
      </c>
    </row>
    <row r="98" ht="15.0" customHeight="1">
      <c r="A98" s="70"/>
      <c r="B98" s="48">
        <f>iferror((sumif('Raw Data'!$Q:$Q,$A98,'Raw Data'!P:P)/countif('Raw Data'!$Q:$Q,$A98))+R98+(T98/3),0)</f>
        <v>0</v>
      </c>
      <c r="C98" s="48">
        <f t="array" ref="C98">max(if('Raw Data'!$Q:$Q=$A98,'Raw Data'!$P:$P))</f>
        <v>0</v>
      </c>
      <c r="D98" s="58"/>
      <c r="E98" s="58">
        <f t="array" ref="E98">max(if('Raw Data'!$Q:$Q=$A98,'Raw Data'!$E:$E))</f>
        <v>0</v>
      </c>
      <c r="F98" s="58"/>
      <c r="G98" s="58">
        <f t="array" ref="G98">max(if('Raw Data'!$Q:$Q=$A98,'Raw Data'!$F:$F))</f>
        <v>0</v>
      </c>
      <c r="H98" s="58"/>
      <c r="I98" s="58"/>
      <c r="J98" s="58"/>
      <c r="K98" s="48"/>
      <c r="L98" s="48"/>
      <c r="M98" s="58"/>
      <c r="N98" s="58"/>
      <c r="O98" s="64"/>
      <c r="P98" s="64"/>
      <c r="Q98" s="64"/>
      <c r="R98" s="58" t="str">
        <f>'Component OPR Dump'!F62</f>
        <v/>
      </c>
      <c r="S98" s="58" t="str">
        <f>'Component OPR Dump'!D62</f>
        <v/>
      </c>
      <c r="T98" s="58" t="str">
        <f>'Component OPR Dump'!I62</f>
        <v/>
      </c>
      <c r="U98" s="58" t="str">
        <f>'Component OPR Dump'!H62</f>
        <v/>
      </c>
      <c r="V98" s="58" t="str">
        <f>'Component OPR Dump'!G62</f>
        <v/>
      </c>
      <c r="W98" s="58" t="str">
        <f>'Component OPR Dump'!J62</f>
        <v/>
      </c>
      <c r="X98" s="48" t="str">
        <f>iferror(sumif('Raw Data'!$Q:$Q,$A98,'Raw Data'!L:L)/countif('Raw Data'!$Q:$Q,$A98), )</f>
        <v/>
      </c>
    </row>
    <row r="99" ht="15.0" customHeight="1">
      <c r="A99" s="70"/>
      <c r="B99" s="48">
        <f>iferror((sumif('Raw Data'!$Q:$Q,$A99,'Raw Data'!P:P)/countif('Raw Data'!$Q:$Q,$A99))+R99+(T99/3),0)</f>
        <v>0</v>
      </c>
      <c r="C99" s="48">
        <f t="array" ref="C99">max(if('Raw Data'!$Q:$Q=$A99,'Raw Data'!$P:$P))</f>
        <v>0</v>
      </c>
      <c r="D99" s="58"/>
      <c r="E99" s="58">
        <f t="array" ref="E99">max(if('Raw Data'!$Q:$Q=$A99,'Raw Data'!$E:$E))</f>
        <v>0</v>
      </c>
      <c r="F99" s="58"/>
      <c r="G99" s="58">
        <f t="array" ref="G99">max(if('Raw Data'!$Q:$Q=$A99,'Raw Data'!$F:$F))</f>
        <v>0</v>
      </c>
      <c r="H99" s="58"/>
      <c r="I99" s="58"/>
      <c r="J99" s="58"/>
      <c r="K99" s="48"/>
      <c r="L99" s="48"/>
      <c r="M99" s="58"/>
      <c r="N99" s="58"/>
      <c r="O99" s="64"/>
      <c r="P99" s="64"/>
      <c r="Q99" s="64"/>
      <c r="R99" s="58" t="str">
        <f>'Component OPR Dump'!F63</f>
        <v/>
      </c>
      <c r="S99" s="58" t="str">
        <f>'Component OPR Dump'!D63</f>
        <v/>
      </c>
      <c r="T99" s="58" t="str">
        <f>'Component OPR Dump'!I63</f>
        <v/>
      </c>
      <c r="U99" s="58" t="str">
        <f>'Component OPR Dump'!H63</f>
        <v/>
      </c>
      <c r="V99" s="58" t="str">
        <f>'Component OPR Dump'!G63</f>
        <v/>
      </c>
      <c r="W99" s="58" t="str">
        <f>'Component OPR Dump'!J63</f>
        <v/>
      </c>
      <c r="X99" s="48" t="str">
        <f>iferror(sumif('Raw Data'!$Q:$Q,$A99,'Raw Data'!L:L)/countif('Raw Data'!$Q:$Q,$A99), )</f>
        <v/>
      </c>
    </row>
    <row r="100" ht="15.0" customHeight="1">
      <c r="A100" s="70"/>
      <c r="B100" s="48">
        <f>iferror((sumif('Raw Data'!$Q:$Q,$A100,'Raw Data'!P:P)/countif('Raw Data'!$Q:$Q,$A100))+R100+(T100/3),0)</f>
        <v>0</v>
      </c>
      <c r="C100" s="48">
        <f t="array" ref="C100">max(if('Raw Data'!$Q:$Q=$A100,'Raw Data'!$P:$P))</f>
        <v>0</v>
      </c>
      <c r="D100" s="58"/>
      <c r="E100" s="58">
        <f t="array" ref="E100">max(if('Raw Data'!$Q:$Q=$A100,'Raw Data'!$E:$E))</f>
        <v>0</v>
      </c>
      <c r="F100" s="58"/>
      <c r="G100" s="58">
        <f t="array" ref="G100">max(if('Raw Data'!$Q:$Q=$A100,'Raw Data'!$F:$F))</f>
        <v>0</v>
      </c>
      <c r="H100" s="58"/>
      <c r="I100" s="58"/>
      <c r="J100" s="58"/>
      <c r="K100" s="48"/>
      <c r="L100" s="48"/>
      <c r="M100" s="58"/>
      <c r="N100" s="58"/>
      <c r="O100" s="64"/>
      <c r="P100" s="64"/>
      <c r="Q100" s="64"/>
      <c r="R100" s="58" t="str">
        <f>'Component OPR Dump'!F64</f>
        <v/>
      </c>
      <c r="S100" s="58" t="str">
        <f>'Component OPR Dump'!D64</f>
        <v/>
      </c>
      <c r="T100" s="58" t="str">
        <f>'Component OPR Dump'!I64</f>
        <v/>
      </c>
      <c r="U100" s="58" t="str">
        <f>'Component OPR Dump'!H64</f>
        <v/>
      </c>
      <c r="V100" s="58" t="str">
        <f>'Component OPR Dump'!G64</f>
        <v/>
      </c>
      <c r="W100" s="58" t="str">
        <f>'Component OPR Dump'!J64</f>
        <v/>
      </c>
      <c r="X100" s="48" t="str">
        <f>iferror(sumif('Raw Data'!$Q:$Q,$A100,'Raw Data'!L:L)/countif('Raw Data'!$Q:$Q,$A100), )</f>
        <v/>
      </c>
    </row>
    <row r="101" ht="15.0" customHeight="1">
      <c r="A101" s="70"/>
      <c r="B101" s="48">
        <f>iferror((sumif('Raw Data'!$Q:$Q,$A101,'Raw Data'!P:P)/countif('Raw Data'!$Q:$Q,$A101))+R101+(T101/3),0)</f>
        <v>0</v>
      </c>
      <c r="C101" s="48">
        <f t="array" ref="C101">max(if('Raw Data'!$Q:$Q=$A101,'Raw Data'!$P:$P))</f>
        <v>0</v>
      </c>
      <c r="D101" s="58"/>
      <c r="E101" s="58">
        <f t="array" ref="E101">max(if('Raw Data'!$Q:$Q=$A101,'Raw Data'!$E:$E))</f>
        <v>0</v>
      </c>
      <c r="F101" s="58"/>
      <c r="G101" s="58">
        <f t="array" ref="G101">max(if('Raw Data'!$Q:$Q=$A101,'Raw Data'!$F:$F))</f>
        <v>0</v>
      </c>
      <c r="H101" s="58"/>
      <c r="I101" s="58"/>
      <c r="J101" s="58"/>
      <c r="K101" s="48"/>
      <c r="L101" s="48"/>
      <c r="M101" s="58"/>
      <c r="N101" s="58"/>
      <c r="O101" s="64"/>
      <c r="P101" s="64"/>
      <c r="Q101" s="64"/>
      <c r="R101" s="58" t="str">
        <f>'Component OPR Dump'!F65</f>
        <v/>
      </c>
      <c r="S101" s="58" t="str">
        <f>'Component OPR Dump'!D65</f>
        <v/>
      </c>
      <c r="T101" s="58" t="str">
        <f>'Component OPR Dump'!I65</f>
        <v/>
      </c>
      <c r="U101" s="58" t="str">
        <f>'Component OPR Dump'!H65</f>
        <v/>
      </c>
      <c r="V101" s="58" t="str">
        <f>'Component OPR Dump'!G65</f>
        <v/>
      </c>
      <c r="W101" s="58" t="str">
        <f>'Component OPR Dump'!J65</f>
        <v/>
      </c>
      <c r="X101" s="48" t="str">
        <f>iferror(sumif('Raw Data'!$Q:$Q,$A101,'Raw Data'!L:L)/countif('Raw Data'!$Q:$Q,$A101), )</f>
        <v/>
      </c>
    </row>
    <row r="102" ht="15.0" customHeight="1">
      <c r="A102" s="70"/>
      <c r="B102" s="48">
        <f>iferror((sumif('Raw Data'!$Q:$Q,$A102,'Raw Data'!P:P)/countif('Raw Data'!$Q:$Q,$A102))+R102+(T102/3),0)</f>
        <v>0</v>
      </c>
      <c r="C102" s="48">
        <f t="array" ref="C102">max(if('Raw Data'!$Q:$Q=$A102,'Raw Data'!$P:$P))</f>
        <v>0</v>
      </c>
      <c r="D102" s="58"/>
      <c r="E102" s="58">
        <f t="array" ref="E102">max(if('Raw Data'!$Q:$Q=$A102,'Raw Data'!$E:$E))</f>
        <v>0</v>
      </c>
      <c r="F102" s="58"/>
      <c r="G102" s="58">
        <f t="array" ref="G102">max(if('Raw Data'!$Q:$Q=$A102,'Raw Data'!$F:$F))</f>
        <v>0</v>
      </c>
      <c r="H102" s="58"/>
      <c r="I102" s="58"/>
      <c r="J102" s="58"/>
      <c r="K102" s="48"/>
      <c r="L102" s="48"/>
      <c r="M102" s="58"/>
      <c r="N102" s="58"/>
      <c r="O102" s="64"/>
      <c r="P102" s="64"/>
      <c r="Q102" s="64"/>
      <c r="R102" s="58" t="str">
        <f>'Component OPR Dump'!F66</f>
        <v/>
      </c>
      <c r="S102" s="58" t="str">
        <f>'Component OPR Dump'!D66</f>
        <v/>
      </c>
      <c r="T102" s="58" t="str">
        <f>'Component OPR Dump'!I66</f>
        <v/>
      </c>
      <c r="U102" s="58" t="str">
        <f>'Component OPR Dump'!H66</f>
        <v/>
      </c>
      <c r="V102" s="58" t="str">
        <f>'Component OPR Dump'!G66</f>
        <v/>
      </c>
      <c r="W102" s="58" t="str">
        <f>'Component OPR Dump'!J66</f>
        <v/>
      </c>
      <c r="X102" s="48" t="str">
        <f>iferror(sumif('Raw Data'!$Q:$Q,$A102,'Raw Data'!L:L)/countif('Raw Data'!$Q:$Q,$A102), )</f>
        <v/>
      </c>
    </row>
    <row r="103" ht="15.0" customHeight="1">
      <c r="A103" s="70"/>
      <c r="B103" s="48">
        <f>iferror((sumif('Raw Data'!$Q:$Q,$A103,'Raw Data'!P:P)/countif('Raw Data'!$Q:$Q,$A103))+R103+(T103/3),0)</f>
        <v>0</v>
      </c>
      <c r="C103" s="48">
        <f t="array" ref="C103">max(if('Raw Data'!$Q:$Q=$A103,'Raw Data'!$P:$P))</f>
        <v>0</v>
      </c>
      <c r="D103" s="58"/>
      <c r="E103" s="58">
        <f t="array" ref="E103">max(if('Raw Data'!$Q:$Q=$A103,'Raw Data'!$E:$E))</f>
        <v>0</v>
      </c>
      <c r="F103" s="58"/>
      <c r="G103" s="58">
        <f t="array" ref="G103">max(if('Raw Data'!$Q:$Q=$A103,'Raw Data'!$F:$F))</f>
        <v>0</v>
      </c>
      <c r="H103" s="58"/>
      <c r="I103" s="58"/>
      <c r="J103" s="58"/>
      <c r="K103" s="48"/>
      <c r="L103" s="48"/>
      <c r="M103" s="58"/>
      <c r="N103" s="58"/>
      <c r="O103" s="64"/>
      <c r="P103" s="64"/>
      <c r="Q103" s="64"/>
      <c r="R103" s="58" t="str">
        <f>'Component OPR Dump'!F67</f>
        <v/>
      </c>
      <c r="S103" s="58" t="str">
        <f>'Component OPR Dump'!D67</f>
        <v/>
      </c>
      <c r="T103" s="58" t="str">
        <f>'Component OPR Dump'!I67</f>
        <v/>
      </c>
      <c r="U103" s="58" t="str">
        <f>'Component OPR Dump'!H67</f>
        <v/>
      </c>
      <c r="V103" s="58" t="str">
        <f>'Component OPR Dump'!G67</f>
        <v/>
      </c>
      <c r="W103" s="58" t="str">
        <f>'Component OPR Dump'!J67</f>
        <v/>
      </c>
      <c r="X103" s="48" t="str">
        <f>iferror(sumif('Raw Data'!$Q:$Q,$A103,'Raw Data'!L:L)/countif('Raw Data'!$Q:$Q,$A103), )</f>
        <v/>
      </c>
    </row>
    <row r="104" ht="15.0" customHeight="1">
      <c r="A104" s="70"/>
      <c r="B104" s="48">
        <f>iferror((sumif('Raw Data'!$Q:$Q,$A104,'Raw Data'!P:P)/countif('Raw Data'!$Q:$Q,$A104))+R104+(T104/3),0)</f>
        <v>0</v>
      </c>
      <c r="C104" s="48">
        <f t="array" ref="C104">max(if('Raw Data'!$Q:$Q=$A104,'Raw Data'!$P:$P))</f>
        <v>0</v>
      </c>
      <c r="D104" s="58"/>
      <c r="E104" s="58">
        <f t="array" ref="E104">max(if('Raw Data'!$Q:$Q=$A104,'Raw Data'!$E:$E))</f>
        <v>0</v>
      </c>
      <c r="F104" s="58"/>
      <c r="G104" s="58">
        <f t="array" ref="G104">max(if('Raw Data'!$Q:$Q=$A104,'Raw Data'!$F:$F))</f>
        <v>0</v>
      </c>
      <c r="H104" s="58"/>
      <c r="I104" s="58"/>
      <c r="J104" s="58"/>
      <c r="K104" s="48"/>
      <c r="L104" s="48"/>
      <c r="M104" s="58"/>
      <c r="N104" s="58"/>
      <c r="O104" s="64"/>
      <c r="P104" s="64"/>
      <c r="Q104" s="64"/>
      <c r="R104" s="58" t="str">
        <f>'Component OPR Dump'!F68</f>
        <v/>
      </c>
      <c r="S104" s="58" t="str">
        <f>'Component OPR Dump'!D68</f>
        <v/>
      </c>
      <c r="T104" s="58" t="str">
        <f>'Component OPR Dump'!I68</f>
        <v/>
      </c>
      <c r="U104" s="58" t="str">
        <f>'Component OPR Dump'!H68</f>
        <v/>
      </c>
      <c r="V104" s="58" t="str">
        <f>'Component OPR Dump'!G68</f>
        <v/>
      </c>
      <c r="W104" s="58" t="str">
        <f>'Component OPR Dump'!J68</f>
        <v/>
      </c>
      <c r="X104" s="48" t="str">
        <f>iferror(sumif('Raw Data'!$Q:$Q,$A104,'Raw Data'!L:L)/countif('Raw Data'!$Q:$Q,$A104), )</f>
        <v/>
      </c>
    </row>
    <row r="105" ht="15.0" customHeight="1">
      <c r="A105" s="70"/>
      <c r="B105" s="48">
        <f>iferror((sumif('Raw Data'!$Q:$Q,$A105,'Raw Data'!P:P)/countif('Raw Data'!$Q:$Q,$A105))+R105+(T105/3),0)</f>
        <v>0</v>
      </c>
      <c r="C105" s="48">
        <f t="array" ref="C105">max(if('Raw Data'!$Q:$Q=$A105,'Raw Data'!$P:$P))</f>
        <v>0</v>
      </c>
      <c r="D105" s="58"/>
      <c r="E105" s="58">
        <f t="array" ref="E105">max(if('Raw Data'!$Q:$Q=$A105,'Raw Data'!$E:$E))</f>
        <v>0</v>
      </c>
      <c r="F105" s="58"/>
      <c r="G105" s="58">
        <f t="array" ref="G105">max(if('Raw Data'!$Q:$Q=$A105,'Raw Data'!$F:$F))</f>
        <v>0</v>
      </c>
      <c r="H105" s="58"/>
      <c r="I105" s="58"/>
      <c r="J105" s="58"/>
      <c r="K105" s="48"/>
      <c r="L105" s="48"/>
      <c r="M105" s="58"/>
      <c r="N105" s="58"/>
      <c r="O105" s="64"/>
      <c r="P105" s="64"/>
      <c r="Q105" s="64"/>
      <c r="R105" s="58" t="str">
        <f>'Component OPR Dump'!F69</f>
        <v/>
      </c>
      <c r="S105" s="58" t="str">
        <f>'Component OPR Dump'!D69</f>
        <v/>
      </c>
      <c r="T105" s="58" t="str">
        <f>'Component OPR Dump'!I69</f>
        <v/>
      </c>
      <c r="U105" s="58" t="str">
        <f>'Component OPR Dump'!H69</f>
        <v/>
      </c>
      <c r="V105" s="58" t="str">
        <f>'Component OPR Dump'!G69</f>
        <v/>
      </c>
      <c r="W105" s="58" t="str">
        <f>'Component OPR Dump'!J69</f>
        <v/>
      </c>
      <c r="X105" s="48" t="str">
        <f>iferror(sumif('Raw Data'!$Q:$Q,$A105,'Raw Data'!L:L)/countif('Raw Data'!$Q:$Q,$A105), )</f>
        <v/>
      </c>
    </row>
    <row r="106" ht="15.0" customHeight="1">
      <c r="A106" s="70"/>
      <c r="B106" s="48">
        <f>iferror((sumif('Raw Data'!$Q:$Q,$A106,'Raw Data'!P:P)/countif('Raw Data'!$Q:$Q,$A106))+R106+(T106/3),0)</f>
        <v>0</v>
      </c>
      <c r="C106" s="48">
        <f t="array" ref="C106">max(if('Raw Data'!$Q:$Q=$A106,'Raw Data'!$P:$P))</f>
        <v>0</v>
      </c>
      <c r="D106" s="58"/>
      <c r="E106" s="58">
        <f t="array" ref="E106">max(if('Raw Data'!$Q:$Q=$A106,'Raw Data'!$E:$E))</f>
        <v>0</v>
      </c>
      <c r="F106" s="58"/>
      <c r="G106" s="58">
        <f t="array" ref="G106">max(if('Raw Data'!$Q:$Q=$A106,'Raw Data'!$F:$F))</f>
        <v>0</v>
      </c>
      <c r="H106" s="58"/>
      <c r="I106" s="58"/>
      <c r="J106" s="58"/>
      <c r="K106" s="48"/>
      <c r="L106" s="48"/>
      <c r="M106" s="58"/>
      <c r="N106" s="58"/>
      <c r="O106" s="64"/>
      <c r="P106" s="64"/>
      <c r="Q106" s="64"/>
      <c r="R106" s="58" t="str">
        <f>'Component OPR Dump'!F70</f>
        <v/>
      </c>
      <c r="S106" s="58" t="str">
        <f>'Component OPR Dump'!D70</f>
        <v/>
      </c>
      <c r="T106" s="58" t="str">
        <f>'Component OPR Dump'!I70</f>
        <v/>
      </c>
      <c r="U106" s="58" t="str">
        <f>'Component OPR Dump'!H70</f>
        <v/>
      </c>
      <c r="V106" s="58" t="str">
        <f>'Component OPR Dump'!G70</f>
        <v/>
      </c>
      <c r="W106" s="58" t="str">
        <f>'Component OPR Dump'!J70</f>
        <v/>
      </c>
      <c r="X106" s="48" t="str">
        <f>iferror(sumif('Raw Data'!$Q:$Q,$A106,'Raw Data'!L:L)/countif('Raw Data'!$Q:$Q,$A106), )</f>
        <v/>
      </c>
    </row>
    <row r="107" ht="15.0" customHeight="1">
      <c r="A107" s="70"/>
      <c r="B107" s="48">
        <f>iferror((sumif('Raw Data'!$Q:$Q,$A107,'Raw Data'!P:P)/countif('Raw Data'!$Q:$Q,$A107))+R107+(T107/3),0)</f>
        <v>0</v>
      </c>
      <c r="C107" s="48">
        <f t="array" ref="C107">max(if('Raw Data'!$Q:$Q=$A107,'Raw Data'!$P:$P))</f>
        <v>0</v>
      </c>
      <c r="D107" s="58"/>
      <c r="E107" s="58">
        <f t="array" ref="E107">max(if('Raw Data'!$Q:$Q=$A107,'Raw Data'!$E:$E))</f>
        <v>0</v>
      </c>
      <c r="F107" s="58"/>
      <c r="G107" s="58">
        <f t="array" ref="G107">max(if('Raw Data'!$Q:$Q=$A107,'Raw Data'!$F:$F))</f>
        <v>0</v>
      </c>
      <c r="H107" s="58"/>
      <c r="I107" s="58"/>
      <c r="J107" s="58"/>
      <c r="K107" s="48"/>
      <c r="L107" s="48"/>
      <c r="M107" s="58"/>
      <c r="N107" s="58"/>
      <c r="O107" s="64"/>
      <c r="P107" s="64"/>
      <c r="Q107" s="64"/>
      <c r="R107" s="58" t="str">
        <f>'Component OPR Dump'!F71</f>
        <v/>
      </c>
      <c r="S107" s="58" t="str">
        <f>'Component OPR Dump'!D71</f>
        <v/>
      </c>
      <c r="T107" s="58" t="str">
        <f>'Component OPR Dump'!I71</f>
        <v/>
      </c>
      <c r="U107" s="58" t="str">
        <f>'Component OPR Dump'!H71</f>
        <v/>
      </c>
      <c r="V107" s="58" t="str">
        <f>'Component OPR Dump'!G71</f>
        <v/>
      </c>
      <c r="W107" s="58" t="str">
        <f>'Component OPR Dump'!J71</f>
        <v/>
      </c>
      <c r="X107" s="48" t="str">
        <f>iferror(sumif('Raw Data'!$Q:$Q,$A107,'Raw Data'!L:L)/countif('Raw Data'!$Q:$Q,$A107), )</f>
        <v/>
      </c>
    </row>
    <row r="108" ht="15.0" customHeight="1">
      <c r="A108" s="70"/>
      <c r="B108" s="48">
        <f>iferror((sumif('Raw Data'!$Q:$Q,$A108,'Raw Data'!P:P)/countif('Raw Data'!$Q:$Q,$A108))+R108+(T108/3),0)</f>
        <v>0</v>
      </c>
      <c r="C108" s="48">
        <f t="array" ref="C108">max(if('Raw Data'!$Q:$Q=$A108,'Raw Data'!$P:$P))</f>
        <v>0</v>
      </c>
      <c r="D108" s="58"/>
      <c r="E108" s="58">
        <f t="array" ref="E108">max(if('Raw Data'!$Q:$Q=$A108,'Raw Data'!$E:$E))</f>
        <v>0</v>
      </c>
      <c r="F108" s="58"/>
      <c r="G108" s="58">
        <f t="array" ref="G108">max(if('Raw Data'!$Q:$Q=$A108,'Raw Data'!$F:$F))</f>
        <v>0</v>
      </c>
      <c r="H108" s="58"/>
      <c r="I108" s="58"/>
      <c r="J108" s="58"/>
      <c r="K108" s="48"/>
      <c r="L108" s="48"/>
      <c r="M108" s="58"/>
      <c r="N108" s="58"/>
      <c r="O108" s="64"/>
      <c r="P108" s="64"/>
      <c r="Q108" s="64"/>
      <c r="R108" s="58" t="str">
        <f>'Component OPR Dump'!F72</f>
        <v/>
      </c>
      <c r="S108" s="58" t="str">
        <f>'Component OPR Dump'!D72</f>
        <v/>
      </c>
      <c r="T108" s="58" t="str">
        <f>'Component OPR Dump'!I72</f>
        <v/>
      </c>
      <c r="U108" s="58" t="str">
        <f>'Component OPR Dump'!H72</f>
        <v/>
      </c>
      <c r="V108" s="58" t="str">
        <f>'Component OPR Dump'!G72</f>
        <v/>
      </c>
      <c r="W108" s="58" t="str">
        <f>'Component OPR Dump'!J72</f>
        <v/>
      </c>
      <c r="X108" s="48" t="str">
        <f>iferror(sumif('Raw Data'!$Q:$Q,$A108,'Raw Data'!L:L)/countif('Raw Data'!$Q:$Q,$A108), )</f>
        <v/>
      </c>
    </row>
    <row r="109" ht="15.0" customHeight="1">
      <c r="A109" s="70"/>
      <c r="B109" s="48">
        <f>iferror((sumif('Raw Data'!$Q:$Q,$A109,'Raw Data'!P:P)/countif('Raw Data'!$Q:$Q,$A109))+R109+(T109/3),0)</f>
        <v>0</v>
      </c>
      <c r="C109" s="48">
        <f t="array" ref="C109">max(if('Raw Data'!$Q:$Q=$A109,'Raw Data'!$P:$P))</f>
        <v>0</v>
      </c>
      <c r="D109" s="58"/>
      <c r="E109" s="58">
        <f t="array" ref="E109">max(if('Raw Data'!$Q:$Q=$A109,'Raw Data'!$E:$E))</f>
        <v>0</v>
      </c>
      <c r="F109" s="58"/>
      <c r="G109" s="58">
        <f t="array" ref="G109">max(if('Raw Data'!$Q:$Q=$A109,'Raw Data'!$F:$F))</f>
        <v>0</v>
      </c>
      <c r="H109" s="58"/>
      <c r="I109" s="58"/>
      <c r="J109" s="58"/>
      <c r="K109" s="48"/>
      <c r="L109" s="48"/>
      <c r="M109" s="58"/>
      <c r="N109" s="58"/>
      <c r="O109" s="64"/>
      <c r="P109" s="64"/>
      <c r="Q109" s="64"/>
      <c r="R109" s="58" t="str">
        <f>'Component OPR Dump'!F73</f>
        <v/>
      </c>
      <c r="S109" s="58" t="str">
        <f>'Component OPR Dump'!D73</f>
        <v/>
      </c>
      <c r="T109" s="58" t="str">
        <f>'Component OPR Dump'!I73</f>
        <v/>
      </c>
      <c r="U109" s="58" t="str">
        <f>'Component OPR Dump'!H73</f>
        <v/>
      </c>
      <c r="V109" s="58" t="str">
        <f>'Component OPR Dump'!G73</f>
        <v/>
      </c>
      <c r="W109" s="58" t="str">
        <f>'Component OPR Dump'!J73</f>
        <v/>
      </c>
      <c r="X109" s="48" t="str">
        <f>iferror(sumif('Raw Data'!$Q:$Q,$A109,'Raw Data'!L:L)/countif('Raw Data'!$Q:$Q,$A109), )</f>
        <v/>
      </c>
    </row>
    <row r="110" ht="15.0" customHeight="1">
      <c r="A110" s="70"/>
      <c r="B110" s="48">
        <f>iferror((sumif('Raw Data'!$Q:$Q,$A110,'Raw Data'!P:P)/countif('Raw Data'!$Q:$Q,$A110))+R110+(T110/3),0)</f>
        <v>0</v>
      </c>
      <c r="C110" s="48">
        <f t="array" ref="C110">max(if('Raw Data'!$Q:$Q=$A110,'Raw Data'!$P:$P))</f>
        <v>0</v>
      </c>
      <c r="D110" s="58"/>
      <c r="E110" s="58">
        <f t="array" ref="E110">max(if('Raw Data'!$Q:$Q=$A110,'Raw Data'!$E:$E))</f>
        <v>0</v>
      </c>
      <c r="F110" s="58"/>
      <c r="G110" s="58">
        <f t="array" ref="G110">max(if('Raw Data'!$Q:$Q=$A110,'Raw Data'!$F:$F))</f>
        <v>0</v>
      </c>
      <c r="H110" s="58"/>
      <c r="I110" s="58"/>
      <c r="J110" s="58"/>
      <c r="K110" s="48"/>
      <c r="L110" s="48"/>
      <c r="M110" s="58"/>
      <c r="N110" s="58"/>
      <c r="O110" s="64"/>
      <c r="P110" s="64"/>
      <c r="Q110" s="64"/>
      <c r="R110" s="58" t="str">
        <f>'Component OPR Dump'!F74</f>
        <v/>
      </c>
      <c r="S110" s="58" t="str">
        <f>'Component OPR Dump'!D74</f>
        <v/>
      </c>
      <c r="T110" s="58" t="str">
        <f>'Component OPR Dump'!I74</f>
        <v/>
      </c>
      <c r="U110" s="58" t="str">
        <f>'Component OPR Dump'!H74</f>
        <v/>
      </c>
      <c r="V110" s="58" t="str">
        <f>'Component OPR Dump'!G74</f>
        <v/>
      </c>
      <c r="W110" s="58" t="str">
        <f>'Component OPR Dump'!J74</f>
        <v/>
      </c>
      <c r="X110" s="48" t="str">
        <f>iferror(sumif('Raw Data'!$Q:$Q,$A110,'Raw Data'!L:L)/countif('Raw Data'!$Q:$Q,$A110), )</f>
        <v/>
      </c>
    </row>
    <row r="111" ht="15.0" customHeight="1">
      <c r="A111" s="70"/>
      <c r="B111" s="48">
        <f>iferror((sumif('Raw Data'!$Q:$Q,$A111,'Raw Data'!P:P)/countif('Raw Data'!$Q:$Q,$A111))+R111+(T111/3),0)</f>
        <v>0</v>
      </c>
      <c r="C111" s="48">
        <f t="array" ref="C111">max(if('Raw Data'!$Q:$Q=$A111,'Raw Data'!$P:$P))</f>
        <v>0</v>
      </c>
      <c r="D111" s="58"/>
      <c r="E111" s="58">
        <f t="array" ref="E111">max(if('Raw Data'!$Q:$Q=$A111,'Raw Data'!$E:$E))</f>
        <v>0</v>
      </c>
      <c r="F111" s="58"/>
      <c r="G111" s="58">
        <f t="array" ref="G111">max(if('Raw Data'!$Q:$Q=$A111,'Raw Data'!$F:$F))</f>
        <v>0</v>
      </c>
      <c r="H111" s="58"/>
      <c r="I111" s="58"/>
      <c r="J111" s="58"/>
      <c r="K111" s="48"/>
      <c r="L111" s="48"/>
      <c r="M111" s="58"/>
      <c r="N111" s="58"/>
      <c r="O111" s="64"/>
      <c r="P111" s="64"/>
      <c r="Q111" s="64"/>
      <c r="R111" s="58" t="str">
        <f>'Component OPR Dump'!F75</f>
        <v/>
      </c>
      <c r="S111" s="58" t="str">
        <f>'Component OPR Dump'!D75</f>
        <v/>
      </c>
      <c r="T111" s="58" t="str">
        <f>'Component OPR Dump'!I75</f>
        <v/>
      </c>
      <c r="U111" s="58" t="str">
        <f>'Component OPR Dump'!H75</f>
        <v/>
      </c>
      <c r="V111" s="58" t="str">
        <f>'Component OPR Dump'!G75</f>
        <v/>
      </c>
      <c r="W111" s="58" t="str">
        <f>'Component OPR Dump'!J75</f>
        <v/>
      </c>
      <c r="X111" s="48" t="str">
        <f>iferror(sumif('Raw Data'!$Q:$Q,$A111,'Raw Data'!L:L)/countif('Raw Data'!$Q:$Q,$A111), )</f>
        <v/>
      </c>
    </row>
    <row r="112" ht="15.0" customHeight="1">
      <c r="A112" s="70"/>
      <c r="B112" s="48">
        <f>iferror((sumif('Raw Data'!$Q:$Q,$A112,'Raw Data'!P:P)/countif('Raw Data'!$Q:$Q,$A112))+R112+(T112/3),0)</f>
        <v>0</v>
      </c>
      <c r="C112" s="48">
        <f t="array" ref="C112">max(if('Raw Data'!$Q:$Q=$A112,'Raw Data'!$P:$P))</f>
        <v>0</v>
      </c>
      <c r="D112" s="58"/>
      <c r="E112" s="58">
        <f t="array" ref="E112">max(if('Raw Data'!$Q:$Q=$A112,'Raw Data'!$E:$E))</f>
        <v>0</v>
      </c>
      <c r="F112" s="58"/>
      <c r="G112" s="58">
        <f t="array" ref="G112">max(if('Raw Data'!$Q:$Q=$A112,'Raw Data'!$F:$F))</f>
        <v>0</v>
      </c>
      <c r="H112" s="58"/>
      <c r="I112" s="58"/>
      <c r="J112" s="58"/>
      <c r="K112" s="48"/>
      <c r="L112" s="48"/>
      <c r="M112" s="58"/>
      <c r="N112" s="58"/>
      <c r="O112" s="64"/>
      <c r="P112" s="64"/>
      <c r="Q112" s="64"/>
      <c r="R112" s="58" t="str">
        <f>'Component OPR Dump'!F76</f>
        <v/>
      </c>
      <c r="S112" s="58" t="str">
        <f>'Component OPR Dump'!D76</f>
        <v/>
      </c>
      <c r="T112" s="58" t="str">
        <f>'Component OPR Dump'!I76</f>
        <v/>
      </c>
      <c r="U112" s="58" t="str">
        <f>'Component OPR Dump'!H76</f>
        <v/>
      </c>
      <c r="V112" s="58" t="str">
        <f>'Component OPR Dump'!G76</f>
        <v/>
      </c>
      <c r="W112" s="58" t="str">
        <f>'Component OPR Dump'!J76</f>
        <v/>
      </c>
      <c r="X112" s="48" t="str">
        <f>iferror(sumif('Raw Data'!$Q:$Q,$A112,'Raw Data'!L:L)/countif('Raw Data'!$Q:$Q,$A112), )</f>
        <v/>
      </c>
    </row>
  </sheetData>
  <mergeCells count="12">
    <mergeCell ref="D1:E1"/>
    <mergeCell ref="F1:G1"/>
    <mergeCell ref="H1:H2"/>
    <mergeCell ref="I1:J1"/>
    <mergeCell ref="N1:N2"/>
    <mergeCell ref="M1:M2"/>
    <mergeCell ref="B1:C1"/>
    <mergeCell ref="A1:A2"/>
    <mergeCell ref="O1:Q1"/>
    <mergeCell ref="R1:W1"/>
    <mergeCell ref="X1:X2"/>
    <mergeCell ref="K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3" width="8.71"/>
    <col customWidth="1" hidden="1" min="4" max="5" width="8.71"/>
    <col customWidth="1" min="6" max="8" width="8.71"/>
    <col customWidth="1" hidden="1" min="9" max="10" width="8.71"/>
    <col customWidth="1" min="11" max="23" width="8.71"/>
    <col customWidth="1" min="24" max="24" width="9.29"/>
  </cols>
  <sheetData>
    <row r="1">
      <c r="A1" s="2" t="s">
        <v>1</v>
      </c>
      <c r="B1" s="4" t="s">
        <v>3</v>
      </c>
      <c r="C1" s="7"/>
      <c r="D1" s="13" t="s">
        <v>5</v>
      </c>
      <c r="E1" s="7"/>
      <c r="F1" s="13" t="s">
        <v>7</v>
      </c>
      <c r="G1" s="7"/>
      <c r="H1" s="15" t="s">
        <v>8</v>
      </c>
      <c r="I1" s="13" t="s">
        <v>9</v>
      </c>
      <c r="J1" s="7"/>
      <c r="K1" s="4" t="s">
        <v>10</v>
      </c>
      <c r="L1" s="7"/>
      <c r="M1" s="15" t="s">
        <v>11</v>
      </c>
      <c r="N1" s="15" t="s">
        <v>12</v>
      </c>
      <c r="O1" s="22" t="s">
        <v>13</v>
      </c>
      <c r="P1" s="12"/>
      <c r="Q1" s="7"/>
      <c r="R1" s="9" t="s">
        <v>15</v>
      </c>
      <c r="S1" s="12"/>
      <c r="T1" s="12"/>
      <c r="U1" s="12"/>
      <c r="V1" s="12"/>
      <c r="W1" s="7"/>
      <c r="X1" s="31" t="s">
        <v>19</v>
      </c>
    </row>
    <row r="2" ht="1.5" customHeight="1">
      <c r="A2" s="28"/>
      <c r="B2" s="35" t="s">
        <v>22</v>
      </c>
      <c r="C2" s="35" t="s">
        <v>24</v>
      </c>
      <c r="D2" s="37" t="s">
        <v>22</v>
      </c>
      <c r="E2" s="37" t="s">
        <v>24</v>
      </c>
      <c r="F2" s="37" t="s">
        <v>22</v>
      </c>
      <c r="G2" s="37" t="s">
        <v>24</v>
      </c>
      <c r="H2" s="39"/>
      <c r="I2" s="37" t="s">
        <v>22</v>
      </c>
      <c r="J2" s="37" t="s">
        <v>24</v>
      </c>
      <c r="K2" s="35" t="s">
        <v>22</v>
      </c>
      <c r="L2" s="35" t="s">
        <v>24</v>
      </c>
      <c r="M2" s="39"/>
      <c r="N2" s="39"/>
      <c r="O2" s="41" t="s">
        <v>26</v>
      </c>
      <c r="P2" s="44" t="s">
        <v>27</v>
      </c>
      <c r="Q2" s="44" t="s">
        <v>29</v>
      </c>
      <c r="R2" s="32" t="s">
        <v>30</v>
      </c>
      <c r="S2" s="32" t="s">
        <v>31</v>
      </c>
      <c r="T2" s="32" t="s">
        <v>32</v>
      </c>
      <c r="U2" s="32" t="s">
        <v>33</v>
      </c>
      <c r="V2" s="32" t="s">
        <v>34</v>
      </c>
      <c r="W2" s="32" t="s">
        <v>35</v>
      </c>
      <c r="X2" s="28"/>
    </row>
    <row r="3">
      <c r="A3" s="46">
        <v>294.0</v>
      </c>
      <c r="B3" s="51">
        <f t="array" ref="B3">iferror(if(and(countif(Elims!$M$4:$M$27,$A3),Elims!$J$3="y"),-973,index(Avgs!B:B,match($A3,Avgs!$A:$A,0))), )</f>
        <v>-973</v>
      </c>
      <c r="C3" s="51">
        <f t="array" ref="C3">iferror(if(and(countif(Elims!$M$4:$M$27,$A3),Elims!$J$3="y"),-973,index(Avgs!C:C,match($A3,Avgs!$A:$A,0))), )</f>
        <v>-973</v>
      </c>
      <c r="D3" s="56">
        <f t="array" ref="D3">iferror(if(and(countif(Elims!$M$4:$M$27,$A3),Elims!$J$3="y"),-973,index(Avgs!D:D,match($A3,Avgs!$A:$A,0))), )</f>
        <v>-973</v>
      </c>
      <c r="E3" s="56">
        <f t="array" ref="E3">iferror(if(and(countif(Elims!$M$4:$M$27,$A3),Elims!$J$3="y"),-973,index(Avgs!E:E,match($A3,Avgs!$A:$A,0))), )</f>
        <v>-973</v>
      </c>
      <c r="F3" s="56">
        <f t="array" ref="F3">iferror(if(and(countif(Elims!$M$4:$M$27,$A3),Elims!$J$3="y"),-973,index(Avgs!F:F,match($A3,Avgs!$A:$A,0))), )</f>
        <v>-973</v>
      </c>
      <c r="G3" s="56">
        <f t="array" ref="G3">iferror(if(and(countif(Elims!$M$4:$M$27,$A3),Elims!$J$3="y"),-973,index(Avgs!G:G,match($A3,Avgs!$A:$A,0))), )</f>
        <v>-973</v>
      </c>
      <c r="H3" s="56">
        <f t="array" ref="H3">iferror(if(and(countif(Elims!$M$4:$M$27,$A3),Elims!$J$3="y"),-973,index(Avgs!H:H,match($A3,Avgs!$A:$A,0))), )</f>
        <v>-973</v>
      </c>
      <c r="I3" s="56">
        <f t="array" ref="I3">iferror(if(and(countif(Elims!$M$4:$M$27,$A3),Elims!$J$3="y"),-973,index(Avgs!I:I,match($A3,Avgs!$A:$A,0))), )</f>
        <v>-973</v>
      </c>
      <c r="J3" s="56">
        <f t="array" ref="J3">iferror(if(and(countif(Elims!$M$4:$M$27,$A3),Elims!$J$3="y"),-973,index(Avgs!J:J,match($A3,Avgs!$A:$A,0))), )</f>
        <v>-973</v>
      </c>
      <c r="K3" s="51">
        <f t="array" ref="K3">iferror(if(and(countif(Elims!$M$4:$M$27,$A3),Elims!$J$3="y"),-973,index(Avgs!K:K,match($A3,Avgs!$A:$A,0))), )</f>
        <v>-973</v>
      </c>
      <c r="L3" s="51">
        <f t="array" ref="L3">iferror(if(and(countif(Elims!$M$4:$M$27,$A3),Elims!$J$3="y"),-973,index(Avgs!L:L,match($A3,Avgs!$A:$A,0))), )</f>
        <v>-973</v>
      </c>
      <c r="M3" s="56">
        <f t="array" ref="M3">iferror(if(and(countif(Elims!$M$4:$M$27,$A3),Elims!$J$3="y"),-973,index(Avgs!M:M,match($A3,Avgs!$A:$A,0))), )</f>
        <v>-973</v>
      </c>
      <c r="N3" s="56">
        <f t="array" ref="N3">iferror(if(and(countif(Elims!$M$4:$M$27,$A3),Elims!$J$3="y"),-973,index(Avgs!N:N,match($A3,Avgs!$A:$A,0))), )</f>
        <v>-973</v>
      </c>
      <c r="O3" s="51">
        <f t="array" ref="O3">iferror(if(and(countif(Elims!$M$4:$M$27,$A3),Elims!$J$3="y"),-973,index(Avgs!O:O,match($A3,Avgs!$A:$A,0))), )</f>
        <v>-973</v>
      </c>
      <c r="P3" s="51">
        <f t="array" ref="P3">iferror(if(and(countif(Elims!$M$4:$M$27,$A3),Elims!$J$3="y"),-973,index(Avgs!P:P,match($A3,Avgs!$A:$A,0))), )</f>
        <v>-973</v>
      </c>
      <c r="Q3" s="51">
        <f t="array" ref="Q3">iferror(if(and(countif(Elims!$M$4:$M$27,$A3),Elims!$J$3="y"),-973,index(Avgs!Q:Q,match($A3,Avgs!$A:$A,0))), )</f>
        <v>-973</v>
      </c>
      <c r="R3" s="58" t="str">
        <f>'Component OPR Dump'!E2</f>
        <v/>
      </c>
      <c r="S3" s="58" t="str">
        <f>'Component OPR Dump'!C2</f>
        <v/>
      </c>
      <c r="T3" s="58" t="str">
        <f>'Component OPR Dump'!H2</f>
        <v/>
      </c>
      <c r="U3" s="58" t="str">
        <f>'Component OPR Dump'!G2</f>
        <v/>
      </c>
      <c r="V3" s="58" t="str">
        <f>'Component OPR Dump'!F2</f>
        <v/>
      </c>
      <c r="W3" s="58" t="str">
        <f>'Component OPR Dump'!I2</f>
        <v/>
      </c>
      <c r="X3" s="63">
        <f>iferror(sumif('Raw Data'!$Q:$Q,$A3,'Raw Data'!L:L)/countif('Raw Data'!$Q:$Q,$A3), )</f>
        <v>0</v>
      </c>
    </row>
    <row r="4">
      <c r="A4" s="46">
        <v>670.0</v>
      </c>
      <c r="B4" s="51">
        <f t="array" ref="B4">iferror(if(and(countif(Elims!$M$4:$M$27,$A4),Elims!$J$3="y"),-973,index(Avgs!B:B,match($A4,Avgs!$A:$A,0))), )</f>
        <v>22.66666667</v>
      </c>
      <c r="C4" s="51">
        <f t="array" ref="C4">iferror(if(and(countif(Elims!$M$4:$M$27,$A4),Elims!$J$3="y"),-973,index(Avgs!C:C,match($A4,Avgs!$A:$A,0))), )</f>
        <v>55</v>
      </c>
      <c r="D4" s="56">
        <f t="array" ref="D4">iferror(if(and(countif(Elims!$M$4:$M$27,$A4),Elims!$J$3="y"),-973,index(Avgs!D:D,match($A4,Avgs!$A:$A,0))), )</f>
        <v>0</v>
      </c>
      <c r="E4" s="56">
        <f t="array" ref="E4">iferror(if(and(countif(Elims!$M$4:$M$27,$A4),Elims!$J$3="y"),-973,index(Avgs!E:E,match($A4,Avgs!$A:$A,0))), )</f>
        <v>0</v>
      </c>
      <c r="F4" s="56">
        <f t="array" ref="F4">iferror(if(and(countif(Elims!$M$4:$M$27,$A4),Elims!$J$3="y"),-973,index(Avgs!F:F,match($A4,Avgs!$A:$A,0))), )</f>
        <v>0</v>
      </c>
      <c r="G4" s="56">
        <f t="array" ref="G4">iferror(if(and(countif(Elims!$M$4:$M$27,$A4),Elims!$J$3="y"),-973,index(Avgs!G:G,match($A4,Avgs!$A:$A,0))), )</f>
        <v>0</v>
      </c>
      <c r="H4" s="56">
        <f t="array" ref="H4">iferror(if(and(countif(Elims!$M$4:$M$27,$A4),Elims!$J$3="y"),-973,index(Avgs!H:H,match($A4,Avgs!$A:$A,0))), )</f>
        <v>0.6666666667</v>
      </c>
      <c r="I4" s="56">
        <f t="array" ref="I4">iferror(if(and(countif(Elims!$M$4:$M$27,$A4),Elims!$J$3="y"),-973,index(Avgs!I:I,match($A4,Avgs!$A:$A,0))), )</f>
        <v>0</v>
      </c>
      <c r="J4" s="56">
        <f t="array" ref="J4">iferror(if(and(countif(Elims!$M$4:$M$27,$A4),Elims!$J$3="y"),-973,index(Avgs!J:J,match($A4,Avgs!$A:$A,0))), )</f>
        <v>0</v>
      </c>
      <c r="K4" s="51">
        <f t="array" ref="K4">iferror(if(and(countif(Elims!$M$4:$M$27,$A4),Elims!$J$3="y"),-973,index(Avgs!K:K,match($A4,Avgs!$A:$A,0))), )</f>
        <v>0.1666666667</v>
      </c>
      <c r="L4" s="51">
        <f t="array" ref="L4">iferror(if(and(countif(Elims!$M$4:$M$27,$A4),Elims!$J$3="y"),-973,index(Avgs!L:L,match($A4,Avgs!$A:$A,0))), )</f>
        <v>1</v>
      </c>
      <c r="M4" s="56">
        <f t="array" ref="M4">iferror(if(and(countif(Elims!$M$4:$M$27,$A4),Elims!$J$3="y"),-973,index(Avgs!M:M,match($A4,Avgs!$A:$A,0))), )</f>
        <v>0.3333333333</v>
      </c>
      <c r="N4" s="56">
        <f t="array" ref="N4">iferror(if(and(countif(Elims!$M$4:$M$27,$A4),Elims!$J$3="y"),-973,index(Avgs!N:N,match($A4,Avgs!$A:$A,0))), )</f>
        <v>0</v>
      </c>
      <c r="O4" s="51">
        <f t="array" ref="O4">iferror(if(and(countif(Elims!$M$4:$M$27,$A4),Elims!$J$3="y"),-973,index(Avgs!O:O,match($A4,Avgs!$A:$A,0))), )</f>
        <v>0</v>
      </c>
      <c r="P4" s="51">
        <f t="array" ref="P4">iferror(if(and(countif(Elims!$M$4:$M$27,$A4),Elims!$J$3="y"),-973,index(Avgs!P:P,match($A4,Avgs!$A:$A,0))), )</f>
        <v>0</v>
      </c>
      <c r="Q4" s="51">
        <f t="array" ref="Q4">iferror(if(and(countif(Elims!$M$4:$M$27,$A4),Elims!$J$3="y"),-973,index(Avgs!Q:Q,match($A4,Avgs!$A:$A,0))), )</f>
        <v>0.1666666667</v>
      </c>
      <c r="R4" s="58" t="str">
        <f>'Component OPR Dump'!E3</f>
        <v/>
      </c>
      <c r="S4" s="58" t="str">
        <f>'Component OPR Dump'!C3</f>
        <v/>
      </c>
      <c r="T4" s="58" t="str">
        <f>'Component OPR Dump'!H3</f>
        <v/>
      </c>
      <c r="U4" s="58" t="str">
        <f>'Component OPR Dump'!G3</f>
        <v/>
      </c>
      <c r="V4" s="58" t="str">
        <f>'Component OPR Dump'!F3</f>
        <v/>
      </c>
      <c r="W4" s="58" t="str">
        <f>'Component OPR Dump'!I3</f>
        <v/>
      </c>
      <c r="X4" s="63">
        <f>iferror(sumif('Raw Data'!$Q:$Q,$A4,'Raw Data'!L:L)/countif('Raw Data'!$Q:$Q,$A4), )</f>
        <v>0</v>
      </c>
    </row>
    <row r="5">
      <c r="A5" s="46">
        <v>687.0</v>
      </c>
      <c r="B5" s="51">
        <f t="array" ref="B5">iferror(if(and(countif(Elims!$M$4:$M$27,$A5),Elims!$J$3="y"),-973,index(Avgs!B:B,match($A5,Avgs!$A:$A,0))), )</f>
        <v>32.94444444</v>
      </c>
      <c r="C5" s="51">
        <f t="array" ref="C5">iferror(if(and(countif(Elims!$M$4:$M$27,$A5),Elims!$J$3="y"),-973,index(Avgs!C:C,match($A5,Avgs!$A:$A,0))), )</f>
        <v>75</v>
      </c>
      <c r="D5" s="56">
        <f t="array" ref="D5">iferror(if(and(countif(Elims!$M$4:$M$27,$A5),Elims!$J$3="y"),-973,index(Avgs!D:D,match($A5,Avgs!$A:$A,0))), )</f>
        <v>0</v>
      </c>
      <c r="E5" s="56">
        <f t="array" ref="E5">iferror(if(and(countif(Elims!$M$4:$M$27,$A5),Elims!$J$3="y"),-973,index(Avgs!E:E,match($A5,Avgs!$A:$A,0))), )</f>
        <v>0</v>
      </c>
      <c r="F5" s="56">
        <f t="array" ref="F5">iferror(if(and(countif(Elims!$M$4:$M$27,$A5),Elims!$J$3="y"),-973,index(Avgs!F:F,match($A5,Avgs!$A:$A,0))), )</f>
        <v>0</v>
      </c>
      <c r="G5" s="56">
        <f t="array" ref="G5">iferror(if(and(countif(Elims!$M$4:$M$27,$A5),Elims!$J$3="y"),-973,index(Avgs!G:G,match($A5,Avgs!$A:$A,0))), )</f>
        <v>0</v>
      </c>
      <c r="H5" s="56">
        <f t="array" ref="H5">iferror(if(and(countif(Elims!$M$4:$M$27,$A5),Elims!$J$3="y"),-973,index(Avgs!H:H,match($A5,Avgs!$A:$A,0))), )</f>
        <v>0.5</v>
      </c>
      <c r="I5" s="56">
        <f t="array" ref="I5">iferror(if(and(countif(Elims!$M$4:$M$27,$A5),Elims!$J$3="y"),-973,index(Avgs!I:I,match($A5,Avgs!$A:$A,0))), )</f>
        <v>0</v>
      </c>
      <c r="J5" s="56">
        <f t="array" ref="J5">iferror(if(and(countif(Elims!$M$4:$M$27,$A5),Elims!$J$3="y"),-973,index(Avgs!J:J,match($A5,Avgs!$A:$A,0))), )</f>
        <v>0</v>
      </c>
      <c r="K5" s="51">
        <f t="array" ref="K5">iferror(if(and(countif(Elims!$M$4:$M$27,$A5),Elims!$J$3="y"),-973,index(Avgs!K:K,match($A5,Avgs!$A:$A,0))), )</f>
        <v>1.333333333</v>
      </c>
      <c r="L5" s="51">
        <f t="array" ref="L5">iferror(if(and(countif(Elims!$M$4:$M$27,$A5),Elims!$J$3="y"),-973,index(Avgs!L:L,match($A5,Avgs!$A:$A,0))), )</f>
        <v>4</v>
      </c>
      <c r="M5" s="56">
        <f t="array" ref="M5">iferror(if(and(countif(Elims!$M$4:$M$27,$A5),Elims!$J$3="y"),-973,index(Avgs!M:M,match($A5,Avgs!$A:$A,0))), )</f>
        <v>0.1666666667</v>
      </c>
      <c r="N5" s="56">
        <f t="array" ref="N5">iferror(if(and(countif(Elims!$M$4:$M$27,$A5),Elims!$J$3="y"),-973,index(Avgs!N:N,match($A5,Avgs!$A:$A,0))), )</f>
        <v>0.1666666667</v>
      </c>
      <c r="O5" s="51">
        <f t="array" ref="O5">iferror(if(and(countif(Elims!$M$4:$M$27,$A5),Elims!$J$3="y"),-973,index(Avgs!O:O,match($A5,Avgs!$A:$A,0))), )</f>
        <v>0</v>
      </c>
      <c r="P5" s="51">
        <f t="array" ref="P5">iferror(if(and(countif(Elims!$M$4:$M$27,$A5),Elims!$J$3="y"),-973,index(Avgs!P:P,match($A5,Avgs!$A:$A,0))), )</f>
        <v>0</v>
      </c>
      <c r="Q5" s="51">
        <f t="array" ref="Q5">iferror(if(and(countif(Elims!$M$4:$M$27,$A5),Elims!$J$3="y"),-973,index(Avgs!Q:Q,match($A5,Avgs!$A:$A,0))), )</f>
        <v>1.333333333</v>
      </c>
      <c r="R5" s="58" t="str">
        <f>'Component OPR Dump'!E4</f>
        <v/>
      </c>
      <c r="S5" s="58" t="str">
        <f>'Component OPR Dump'!C4</f>
        <v/>
      </c>
      <c r="T5" s="58" t="str">
        <f>'Component OPR Dump'!H4</f>
        <v/>
      </c>
      <c r="U5" s="58" t="str">
        <f>'Component OPR Dump'!G4</f>
        <v/>
      </c>
      <c r="V5" s="58" t="str">
        <f>'Component OPR Dump'!F4</f>
        <v/>
      </c>
      <c r="W5" s="58" t="str">
        <f>'Component OPR Dump'!I4</f>
        <v/>
      </c>
      <c r="X5" s="63">
        <f>iferror(sumif('Raw Data'!$Q:$Q,$A5,'Raw Data'!L:L)/countif('Raw Data'!$Q:$Q,$A5), )</f>
        <v>0</v>
      </c>
    </row>
    <row r="6">
      <c r="A6" s="46">
        <v>751.0</v>
      </c>
      <c r="B6" s="51">
        <f t="array" ref="B6">iferror(if(and(countif(Elims!$M$4:$M$27,$A6),Elims!$J$3="y"),-973,index(Avgs!B:B,match($A6,Avgs!$A:$A,0))), )</f>
        <v>-973</v>
      </c>
      <c r="C6" s="51">
        <f t="array" ref="C6">iferror(if(and(countif(Elims!$M$4:$M$27,$A6),Elims!$J$3="y"),-973,index(Avgs!C:C,match($A6,Avgs!$A:$A,0))), )</f>
        <v>-973</v>
      </c>
      <c r="D6" s="56">
        <f t="array" ref="D6">iferror(if(and(countif(Elims!$M$4:$M$27,$A6),Elims!$J$3="y"),-973,index(Avgs!D:D,match($A6,Avgs!$A:$A,0))), )</f>
        <v>-973</v>
      </c>
      <c r="E6" s="56">
        <f t="array" ref="E6">iferror(if(and(countif(Elims!$M$4:$M$27,$A6),Elims!$J$3="y"),-973,index(Avgs!E:E,match($A6,Avgs!$A:$A,0))), )</f>
        <v>-973</v>
      </c>
      <c r="F6" s="56">
        <f t="array" ref="F6">iferror(if(and(countif(Elims!$M$4:$M$27,$A6),Elims!$J$3="y"),-973,index(Avgs!F:F,match($A6,Avgs!$A:$A,0))), )</f>
        <v>-973</v>
      </c>
      <c r="G6" s="56">
        <f t="array" ref="G6">iferror(if(and(countif(Elims!$M$4:$M$27,$A6),Elims!$J$3="y"),-973,index(Avgs!G:G,match($A6,Avgs!$A:$A,0))), )</f>
        <v>-973</v>
      </c>
      <c r="H6" s="56">
        <f t="array" ref="H6">iferror(if(and(countif(Elims!$M$4:$M$27,$A6),Elims!$J$3="y"),-973,index(Avgs!H:H,match($A6,Avgs!$A:$A,0))), )</f>
        <v>-973</v>
      </c>
      <c r="I6" s="56">
        <f t="array" ref="I6">iferror(if(and(countif(Elims!$M$4:$M$27,$A6),Elims!$J$3="y"),-973,index(Avgs!I:I,match($A6,Avgs!$A:$A,0))), )</f>
        <v>-973</v>
      </c>
      <c r="J6" s="56">
        <f t="array" ref="J6">iferror(if(and(countif(Elims!$M$4:$M$27,$A6),Elims!$J$3="y"),-973,index(Avgs!J:J,match($A6,Avgs!$A:$A,0))), )</f>
        <v>-973</v>
      </c>
      <c r="K6" s="51">
        <f t="array" ref="K6">iferror(if(and(countif(Elims!$M$4:$M$27,$A6),Elims!$J$3="y"),-973,index(Avgs!K:K,match($A6,Avgs!$A:$A,0))), )</f>
        <v>-973</v>
      </c>
      <c r="L6" s="51">
        <f t="array" ref="L6">iferror(if(and(countif(Elims!$M$4:$M$27,$A6),Elims!$J$3="y"),-973,index(Avgs!L:L,match($A6,Avgs!$A:$A,0))), )</f>
        <v>-973</v>
      </c>
      <c r="M6" s="56">
        <f t="array" ref="M6">iferror(if(and(countif(Elims!$M$4:$M$27,$A6),Elims!$J$3="y"),-973,index(Avgs!M:M,match($A6,Avgs!$A:$A,0))), )</f>
        <v>-973</v>
      </c>
      <c r="N6" s="56">
        <f t="array" ref="N6">iferror(if(and(countif(Elims!$M$4:$M$27,$A6),Elims!$J$3="y"),-973,index(Avgs!N:N,match($A6,Avgs!$A:$A,0))), )</f>
        <v>-973</v>
      </c>
      <c r="O6" s="51">
        <f t="array" ref="O6">iferror(if(and(countif(Elims!$M$4:$M$27,$A6),Elims!$J$3="y"),-973,index(Avgs!O:O,match($A6,Avgs!$A:$A,0))), )</f>
        <v>-973</v>
      </c>
      <c r="P6" s="51">
        <f t="array" ref="P6">iferror(if(and(countif(Elims!$M$4:$M$27,$A6),Elims!$J$3="y"),-973,index(Avgs!P:P,match($A6,Avgs!$A:$A,0))), )</f>
        <v>-973</v>
      </c>
      <c r="Q6" s="51">
        <f t="array" ref="Q6">iferror(if(and(countif(Elims!$M$4:$M$27,$A6),Elims!$J$3="y"),-973,index(Avgs!Q:Q,match($A6,Avgs!$A:$A,0))), )</f>
        <v>-973</v>
      </c>
      <c r="R6" s="58" t="str">
        <f>'Component OPR Dump'!E5</f>
        <v/>
      </c>
      <c r="S6" s="58" t="str">
        <f>'Component OPR Dump'!C5</f>
        <v/>
      </c>
      <c r="T6" s="58" t="str">
        <f>'Component OPR Dump'!H5</f>
        <v/>
      </c>
      <c r="U6" s="58" t="str">
        <f>'Component OPR Dump'!G5</f>
        <v/>
      </c>
      <c r="V6" s="58" t="str">
        <f>'Component OPR Dump'!F5</f>
        <v/>
      </c>
      <c r="W6" s="58" t="str">
        <f>'Component OPR Dump'!I5</f>
        <v/>
      </c>
      <c r="X6" s="63">
        <f>iferror(sumif('Raw Data'!$Q:$Q,$A6,'Raw Data'!L:L)/countif('Raw Data'!$Q:$Q,$A6), )</f>
        <v>0</v>
      </c>
    </row>
    <row r="7">
      <c r="A7" s="46">
        <v>852.0</v>
      </c>
      <c r="B7" s="51">
        <f t="array" ref="B7">iferror(if(and(countif(Elims!$M$4:$M$27,$A7),Elims!$J$3="y"),-973,index(Avgs!B:B,match($A7,Avgs!$A:$A,0))), )</f>
        <v>59.80952381</v>
      </c>
      <c r="C7" s="51">
        <f t="array" ref="C7">iferror(if(and(countif(Elims!$M$4:$M$27,$A7),Elims!$J$3="y"),-973,index(Avgs!C:C,match($A7,Avgs!$A:$A,0))), )</f>
        <v>75</v>
      </c>
      <c r="D7" s="56">
        <f t="array" ref="D7">iferror(if(and(countif(Elims!$M$4:$M$27,$A7),Elims!$J$3="y"),-973,index(Avgs!D:D,match($A7,Avgs!$A:$A,0))), )</f>
        <v>0</v>
      </c>
      <c r="E7" s="56">
        <f t="array" ref="E7">iferror(if(and(countif(Elims!$M$4:$M$27,$A7),Elims!$J$3="y"),-973,index(Avgs!E:E,match($A7,Avgs!$A:$A,0))), )</f>
        <v>0</v>
      </c>
      <c r="F7" s="56">
        <f t="array" ref="F7">iferror(if(and(countif(Elims!$M$4:$M$27,$A7),Elims!$J$3="y"),-973,index(Avgs!F:F,match($A7,Avgs!$A:$A,0))), )</f>
        <v>0</v>
      </c>
      <c r="G7" s="56">
        <f t="array" ref="G7">iferror(if(and(countif(Elims!$M$4:$M$27,$A7),Elims!$J$3="y"),-973,index(Avgs!G:G,match($A7,Avgs!$A:$A,0))), )</f>
        <v>0</v>
      </c>
      <c r="H7" s="56">
        <f t="array" ref="H7">iferror(if(and(countif(Elims!$M$4:$M$27,$A7),Elims!$J$3="y"),-973,index(Avgs!H:H,match($A7,Avgs!$A:$A,0))), )</f>
        <v>1</v>
      </c>
      <c r="I7" s="56">
        <f t="array" ref="I7">iferror(if(and(countif(Elims!$M$4:$M$27,$A7),Elims!$J$3="y"),-973,index(Avgs!I:I,match($A7,Avgs!$A:$A,0))), )</f>
        <v>0</v>
      </c>
      <c r="J7" s="56">
        <f t="array" ref="J7">iferror(if(and(countif(Elims!$M$4:$M$27,$A7),Elims!$J$3="y"),-973,index(Avgs!J:J,match($A7,Avgs!$A:$A,0))), )</f>
        <v>0</v>
      </c>
      <c r="K7" s="51">
        <f t="array" ref="K7">iferror(if(and(countif(Elims!$M$4:$M$27,$A7),Elims!$J$3="y"),-973,index(Avgs!K:K,match($A7,Avgs!$A:$A,0))), )</f>
        <v>1.428571429</v>
      </c>
      <c r="L7" s="51">
        <f t="array" ref="L7">iferror(if(and(countif(Elims!$M$4:$M$27,$A7),Elims!$J$3="y"),-973,index(Avgs!L:L,match($A7,Avgs!$A:$A,0))), )</f>
        <v>3</v>
      </c>
      <c r="M7" s="56">
        <f t="array" ref="M7">iferror(if(and(countif(Elims!$M$4:$M$27,$A7),Elims!$J$3="y"),-973,index(Avgs!M:M,match($A7,Avgs!$A:$A,0))), )</f>
        <v>0.5714285714</v>
      </c>
      <c r="N7" s="56">
        <f t="array" ref="N7">iferror(if(and(countif(Elims!$M$4:$M$27,$A7),Elims!$J$3="y"),-973,index(Avgs!N:N,match($A7,Avgs!$A:$A,0))), )</f>
        <v>0</v>
      </c>
      <c r="O7" s="51">
        <f t="array" ref="O7">iferror(if(and(countif(Elims!$M$4:$M$27,$A7),Elims!$J$3="y"),-973,index(Avgs!O:O,match($A7,Avgs!$A:$A,0))), )</f>
        <v>0</v>
      </c>
      <c r="P7" s="51">
        <f t="array" ref="P7">iferror(if(and(countif(Elims!$M$4:$M$27,$A7),Elims!$J$3="y"),-973,index(Avgs!P:P,match($A7,Avgs!$A:$A,0))), )</f>
        <v>0</v>
      </c>
      <c r="Q7" s="51">
        <f t="array" ref="Q7">iferror(if(and(countif(Elims!$M$4:$M$27,$A7),Elims!$J$3="y"),-973,index(Avgs!Q:Q,match($A7,Avgs!$A:$A,0))), )</f>
        <v>1.428571429</v>
      </c>
      <c r="R7" s="58" t="str">
        <f>'Component OPR Dump'!E6</f>
        <v/>
      </c>
      <c r="S7" s="58" t="str">
        <f>'Component OPR Dump'!C6</f>
        <v/>
      </c>
      <c r="T7" s="58" t="str">
        <f>'Component OPR Dump'!H6</f>
        <v/>
      </c>
      <c r="U7" s="58" t="str">
        <f>'Component OPR Dump'!G6</f>
        <v/>
      </c>
      <c r="V7" s="58" t="str">
        <f>'Component OPR Dump'!F6</f>
        <v/>
      </c>
      <c r="W7" s="58" t="str">
        <f>'Component OPR Dump'!I6</f>
        <v/>
      </c>
      <c r="X7" s="63">
        <f>iferror(sumif('Raw Data'!$Q:$Q,$A7,'Raw Data'!L:L)/countif('Raw Data'!$Q:$Q,$A7), )</f>
        <v>0</v>
      </c>
    </row>
    <row r="8">
      <c r="A8" s="46">
        <v>972.0</v>
      </c>
      <c r="B8" s="51">
        <f t="array" ref="B8">iferror(if(and(countif(Elims!$M$4:$M$27,$A8),Elims!$J$3="y"),-973,index(Avgs!B:B,match($A8,Avgs!$A:$A,0))), )</f>
        <v>32.66666667</v>
      </c>
      <c r="C8" s="51">
        <f t="array" ref="C8">iferror(if(and(countif(Elims!$M$4:$M$27,$A8),Elims!$J$3="y"),-973,index(Avgs!C:C,match($A8,Avgs!$A:$A,0))), )</f>
        <v>75</v>
      </c>
      <c r="D8" s="56">
        <f t="array" ref="D8">iferror(if(and(countif(Elims!$M$4:$M$27,$A8),Elims!$J$3="y"),-973,index(Avgs!D:D,match($A8,Avgs!$A:$A,0))), )</f>
        <v>0</v>
      </c>
      <c r="E8" s="56">
        <f t="array" ref="E8">iferror(if(and(countif(Elims!$M$4:$M$27,$A8),Elims!$J$3="y"),-973,index(Avgs!E:E,match($A8,Avgs!$A:$A,0))), )</f>
        <v>0</v>
      </c>
      <c r="F8" s="56">
        <f t="array" ref="F8">iferror(if(and(countif(Elims!$M$4:$M$27,$A8),Elims!$J$3="y"),-973,index(Avgs!F:F,match($A8,Avgs!$A:$A,0))), )</f>
        <v>0</v>
      </c>
      <c r="G8" s="56">
        <f t="array" ref="G8">iferror(if(and(countif(Elims!$M$4:$M$27,$A8),Elims!$J$3="y"),-973,index(Avgs!G:G,match($A8,Avgs!$A:$A,0))), )</f>
        <v>0</v>
      </c>
      <c r="H8" s="56">
        <f t="array" ref="H8">iferror(if(and(countif(Elims!$M$4:$M$27,$A8),Elims!$J$3="y"),-973,index(Avgs!H:H,match($A8,Avgs!$A:$A,0))), )</f>
        <v>0.8571428571</v>
      </c>
      <c r="I8" s="56">
        <f t="array" ref="I8">iferror(if(and(countif(Elims!$M$4:$M$27,$A8),Elims!$J$3="y"),-973,index(Avgs!I:I,match($A8,Avgs!$A:$A,0))), )</f>
        <v>0</v>
      </c>
      <c r="J8" s="56">
        <f t="array" ref="J8">iferror(if(and(countif(Elims!$M$4:$M$27,$A8),Elims!$J$3="y"),-973,index(Avgs!J:J,match($A8,Avgs!$A:$A,0))), )</f>
        <v>0</v>
      </c>
      <c r="K8" s="51">
        <f t="array" ref="K8">iferror(if(and(countif(Elims!$M$4:$M$27,$A8),Elims!$J$3="y"),-973,index(Avgs!K:K,match($A8,Avgs!$A:$A,0))), )</f>
        <v>1.142857143</v>
      </c>
      <c r="L8" s="51">
        <f t="array" ref="L8">iferror(if(and(countif(Elims!$M$4:$M$27,$A8),Elims!$J$3="y"),-973,index(Avgs!L:L,match($A8,Avgs!$A:$A,0))), )</f>
        <v>2</v>
      </c>
      <c r="M8" s="56">
        <f t="array" ref="M8">iferror(if(and(countif(Elims!$M$4:$M$27,$A8),Elims!$J$3="y"),-973,index(Avgs!M:M,match($A8,Avgs!$A:$A,0))), )</f>
        <v>0.1428571429</v>
      </c>
      <c r="N8" s="56">
        <f t="array" ref="N8">iferror(if(and(countif(Elims!$M$4:$M$27,$A8),Elims!$J$3="y"),-973,index(Avgs!N:N,match($A8,Avgs!$A:$A,0))), )</f>
        <v>0</v>
      </c>
      <c r="O8" s="51">
        <f t="array" ref="O8">iferror(if(and(countif(Elims!$M$4:$M$27,$A8),Elims!$J$3="y"),-973,index(Avgs!O:O,match($A8,Avgs!$A:$A,0))), )</f>
        <v>0</v>
      </c>
      <c r="P8" s="51">
        <f t="array" ref="P8">iferror(if(and(countif(Elims!$M$4:$M$27,$A8),Elims!$J$3="y"),-973,index(Avgs!P:P,match($A8,Avgs!$A:$A,0))), )</f>
        <v>0</v>
      </c>
      <c r="Q8" s="51">
        <f t="array" ref="Q8">iferror(if(and(countif(Elims!$M$4:$M$27,$A8),Elims!$J$3="y"),-973,index(Avgs!Q:Q,match($A8,Avgs!$A:$A,0))), )</f>
        <v>1.142857143</v>
      </c>
      <c r="R8" s="58" t="str">
        <f>'Component OPR Dump'!E7</f>
        <v/>
      </c>
      <c r="S8" s="58" t="str">
        <f>'Component OPR Dump'!C7</f>
        <v/>
      </c>
      <c r="T8" s="58" t="str">
        <f>'Component OPR Dump'!H7</f>
        <v/>
      </c>
      <c r="U8" s="58" t="str">
        <f>'Component OPR Dump'!G7</f>
        <v/>
      </c>
      <c r="V8" s="58" t="str">
        <f>'Component OPR Dump'!F7</f>
        <v/>
      </c>
      <c r="W8" s="58" t="str">
        <f>'Component OPR Dump'!I7</f>
        <v/>
      </c>
      <c r="X8" s="63">
        <f>iferror(sumif('Raw Data'!$Q:$Q,$A8,'Raw Data'!L:L)/countif('Raw Data'!$Q:$Q,$A8), )</f>
        <v>0</v>
      </c>
    </row>
    <row r="9">
      <c r="A9" s="46">
        <v>973.0</v>
      </c>
      <c r="B9" s="51">
        <f t="array" ref="B9">iferror(if(and(countif(Elims!$M$4:$M$27,$A9),Elims!$J$3="y"),-973,index(Avgs!B:B,match($A9,Avgs!$A:$A,0))), )</f>
        <v>-973</v>
      </c>
      <c r="C9" s="51">
        <f t="array" ref="C9">iferror(if(and(countif(Elims!$M$4:$M$27,$A9),Elims!$J$3="y"),-973,index(Avgs!C:C,match($A9,Avgs!$A:$A,0))), )</f>
        <v>-973</v>
      </c>
      <c r="D9" s="56">
        <f t="array" ref="D9">iferror(if(and(countif(Elims!$M$4:$M$27,$A9),Elims!$J$3="y"),-973,index(Avgs!D:D,match($A9,Avgs!$A:$A,0))), )</f>
        <v>-973</v>
      </c>
      <c r="E9" s="56">
        <f t="array" ref="E9">iferror(if(and(countif(Elims!$M$4:$M$27,$A9),Elims!$J$3="y"),-973,index(Avgs!E:E,match($A9,Avgs!$A:$A,0))), )</f>
        <v>-973</v>
      </c>
      <c r="F9" s="56">
        <f t="array" ref="F9">iferror(if(and(countif(Elims!$M$4:$M$27,$A9),Elims!$J$3="y"),-973,index(Avgs!F:F,match($A9,Avgs!$A:$A,0))), )</f>
        <v>-973</v>
      </c>
      <c r="G9" s="56">
        <f t="array" ref="G9">iferror(if(and(countif(Elims!$M$4:$M$27,$A9),Elims!$J$3="y"),-973,index(Avgs!G:G,match($A9,Avgs!$A:$A,0))), )</f>
        <v>-973</v>
      </c>
      <c r="H9" s="56">
        <f t="array" ref="H9">iferror(if(and(countif(Elims!$M$4:$M$27,$A9),Elims!$J$3="y"),-973,index(Avgs!H:H,match($A9,Avgs!$A:$A,0))), )</f>
        <v>-973</v>
      </c>
      <c r="I9" s="56">
        <f t="array" ref="I9">iferror(if(and(countif(Elims!$M$4:$M$27,$A9),Elims!$J$3="y"),-973,index(Avgs!I:I,match($A9,Avgs!$A:$A,0))), )</f>
        <v>-973</v>
      </c>
      <c r="J9" s="56">
        <f t="array" ref="J9">iferror(if(and(countif(Elims!$M$4:$M$27,$A9),Elims!$J$3="y"),-973,index(Avgs!J:J,match($A9,Avgs!$A:$A,0))), )</f>
        <v>-973</v>
      </c>
      <c r="K9" s="51">
        <f t="array" ref="K9">iferror(if(and(countif(Elims!$M$4:$M$27,$A9),Elims!$J$3="y"),-973,index(Avgs!K:K,match($A9,Avgs!$A:$A,0))), )</f>
        <v>-973</v>
      </c>
      <c r="L9" s="51">
        <f t="array" ref="L9">iferror(if(and(countif(Elims!$M$4:$M$27,$A9),Elims!$J$3="y"),-973,index(Avgs!L:L,match($A9,Avgs!$A:$A,0))), )</f>
        <v>-973</v>
      </c>
      <c r="M9" s="56">
        <f t="array" ref="M9">iferror(if(and(countif(Elims!$M$4:$M$27,$A9),Elims!$J$3="y"),-973,index(Avgs!M:M,match($A9,Avgs!$A:$A,0))), )</f>
        <v>-973</v>
      </c>
      <c r="N9" s="56">
        <f t="array" ref="N9">iferror(if(and(countif(Elims!$M$4:$M$27,$A9),Elims!$J$3="y"),-973,index(Avgs!N:N,match($A9,Avgs!$A:$A,0))), )</f>
        <v>-973</v>
      </c>
      <c r="O9" s="51">
        <f t="array" ref="O9">iferror(if(and(countif(Elims!$M$4:$M$27,$A9),Elims!$J$3="y"),-973,index(Avgs!O:O,match($A9,Avgs!$A:$A,0))), )</f>
        <v>-973</v>
      </c>
      <c r="P9" s="51">
        <f t="array" ref="P9">iferror(if(and(countif(Elims!$M$4:$M$27,$A9),Elims!$J$3="y"),-973,index(Avgs!P:P,match($A9,Avgs!$A:$A,0))), )</f>
        <v>-973</v>
      </c>
      <c r="Q9" s="51">
        <f t="array" ref="Q9">iferror(if(and(countif(Elims!$M$4:$M$27,$A9),Elims!$J$3="y"),-973,index(Avgs!Q:Q,match($A9,Avgs!$A:$A,0))), )</f>
        <v>-973</v>
      </c>
      <c r="R9" s="58" t="str">
        <f>'Component OPR Dump'!E8</f>
        <v/>
      </c>
      <c r="S9" s="58" t="str">
        <f>'Component OPR Dump'!C8</f>
        <v/>
      </c>
      <c r="T9" s="58" t="str">
        <f>'Component OPR Dump'!H8</f>
        <v/>
      </c>
      <c r="U9" s="58" t="str">
        <f>'Component OPR Dump'!G8</f>
        <v/>
      </c>
      <c r="V9" s="58" t="str">
        <f>'Component OPR Dump'!F8</f>
        <v/>
      </c>
      <c r="W9" s="58" t="str">
        <f>'Component OPR Dump'!I8</f>
        <v/>
      </c>
      <c r="X9" s="63">
        <f>iferror(sumif('Raw Data'!$Q:$Q,$A9,'Raw Data'!L:L)/countif('Raw Data'!$Q:$Q,$A9), )</f>
        <v>0</v>
      </c>
    </row>
    <row r="10">
      <c r="A10" s="46">
        <v>980.0</v>
      </c>
      <c r="B10" s="51">
        <f t="array" ref="B10">iferror(if(and(countif(Elims!$M$4:$M$27,$A10),Elims!$J$3="y"),-973,index(Avgs!B:B,match($A10,Avgs!$A:$A,0))), )</f>
        <v>23.27777778</v>
      </c>
      <c r="C10" s="51">
        <f t="array" ref="C10">iferror(if(and(countif(Elims!$M$4:$M$27,$A10),Elims!$J$3="y"),-973,index(Avgs!C:C,match($A10,Avgs!$A:$A,0))), )</f>
        <v>48</v>
      </c>
      <c r="D10" s="56">
        <f t="array" ref="D10">iferror(if(and(countif(Elims!$M$4:$M$27,$A10),Elims!$J$3="y"),-973,index(Avgs!D:D,match($A10,Avgs!$A:$A,0))), )</f>
        <v>0</v>
      </c>
      <c r="E10" s="56">
        <f t="array" ref="E10">iferror(if(and(countif(Elims!$M$4:$M$27,$A10),Elims!$J$3="y"),-973,index(Avgs!E:E,match($A10,Avgs!$A:$A,0))), )</f>
        <v>0</v>
      </c>
      <c r="F10" s="56">
        <f t="array" ref="F10">iferror(if(and(countif(Elims!$M$4:$M$27,$A10),Elims!$J$3="y"),-973,index(Avgs!F:F,match($A10,Avgs!$A:$A,0))), )</f>
        <v>0</v>
      </c>
      <c r="G10" s="56">
        <f t="array" ref="G10">iferror(if(and(countif(Elims!$M$4:$M$27,$A10),Elims!$J$3="y"),-973,index(Avgs!G:G,match($A10,Avgs!$A:$A,0))), )</f>
        <v>0</v>
      </c>
      <c r="H10" s="56">
        <f t="array" ref="H10">iferror(if(and(countif(Elims!$M$4:$M$27,$A10),Elims!$J$3="y"),-973,index(Avgs!H:H,match($A10,Avgs!$A:$A,0))), )</f>
        <v>0.5</v>
      </c>
      <c r="I10" s="56">
        <f t="array" ref="I10">iferror(if(and(countif(Elims!$M$4:$M$27,$A10),Elims!$J$3="y"),-973,index(Avgs!I:I,match($A10,Avgs!$A:$A,0))), )</f>
        <v>0</v>
      </c>
      <c r="J10" s="56">
        <f t="array" ref="J10">iferror(if(and(countif(Elims!$M$4:$M$27,$A10),Elims!$J$3="y"),-973,index(Avgs!J:J,match($A10,Avgs!$A:$A,0))), )</f>
        <v>0</v>
      </c>
      <c r="K10" s="51">
        <f t="array" ref="K10">iferror(if(and(countif(Elims!$M$4:$M$27,$A10),Elims!$J$3="y"),-973,index(Avgs!K:K,match($A10,Avgs!$A:$A,0))), )</f>
        <v>1.166666667</v>
      </c>
      <c r="L10" s="51">
        <f t="array" ref="L10">iferror(if(and(countif(Elims!$M$4:$M$27,$A10),Elims!$J$3="y"),-973,index(Avgs!L:L,match($A10,Avgs!$A:$A,0))), )</f>
        <v>3</v>
      </c>
      <c r="M10" s="56">
        <f t="array" ref="M10">iferror(if(and(countif(Elims!$M$4:$M$27,$A10),Elims!$J$3="y"),-973,index(Avgs!M:M,match($A10,Avgs!$A:$A,0))), )</f>
        <v>0</v>
      </c>
      <c r="N10" s="56">
        <f t="array" ref="N10">iferror(if(and(countif(Elims!$M$4:$M$27,$A10),Elims!$J$3="y"),-973,index(Avgs!N:N,match($A10,Avgs!$A:$A,0))), )</f>
        <v>0.1666666667</v>
      </c>
      <c r="O10" s="51">
        <f t="array" ref="O10">iferror(if(and(countif(Elims!$M$4:$M$27,$A10),Elims!$J$3="y"),-973,index(Avgs!O:O,match($A10,Avgs!$A:$A,0))), )</f>
        <v>0</v>
      </c>
      <c r="P10" s="51">
        <f t="array" ref="P10">iferror(if(and(countif(Elims!$M$4:$M$27,$A10),Elims!$J$3="y"),-973,index(Avgs!P:P,match($A10,Avgs!$A:$A,0))), )</f>
        <v>0</v>
      </c>
      <c r="Q10" s="51">
        <f t="array" ref="Q10">iferror(if(and(countif(Elims!$M$4:$M$27,$A10),Elims!$J$3="y"),-973,index(Avgs!Q:Q,match($A10,Avgs!$A:$A,0))), )</f>
        <v>1.166666667</v>
      </c>
      <c r="R10" s="58" t="str">
        <f>'Component OPR Dump'!E9</f>
        <v/>
      </c>
      <c r="S10" s="58" t="str">
        <f>'Component OPR Dump'!C9</f>
        <v/>
      </c>
      <c r="T10" s="58" t="str">
        <f>'Component OPR Dump'!H9</f>
        <v/>
      </c>
      <c r="U10" s="58" t="str">
        <f>'Component OPR Dump'!G9</f>
        <v/>
      </c>
      <c r="V10" s="58" t="str">
        <f>'Component OPR Dump'!F9</f>
        <v/>
      </c>
      <c r="W10" s="58" t="str">
        <f>'Component OPR Dump'!I9</f>
        <v/>
      </c>
      <c r="X10" s="63">
        <f>iferror(sumif('Raw Data'!$Q:$Q,$A10,'Raw Data'!L:L)/countif('Raw Data'!$Q:$Q,$A10), )</f>
        <v>0</v>
      </c>
    </row>
    <row r="11">
      <c r="A11" s="46">
        <v>1072.0</v>
      </c>
      <c r="B11" s="51">
        <f t="array" ref="B11">iferror(if(and(countif(Elims!$M$4:$M$27,$A11),Elims!$J$3="y"),-973,index(Avgs!B:B,match($A11,Avgs!$A:$A,0))), )</f>
        <v>-973</v>
      </c>
      <c r="C11" s="51">
        <f t="array" ref="C11">iferror(if(and(countif(Elims!$M$4:$M$27,$A11),Elims!$J$3="y"),-973,index(Avgs!C:C,match($A11,Avgs!$A:$A,0))), )</f>
        <v>-973</v>
      </c>
      <c r="D11" s="56">
        <f t="array" ref="D11">iferror(if(and(countif(Elims!$M$4:$M$27,$A11),Elims!$J$3="y"),-973,index(Avgs!D:D,match($A11,Avgs!$A:$A,0))), )</f>
        <v>-973</v>
      </c>
      <c r="E11" s="56">
        <f t="array" ref="E11">iferror(if(and(countif(Elims!$M$4:$M$27,$A11),Elims!$J$3="y"),-973,index(Avgs!E:E,match($A11,Avgs!$A:$A,0))), )</f>
        <v>-973</v>
      </c>
      <c r="F11" s="56">
        <f t="array" ref="F11">iferror(if(and(countif(Elims!$M$4:$M$27,$A11),Elims!$J$3="y"),-973,index(Avgs!F:F,match($A11,Avgs!$A:$A,0))), )</f>
        <v>-973</v>
      </c>
      <c r="G11" s="56">
        <f t="array" ref="G11">iferror(if(and(countif(Elims!$M$4:$M$27,$A11),Elims!$J$3="y"),-973,index(Avgs!G:G,match($A11,Avgs!$A:$A,0))), )</f>
        <v>-973</v>
      </c>
      <c r="H11" s="56">
        <f t="array" ref="H11">iferror(if(and(countif(Elims!$M$4:$M$27,$A11),Elims!$J$3="y"),-973,index(Avgs!H:H,match($A11,Avgs!$A:$A,0))), )</f>
        <v>-973</v>
      </c>
      <c r="I11" s="56">
        <f t="array" ref="I11">iferror(if(and(countif(Elims!$M$4:$M$27,$A11),Elims!$J$3="y"),-973,index(Avgs!I:I,match($A11,Avgs!$A:$A,0))), )</f>
        <v>-973</v>
      </c>
      <c r="J11" s="56">
        <f t="array" ref="J11">iferror(if(and(countif(Elims!$M$4:$M$27,$A11),Elims!$J$3="y"),-973,index(Avgs!J:J,match($A11,Avgs!$A:$A,0))), )</f>
        <v>-973</v>
      </c>
      <c r="K11" s="51">
        <f t="array" ref="K11">iferror(if(and(countif(Elims!$M$4:$M$27,$A11),Elims!$J$3="y"),-973,index(Avgs!K:K,match($A11,Avgs!$A:$A,0))), )</f>
        <v>-973</v>
      </c>
      <c r="L11" s="51">
        <f t="array" ref="L11">iferror(if(and(countif(Elims!$M$4:$M$27,$A11),Elims!$J$3="y"),-973,index(Avgs!L:L,match($A11,Avgs!$A:$A,0))), )</f>
        <v>-973</v>
      </c>
      <c r="M11" s="56">
        <f t="array" ref="M11">iferror(if(and(countif(Elims!$M$4:$M$27,$A11),Elims!$J$3="y"),-973,index(Avgs!M:M,match($A11,Avgs!$A:$A,0))), )</f>
        <v>-973</v>
      </c>
      <c r="N11" s="56">
        <f t="array" ref="N11">iferror(if(and(countif(Elims!$M$4:$M$27,$A11),Elims!$J$3="y"),-973,index(Avgs!N:N,match($A11,Avgs!$A:$A,0))), )</f>
        <v>-973</v>
      </c>
      <c r="O11" s="51">
        <f t="array" ref="O11">iferror(if(and(countif(Elims!$M$4:$M$27,$A11),Elims!$J$3="y"),-973,index(Avgs!O:O,match($A11,Avgs!$A:$A,0))), )</f>
        <v>-973</v>
      </c>
      <c r="P11" s="51">
        <f t="array" ref="P11">iferror(if(and(countif(Elims!$M$4:$M$27,$A11),Elims!$J$3="y"),-973,index(Avgs!P:P,match($A11,Avgs!$A:$A,0))), )</f>
        <v>-973</v>
      </c>
      <c r="Q11" s="51">
        <f t="array" ref="Q11">iferror(if(and(countif(Elims!$M$4:$M$27,$A11),Elims!$J$3="y"),-973,index(Avgs!Q:Q,match($A11,Avgs!$A:$A,0))), )</f>
        <v>-973</v>
      </c>
      <c r="R11" s="58" t="str">
        <f>'Component OPR Dump'!E10</f>
        <v/>
      </c>
      <c r="S11" s="58" t="str">
        <f>'Component OPR Dump'!C10</f>
        <v/>
      </c>
      <c r="T11" s="58" t="str">
        <f>'Component OPR Dump'!H10</f>
        <v/>
      </c>
      <c r="U11" s="58" t="str">
        <f>'Component OPR Dump'!G10</f>
        <v/>
      </c>
      <c r="V11" s="58" t="str">
        <f>'Component OPR Dump'!F10</f>
        <v/>
      </c>
      <c r="W11" s="58" t="str">
        <f>'Component OPR Dump'!I10</f>
        <v/>
      </c>
      <c r="X11" s="63">
        <f>iferror(sumif('Raw Data'!$Q:$Q,$A11,'Raw Data'!L:L)/countif('Raw Data'!$Q:$Q,$A11), )</f>
        <v>0</v>
      </c>
    </row>
    <row r="12">
      <c r="A12" s="46">
        <v>1323.0</v>
      </c>
      <c r="B12" s="51">
        <f t="array" ref="B12">iferror(if(and(countif(Elims!$M$4:$M$27,$A12),Elims!$J$3="y"),-973,index(Avgs!B:B,match($A12,Avgs!$A:$A,0))), )</f>
        <v>-973</v>
      </c>
      <c r="C12" s="51">
        <f t="array" ref="C12">iferror(if(and(countif(Elims!$M$4:$M$27,$A12),Elims!$J$3="y"),-973,index(Avgs!C:C,match($A12,Avgs!$A:$A,0))), )</f>
        <v>-973</v>
      </c>
      <c r="D12" s="56">
        <f t="array" ref="D12">iferror(if(and(countif(Elims!$M$4:$M$27,$A12),Elims!$J$3="y"),-973,index(Avgs!D:D,match($A12,Avgs!$A:$A,0))), )</f>
        <v>-973</v>
      </c>
      <c r="E12" s="56">
        <f t="array" ref="E12">iferror(if(and(countif(Elims!$M$4:$M$27,$A12),Elims!$J$3="y"),-973,index(Avgs!E:E,match($A12,Avgs!$A:$A,0))), )</f>
        <v>-973</v>
      </c>
      <c r="F12" s="56">
        <f t="array" ref="F12">iferror(if(and(countif(Elims!$M$4:$M$27,$A12),Elims!$J$3="y"),-973,index(Avgs!F:F,match($A12,Avgs!$A:$A,0))), )</f>
        <v>-973</v>
      </c>
      <c r="G12" s="56">
        <f t="array" ref="G12">iferror(if(and(countif(Elims!$M$4:$M$27,$A12),Elims!$J$3="y"),-973,index(Avgs!G:G,match($A12,Avgs!$A:$A,0))), )</f>
        <v>-973</v>
      </c>
      <c r="H12" s="56">
        <f t="array" ref="H12">iferror(if(and(countif(Elims!$M$4:$M$27,$A12),Elims!$J$3="y"),-973,index(Avgs!H:H,match($A12,Avgs!$A:$A,0))), )</f>
        <v>-973</v>
      </c>
      <c r="I12" s="56">
        <f t="array" ref="I12">iferror(if(and(countif(Elims!$M$4:$M$27,$A12),Elims!$J$3="y"),-973,index(Avgs!I:I,match($A12,Avgs!$A:$A,0))), )</f>
        <v>-973</v>
      </c>
      <c r="J12" s="56">
        <f t="array" ref="J12">iferror(if(and(countif(Elims!$M$4:$M$27,$A12),Elims!$J$3="y"),-973,index(Avgs!J:J,match($A12,Avgs!$A:$A,0))), )</f>
        <v>-973</v>
      </c>
      <c r="K12" s="51">
        <f t="array" ref="K12">iferror(if(and(countif(Elims!$M$4:$M$27,$A12),Elims!$J$3="y"),-973,index(Avgs!K:K,match($A12,Avgs!$A:$A,0))), )</f>
        <v>-973</v>
      </c>
      <c r="L12" s="51">
        <f t="array" ref="L12">iferror(if(and(countif(Elims!$M$4:$M$27,$A12),Elims!$J$3="y"),-973,index(Avgs!L:L,match($A12,Avgs!$A:$A,0))), )</f>
        <v>-973</v>
      </c>
      <c r="M12" s="56">
        <f t="array" ref="M12">iferror(if(and(countif(Elims!$M$4:$M$27,$A12),Elims!$J$3="y"),-973,index(Avgs!M:M,match($A12,Avgs!$A:$A,0))), )</f>
        <v>-973</v>
      </c>
      <c r="N12" s="56">
        <f t="array" ref="N12">iferror(if(and(countif(Elims!$M$4:$M$27,$A12),Elims!$J$3="y"),-973,index(Avgs!N:N,match($A12,Avgs!$A:$A,0))), )</f>
        <v>-973</v>
      </c>
      <c r="O12" s="51">
        <f t="array" ref="O12">iferror(if(and(countif(Elims!$M$4:$M$27,$A12),Elims!$J$3="y"),-973,index(Avgs!O:O,match($A12,Avgs!$A:$A,0))), )</f>
        <v>-973</v>
      </c>
      <c r="P12" s="51">
        <f t="array" ref="P12">iferror(if(and(countif(Elims!$M$4:$M$27,$A12),Elims!$J$3="y"),-973,index(Avgs!P:P,match($A12,Avgs!$A:$A,0))), )</f>
        <v>-973</v>
      </c>
      <c r="Q12" s="51">
        <f t="array" ref="Q12">iferror(if(and(countif(Elims!$M$4:$M$27,$A12),Elims!$J$3="y"),-973,index(Avgs!Q:Q,match($A12,Avgs!$A:$A,0))), )</f>
        <v>-973</v>
      </c>
      <c r="R12" s="58" t="str">
        <f>'Component OPR Dump'!E11</f>
        <v/>
      </c>
      <c r="S12" s="58" t="str">
        <f>'Component OPR Dump'!C11</f>
        <v/>
      </c>
      <c r="T12" s="58" t="str">
        <f>'Component OPR Dump'!H11</f>
        <v/>
      </c>
      <c r="U12" s="58" t="str">
        <f>'Component OPR Dump'!G11</f>
        <v/>
      </c>
      <c r="V12" s="58" t="str">
        <f>'Component OPR Dump'!F11</f>
        <v/>
      </c>
      <c r="W12" s="58" t="str">
        <f>'Component OPR Dump'!I11</f>
        <v/>
      </c>
      <c r="X12" s="63">
        <f>iferror(sumif('Raw Data'!$Q:$Q,$A12,'Raw Data'!L:L)/countif('Raw Data'!$Q:$Q,$A12), )</f>
        <v>0</v>
      </c>
    </row>
    <row r="13">
      <c r="A13" s="46">
        <v>1388.0</v>
      </c>
      <c r="B13" s="51">
        <f t="array" ref="B13">iferror(if(and(countif(Elims!$M$4:$M$27,$A13),Elims!$J$3="y"),-973,index(Avgs!B:B,match($A13,Avgs!$A:$A,0))), )</f>
        <v>31.0952381</v>
      </c>
      <c r="C13" s="51">
        <f t="array" ref="C13">iferror(if(and(countif(Elims!$M$4:$M$27,$A13),Elims!$J$3="y"),-973,index(Avgs!C:C,match($A13,Avgs!$A:$A,0))), )</f>
        <v>70</v>
      </c>
      <c r="D13" s="56">
        <f t="array" ref="D13">iferror(if(and(countif(Elims!$M$4:$M$27,$A13),Elims!$J$3="y"),-973,index(Avgs!D:D,match($A13,Avgs!$A:$A,0))), )</f>
        <v>0</v>
      </c>
      <c r="E13" s="56">
        <f t="array" ref="E13">iferror(if(and(countif(Elims!$M$4:$M$27,$A13),Elims!$J$3="y"),-973,index(Avgs!E:E,match($A13,Avgs!$A:$A,0))), )</f>
        <v>0</v>
      </c>
      <c r="F13" s="56">
        <f t="array" ref="F13">iferror(if(and(countif(Elims!$M$4:$M$27,$A13),Elims!$J$3="y"),-973,index(Avgs!F:F,match($A13,Avgs!$A:$A,0))), )</f>
        <v>0</v>
      </c>
      <c r="G13" s="56">
        <f t="array" ref="G13">iferror(if(and(countif(Elims!$M$4:$M$27,$A13),Elims!$J$3="y"),-973,index(Avgs!G:G,match($A13,Avgs!$A:$A,0))), )</f>
        <v>0</v>
      </c>
      <c r="H13" s="56">
        <f t="array" ref="H13">iferror(if(and(countif(Elims!$M$4:$M$27,$A13),Elims!$J$3="y"),-973,index(Avgs!H:H,match($A13,Avgs!$A:$A,0))), )</f>
        <v>0.1428571429</v>
      </c>
      <c r="I13" s="56">
        <f t="array" ref="I13">iferror(if(and(countif(Elims!$M$4:$M$27,$A13),Elims!$J$3="y"),-973,index(Avgs!I:I,match($A13,Avgs!$A:$A,0))), )</f>
        <v>0</v>
      </c>
      <c r="J13" s="56">
        <f t="array" ref="J13">iferror(if(and(countif(Elims!$M$4:$M$27,$A13),Elims!$J$3="y"),-973,index(Avgs!J:J,match($A13,Avgs!$A:$A,0))), )</f>
        <v>0</v>
      </c>
      <c r="K13" s="51">
        <f t="array" ref="K13">iferror(if(and(countif(Elims!$M$4:$M$27,$A13),Elims!$J$3="y"),-973,index(Avgs!K:K,match($A13,Avgs!$A:$A,0))), )</f>
        <v>0.4285714286</v>
      </c>
      <c r="L13" s="51">
        <f t="array" ref="L13">iferror(if(and(countif(Elims!$M$4:$M$27,$A13),Elims!$J$3="y"),-973,index(Avgs!L:L,match($A13,Avgs!$A:$A,0))), )</f>
        <v>1</v>
      </c>
      <c r="M13" s="56">
        <f t="array" ref="M13">iferror(if(and(countif(Elims!$M$4:$M$27,$A13),Elims!$J$3="y"),-973,index(Avgs!M:M,match($A13,Avgs!$A:$A,0))), )</f>
        <v>0.4285714286</v>
      </c>
      <c r="N13" s="56">
        <f t="array" ref="N13">iferror(if(and(countif(Elims!$M$4:$M$27,$A13),Elims!$J$3="y"),-973,index(Avgs!N:N,match($A13,Avgs!$A:$A,0))), )</f>
        <v>0</v>
      </c>
      <c r="O13" s="51">
        <f t="array" ref="O13">iferror(if(and(countif(Elims!$M$4:$M$27,$A13),Elims!$J$3="y"),-973,index(Avgs!O:O,match($A13,Avgs!$A:$A,0))), )</f>
        <v>0</v>
      </c>
      <c r="P13" s="51">
        <f t="array" ref="P13">iferror(if(and(countif(Elims!$M$4:$M$27,$A13),Elims!$J$3="y"),-973,index(Avgs!P:P,match($A13,Avgs!$A:$A,0))), )</f>
        <v>0</v>
      </c>
      <c r="Q13" s="51">
        <f t="array" ref="Q13">iferror(if(and(countif(Elims!$M$4:$M$27,$A13),Elims!$J$3="y"),-973,index(Avgs!Q:Q,match($A13,Avgs!$A:$A,0))), )</f>
        <v>0.4285714286</v>
      </c>
      <c r="R13" s="58" t="str">
        <f>'Component OPR Dump'!E12</f>
        <v/>
      </c>
      <c r="S13" s="58" t="str">
        <f>'Component OPR Dump'!C12</f>
        <v/>
      </c>
      <c r="T13" s="58" t="str">
        <f>'Component OPR Dump'!H12</f>
        <v/>
      </c>
      <c r="U13" s="58" t="str">
        <f>'Component OPR Dump'!G12</f>
        <v/>
      </c>
      <c r="V13" s="58" t="str">
        <f>'Component OPR Dump'!F12</f>
        <v/>
      </c>
      <c r="W13" s="58" t="str">
        <f>'Component OPR Dump'!I12</f>
        <v/>
      </c>
      <c r="X13" s="63">
        <f>iferror(sumif('Raw Data'!$Q:$Q,$A13,'Raw Data'!L:L)/countif('Raw Data'!$Q:$Q,$A13), )</f>
        <v>0</v>
      </c>
    </row>
    <row r="14">
      <c r="A14" s="46">
        <v>1422.0</v>
      </c>
      <c r="B14" s="51">
        <f t="array" ref="B14">iferror(if(and(countif(Elims!$M$4:$M$27,$A14),Elims!$J$3="y"),-973,index(Avgs!B:B,match($A14,Avgs!$A:$A,0))), )</f>
        <v>14.29365079</v>
      </c>
      <c r="C14" s="51">
        <f t="array" ref="C14">iferror(if(and(countif(Elims!$M$4:$M$27,$A14),Elims!$J$3="y"),-973,index(Avgs!C:C,match($A14,Avgs!$A:$A,0))), )</f>
        <v>26.66666667</v>
      </c>
      <c r="D14" s="56">
        <f t="array" ref="D14">iferror(if(and(countif(Elims!$M$4:$M$27,$A14),Elims!$J$3="y"),-973,index(Avgs!D:D,match($A14,Avgs!$A:$A,0))), )</f>
        <v>0</v>
      </c>
      <c r="E14" s="56">
        <f t="array" ref="E14">iferror(if(and(countif(Elims!$M$4:$M$27,$A14),Elims!$J$3="y"),-973,index(Avgs!E:E,match($A14,Avgs!$A:$A,0))), )</f>
        <v>0</v>
      </c>
      <c r="F14" s="56">
        <f t="array" ref="F14">iferror(if(and(countif(Elims!$M$4:$M$27,$A14),Elims!$J$3="y"),-973,index(Avgs!F:F,match($A14,Avgs!$A:$A,0))), )</f>
        <v>0</v>
      </c>
      <c r="G14" s="56">
        <f t="array" ref="G14">iferror(if(and(countif(Elims!$M$4:$M$27,$A14),Elims!$J$3="y"),-973,index(Avgs!G:G,match($A14,Avgs!$A:$A,0))), )</f>
        <v>0</v>
      </c>
      <c r="H14" s="56">
        <f t="array" ref="H14">iferror(if(and(countif(Elims!$M$4:$M$27,$A14),Elims!$J$3="y"),-973,index(Avgs!H:H,match($A14,Avgs!$A:$A,0))), )</f>
        <v>0.1666666667</v>
      </c>
      <c r="I14" s="56">
        <f t="array" ref="I14">iferror(if(and(countif(Elims!$M$4:$M$27,$A14),Elims!$J$3="y"),-973,index(Avgs!I:I,match($A14,Avgs!$A:$A,0))), )</f>
        <v>0</v>
      </c>
      <c r="J14" s="56">
        <f t="array" ref="J14">iferror(if(and(countif(Elims!$M$4:$M$27,$A14),Elims!$J$3="y"),-973,index(Avgs!J:J,match($A14,Avgs!$A:$A,0))), )</f>
        <v>0</v>
      </c>
      <c r="K14" s="51">
        <f t="array" ref="K14">iferror(if(and(countif(Elims!$M$4:$M$27,$A14),Elims!$J$3="y"),-973,index(Avgs!K:K,match($A14,Avgs!$A:$A,0))), )</f>
        <v>0.6666666667</v>
      </c>
      <c r="L14" s="51">
        <f t="array" ref="L14">iferror(if(and(countif(Elims!$M$4:$M$27,$A14),Elims!$J$3="y"),-973,index(Avgs!L:L,match($A14,Avgs!$A:$A,0))), )</f>
        <v>1</v>
      </c>
      <c r="M14" s="56">
        <f t="array" ref="M14">iferror(if(and(countif(Elims!$M$4:$M$27,$A14),Elims!$J$3="y"),-973,index(Avgs!M:M,match($A14,Avgs!$A:$A,0))), )</f>
        <v>0</v>
      </c>
      <c r="N14" s="56">
        <f t="array" ref="N14">iferror(if(and(countif(Elims!$M$4:$M$27,$A14),Elims!$J$3="y"),-973,index(Avgs!N:N,match($A14,Avgs!$A:$A,0))), )</f>
        <v>0</v>
      </c>
      <c r="O14" s="51">
        <f t="array" ref="O14">iferror(if(and(countif(Elims!$M$4:$M$27,$A14),Elims!$J$3="y"),-973,index(Avgs!O:O,match($A14,Avgs!$A:$A,0))), )</f>
        <v>0</v>
      </c>
      <c r="P14" s="51">
        <f t="array" ref="P14">iferror(if(and(countif(Elims!$M$4:$M$27,$A14),Elims!$J$3="y"),-973,index(Avgs!P:P,match($A14,Avgs!$A:$A,0))), )</f>
        <v>0</v>
      </c>
      <c r="Q14" s="51">
        <f t="array" ref="Q14">iferror(if(and(countif(Elims!$M$4:$M$27,$A14),Elims!$J$3="y"),-973,index(Avgs!Q:Q,match($A14,Avgs!$A:$A,0))), )</f>
        <v>0.6666666667</v>
      </c>
      <c r="R14" s="58" t="str">
        <f>'Component OPR Dump'!E13</f>
        <v/>
      </c>
      <c r="S14" s="58" t="str">
        <f>'Component OPR Dump'!C13</f>
        <v/>
      </c>
      <c r="T14" s="58" t="str">
        <f>'Component OPR Dump'!H13</f>
        <v/>
      </c>
      <c r="U14" s="58" t="str">
        <f>'Component OPR Dump'!G13</f>
        <v/>
      </c>
      <c r="V14" s="58" t="str">
        <f>'Component OPR Dump'!F13</f>
        <v/>
      </c>
      <c r="W14" s="58" t="str">
        <f>'Component OPR Dump'!I13</f>
        <v/>
      </c>
      <c r="X14" s="63">
        <f>iferror(sumif('Raw Data'!$Q:$Q,$A14,'Raw Data'!L:L)/countif('Raw Data'!$Q:$Q,$A14), )</f>
        <v>0</v>
      </c>
    </row>
    <row r="15">
      <c r="A15" s="46">
        <v>1662.0</v>
      </c>
      <c r="B15" s="51">
        <f t="array" ref="B15">iferror(if(and(countif(Elims!$M$4:$M$27,$A15),Elims!$J$3="y"),-973,index(Avgs!B:B,match($A15,Avgs!$A:$A,0))), )</f>
        <v>-973</v>
      </c>
      <c r="C15" s="51">
        <f t="array" ref="C15">iferror(if(and(countif(Elims!$M$4:$M$27,$A15),Elims!$J$3="y"),-973,index(Avgs!C:C,match($A15,Avgs!$A:$A,0))), )</f>
        <v>-973</v>
      </c>
      <c r="D15" s="56">
        <f t="array" ref="D15">iferror(if(and(countif(Elims!$M$4:$M$27,$A15),Elims!$J$3="y"),-973,index(Avgs!D:D,match($A15,Avgs!$A:$A,0))), )</f>
        <v>-973</v>
      </c>
      <c r="E15" s="56">
        <f t="array" ref="E15">iferror(if(and(countif(Elims!$M$4:$M$27,$A15),Elims!$J$3="y"),-973,index(Avgs!E:E,match($A15,Avgs!$A:$A,0))), )</f>
        <v>-973</v>
      </c>
      <c r="F15" s="56">
        <f t="array" ref="F15">iferror(if(and(countif(Elims!$M$4:$M$27,$A15),Elims!$J$3="y"),-973,index(Avgs!F:F,match($A15,Avgs!$A:$A,0))), )</f>
        <v>-973</v>
      </c>
      <c r="G15" s="56">
        <f t="array" ref="G15">iferror(if(and(countif(Elims!$M$4:$M$27,$A15),Elims!$J$3="y"),-973,index(Avgs!G:G,match($A15,Avgs!$A:$A,0))), )</f>
        <v>-973</v>
      </c>
      <c r="H15" s="56">
        <f t="array" ref="H15">iferror(if(and(countif(Elims!$M$4:$M$27,$A15),Elims!$J$3="y"),-973,index(Avgs!H:H,match($A15,Avgs!$A:$A,0))), )</f>
        <v>-973</v>
      </c>
      <c r="I15" s="56">
        <f t="array" ref="I15">iferror(if(and(countif(Elims!$M$4:$M$27,$A15),Elims!$J$3="y"),-973,index(Avgs!I:I,match($A15,Avgs!$A:$A,0))), )</f>
        <v>-973</v>
      </c>
      <c r="J15" s="56">
        <f t="array" ref="J15">iferror(if(and(countif(Elims!$M$4:$M$27,$A15),Elims!$J$3="y"),-973,index(Avgs!J:J,match($A15,Avgs!$A:$A,0))), )</f>
        <v>-973</v>
      </c>
      <c r="K15" s="51">
        <f t="array" ref="K15">iferror(if(and(countif(Elims!$M$4:$M$27,$A15),Elims!$J$3="y"),-973,index(Avgs!K:K,match($A15,Avgs!$A:$A,0))), )</f>
        <v>-973</v>
      </c>
      <c r="L15" s="51">
        <f t="array" ref="L15">iferror(if(and(countif(Elims!$M$4:$M$27,$A15),Elims!$J$3="y"),-973,index(Avgs!L:L,match($A15,Avgs!$A:$A,0))), )</f>
        <v>-973</v>
      </c>
      <c r="M15" s="56">
        <f t="array" ref="M15">iferror(if(and(countif(Elims!$M$4:$M$27,$A15),Elims!$J$3="y"),-973,index(Avgs!M:M,match($A15,Avgs!$A:$A,0))), )</f>
        <v>-973</v>
      </c>
      <c r="N15" s="56">
        <f t="array" ref="N15">iferror(if(and(countif(Elims!$M$4:$M$27,$A15),Elims!$J$3="y"),-973,index(Avgs!N:N,match($A15,Avgs!$A:$A,0))), )</f>
        <v>-973</v>
      </c>
      <c r="O15" s="51">
        <f t="array" ref="O15">iferror(if(and(countif(Elims!$M$4:$M$27,$A15),Elims!$J$3="y"),-973,index(Avgs!O:O,match($A15,Avgs!$A:$A,0))), )</f>
        <v>-973</v>
      </c>
      <c r="P15" s="51">
        <f t="array" ref="P15">iferror(if(and(countif(Elims!$M$4:$M$27,$A15),Elims!$J$3="y"),-973,index(Avgs!P:P,match($A15,Avgs!$A:$A,0))), )</f>
        <v>-973</v>
      </c>
      <c r="Q15" s="51">
        <f t="array" ref="Q15">iferror(if(and(countif(Elims!$M$4:$M$27,$A15),Elims!$J$3="y"),-973,index(Avgs!Q:Q,match($A15,Avgs!$A:$A,0))), )</f>
        <v>-973</v>
      </c>
      <c r="R15" s="58" t="str">
        <f>'Component OPR Dump'!E14</f>
        <v/>
      </c>
      <c r="S15" s="58" t="str">
        <f>'Component OPR Dump'!C14</f>
        <v/>
      </c>
      <c r="T15" s="58" t="str">
        <f>'Component OPR Dump'!H14</f>
        <v/>
      </c>
      <c r="U15" s="58" t="str">
        <f>'Component OPR Dump'!G14</f>
        <v/>
      </c>
      <c r="V15" s="58" t="str">
        <f>'Component OPR Dump'!F14</f>
        <v/>
      </c>
      <c r="W15" s="58" t="str">
        <f>'Component OPR Dump'!I14</f>
        <v/>
      </c>
      <c r="X15" s="63">
        <f>iferror(sumif('Raw Data'!$Q:$Q,$A15,'Raw Data'!L:L)/countif('Raw Data'!$Q:$Q,$A15), )</f>
        <v>0</v>
      </c>
    </row>
    <row r="16">
      <c r="A16" s="46">
        <v>1671.0</v>
      </c>
      <c r="B16" s="51">
        <f t="array" ref="B16">iferror(if(and(countif(Elims!$M$4:$M$27,$A16),Elims!$J$3="y"),-973,index(Avgs!B:B,match($A16,Avgs!$A:$A,0))), )</f>
        <v>-973</v>
      </c>
      <c r="C16" s="51">
        <f t="array" ref="C16">iferror(if(and(countif(Elims!$M$4:$M$27,$A16),Elims!$J$3="y"),-973,index(Avgs!C:C,match($A16,Avgs!$A:$A,0))), )</f>
        <v>-973</v>
      </c>
      <c r="D16" s="56">
        <f t="array" ref="D16">iferror(if(and(countif(Elims!$M$4:$M$27,$A16),Elims!$J$3="y"),-973,index(Avgs!D:D,match($A16,Avgs!$A:$A,0))), )</f>
        <v>-973</v>
      </c>
      <c r="E16" s="56">
        <f t="array" ref="E16">iferror(if(and(countif(Elims!$M$4:$M$27,$A16),Elims!$J$3="y"),-973,index(Avgs!E:E,match($A16,Avgs!$A:$A,0))), )</f>
        <v>-973</v>
      </c>
      <c r="F16" s="56">
        <f t="array" ref="F16">iferror(if(and(countif(Elims!$M$4:$M$27,$A16),Elims!$J$3="y"),-973,index(Avgs!F:F,match($A16,Avgs!$A:$A,0))), )</f>
        <v>-973</v>
      </c>
      <c r="G16" s="56">
        <f t="array" ref="G16">iferror(if(and(countif(Elims!$M$4:$M$27,$A16),Elims!$J$3="y"),-973,index(Avgs!G:G,match($A16,Avgs!$A:$A,0))), )</f>
        <v>-973</v>
      </c>
      <c r="H16" s="56">
        <f t="array" ref="H16">iferror(if(and(countif(Elims!$M$4:$M$27,$A16),Elims!$J$3="y"),-973,index(Avgs!H:H,match($A16,Avgs!$A:$A,0))), )</f>
        <v>-973</v>
      </c>
      <c r="I16" s="56">
        <f t="array" ref="I16">iferror(if(and(countif(Elims!$M$4:$M$27,$A16),Elims!$J$3="y"),-973,index(Avgs!I:I,match($A16,Avgs!$A:$A,0))), )</f>
        <v>-973</v>
      </c>
      <c r="J16" s="56">
        <f t="array" ref="J16">iferror(if(and(countif(Elims!$M$4:$M$27,$A16),Elims!$J$3="y"),-973,index(Avgs!J:J,match($A16,Avgs!$A:$A,0))), )</f>
        <v>-973</v>
      </c>
      <c r="K16" s="51">
        <f t="array" ref="K16">iferror(if(and(countif(Elims!$M$4:$M$27,$A16),Elims!$J$3="y"),-973,index(Avgs!K:K,match($A16,Avgs!$A:$A,0))), )</f>
        <v>-973</v>
      </c>
      <c r="L16" s="51">
        <f t="array" ref="L16">iferror(if(and(countif(Elims!$M$4:$M$27,$A16),Elims!$J$3="y"),-973,index(Avgs!L:L,match($A16,Avgs!$A:$A,0))), )</f>
        <v>-973</v>
      </c>
      <c r="M16" s="56">
        <f t="array" ref="M16">iferror(if(and(countif(Elims!$M$4:$M$27,$A16),Elims!$J$3="y"),-973,index(Avgs!M:M,match($A16,Avgs!$A:$A,0))), )</f>
        <v>-973</v>
      </c>
      <c r="N16" s="56">
        <f t="array" ref="N16">iferror(if(and(countif(Elims!$M$4:$M$27,$A16),Elims!$J$3="y"),-973,index(Avgs!N:N,match($A16,Avgs!$A:$A,0))), )</f>
        <v>-973</v>
      </c>
      <c r="O16" s="51">
        <f t="array" ref="O16">iferror(if(and(countif(Elims!$M$4:$M$27,$A16),Elims!$J$3="y"),-973,index(Avgs!O:O,match($A16,Avgs!$A:$A,0))), )</f>
        <v>-973</v>
      </c>
      <c r="P16" s="51">
        <f t="array" ref="P16">iferror(if(and(countif(Elims!$M$4:$M$27,$A16),Elims!$J$3="y"),-973,index(Avgs!P:P,match($A16,Avgs!$A:$A,0))), )</f>
        <v>-973</v>
      </c>
      <c r="Q16" s="51">
        <f t="array" ref="Q16">iferror(if(and(countif(Elims!$M$4:$M$27,$A16),Elims!$J$3="y"),-973,index(Avgs!Q:Q,match($A16,Avgs!$A:$A,0))), )</f>
        <v>-973</v>
      </c>
      <c r="R16" s="58" t="str">
        <f>'Component OPR Dump'!E15</f>
        <v/>
      </c>
      <c r="S16" s="58" t="str">
        <f>'Component OPR Dump'!C15</f>
        <v/>
      </c>
      <c r="T16" s="58" t="str">
        <f>'Component OPR Dump'!H15</f>
        <v/>
      </c>
      <c r="U16" s="58" t="str">
        <f>'Component OPR Dump'!G15</f>
        <v/>
      </c>
      <c r="V16" s="58" t="str">
        <f>'Component OPR Dump'!F15</f>
        <v/>
      </c>
      <c r="W16" s="58" t="str">
        <f>'Component OPR Dump'!I15</f>
        <v/>
      </c>
      <c r="X16" s="63">
        <f>iferror(sumif('Raw Data'!$Q:$Q,$A16,'Raw Data'!L:L)/countif('Raw Data'!$Q:$Q,$A16), )</f>
        <v>0</v>
      </c>
    </row>
    <row r="17">
      <c r="A17" s="46">
        <v>1678.0</v>
      </c>
      <c r="B17" s="51">
        <f t="array" ref="B17">iferror(if(and(countif(Elims!$M$4:$M$27,$A17),Elims!$J$3="y"),-973,index(Avgs!B:B,match($A17,Avgs!$A:$A,0))), )</f>
        <v>-973</v>
      </c>
      <c r="C17" s="51">
        <f t="array" ref="C17">iferror(if(and(countif(Elims!$M$4:$M$27,$A17),Elims!$J$3="y"),-973,index(Avgs!C:C,match($A17,Avgs!$A:$A,0))), )</f>
        <v>-973</v>
      </c>
      <c r="D17" s="56">
        <f t="array" ref="D17">iferror(if(and(countif(Elims!$M$4:$M$27,$A17),Elims!$J$3="y"),-973,index(Avgs!D:D,match($A17,Avgs!$A:$A,0))), )</f>
        <v>-973</v>
      </c>
      <c r="E17" s="56">
        <f t="array" ref="E17">iferror(if(and(countif(Elims!$M$4:$M$27,$A17),Elims!$J$3="y"),-973,index(Avgs!E:E,match($A17,Avgs!$A:$A,0))), )</f>
        <v>-973</v>
      </c>
      <c r="F17" s="56">
        <f t="array" ref="F17">iferror(if(and(countif(Elims!$M$4:$M$27,$A17),Elims!$J$3="y"),-973,index(Avgs!F:F,match($A17,Avgs!$A:$A,0))), )</f>
        <v>-973</v>
      </c>
      <c r="G17" s="56">
        <f t="array" ref="G17">iferror(if(and(countif(Elims!$M$4:$M$27,$A17),Elims!$J$3="y"),-973,index(Avgs!G:G,match($A17,Avgs!$A:$A,0))), )</f>
        <v>-973</v>
      </c>
      <c r="H17" s="56">
        <f t="array" ref="H17">iferror(if(and(countif(Elims!$M$4:$M$27,$A17),Elims!$J$3="y"),-973,index(Avgs!H:H,match($A17,Avgs!$A:$A,0))), )</f>
        <v>-973</v>
      </c>
      <c r="I17" s="56">
        <f t="array" ref="I17">iferror(if(and(countif(Elims!$M$4:$M$27,$A17),Elims!$J$3="y"),-973,index(Avgs!I:I,match($A17,Avgs!$A:$A,0))), )</f>
        <v>-973</v>
      </c>
      <c r="J17" s="56">
        <f t="array" ref="J17">iferror(if(and(countif(Elims!$M$4:$M$27,$A17),Elims!$J$3="y"),-973,index(Avgs!J:J,match($A17,Avgs!$A:$A,0))), )</f>
        <v>-973</v>
      </c>
      <c r="K17" s="51">
        <f t="array" ref="K17">iferror(if(and(countif(Elims!$M$4:$M$27,$A17),Elims!$J$3="y"),-973,index(Avgs!K:K,match($A17,Avgs!$A:$A,0))), )</f>
        <v>-973</v>
      </c>
      <c r="L17" s="51">
        <f t="array" ref="L17">iferror(if(and(countif(Elims!$M$4:$M$27,$A17),Elims!$J$3="y"),-973,index(Avgs!L:L,match($A17,Avgs!$A:$A,0))), )</f>
        <v>-973</v>
      </c>
      <c r="M17" s="56">
        <f t="array" ref="M17">iferror(if(and(countif(Elims!$M$4:$M$27,$A17),Elims!$J$3="y"),-973,index(Avgs!M:M,match($A17,Avgs!$A:$A,0))), )</f>
        <v>-973</v>
      </c>
      <c r="N17" s="56">
        <f t="array" ref="N17">iferror(if(and(countif(Elims!$M$4:$M$27,$A17),Elims!$J$3="y"),-973,index(Avgs!N:N,match($A17,Avgs!$A:$A,0))), )</f>
        <v>-973</v>
      </c>
      <c r="O17" s="51">
        <f t="array" ref="O17">iferror(if(and(countif(Elims!$M$4:$M$27,$A17),Elims!$J$3="y"),-973,index(Avgs!O:O,match($A17,Avgs!$A:$A,0))), )</f>
        <v>-973</v>
      </c>
      <c r="P17" s="51">
        <f t="array" ref="P17">iferror(if(and(countif(Elims!$M$4:$M$27,$A17),Elims!$J$3="y"),-973,index(Avgs!P:P,match($A17,Avgs!$A:$A,0))), )</f>
        <v>-973</v>
      </c>
      <c r="Q17" s="51">
        <f t="array" ref="Q17">iferror(if(and(countif(Elims!$M$4:$M$27,$A17),Elims!$J$3="y"),-973,index(Avgs!Q:Q,match($A17,Avgs!$A:$A,0))), )</f>
        <v>-973</v>
      </c>
      <c r="R17" s="58" t="str">
        <f>'Component OPR Dump'!E16</f>
        <v/>
      </c>
      <c r="S17" s="58" t="str">
        <f>'Component OPR Dump'!C16</f>
        <v/>
      </c>
      <c r="T17" s="58" t="str">
        <f>'Component OPR Dump'!H16</f>
        <v/>
      </c>
      <c r="U17" s="58" t="str">
        <f>'Component OPR Dump'!G16</f>
        <v/>
      </c>
      <c r="V17" s="58" t="str">
        <f>'Component OPR Dump'!F16</f>
        <v/>
      </c>
      <c r="W17" s="58" t="str">
        <f>'Component OPR Dump'!I16</f>
        <v/>
      </c>
      <c r="X17" s="63">
        <f>iferror(sumif('Raw Data'!$Q:$Q,$A17,'Raw Data'!L:L)/countif('Raw Data'!$Q:$Q,$A17), )</f>
        <v>0</v>
      </c>
    </row>
    <row r="18">
      <c r="A18" s="46">
        <v>1868.0</v>
      </c>
      <c r="B18" s="51">
        <f t="array" ref="B18">iferror(if(and(countif(Elims!$M$4:$M$27,$A18),Elims!$J$3="y"),-973,index(Avgs!B:B,match($A18,Avgs!$A:$A,0))), )</f>
        <v>-973</v>
      </c>
      <c r="C18" s="51">
        <f t="array" ref="C18">iferror(if(and(countif(Elims!$M$4:$M$27,$A18),Elims!$J$3="y"),-973,index(Avgs!C:C,match($A18,Avgs!$A:$A,0))), )</f>
        <v>-973</v>
      </c>
      <c r="D18" s="56">
        <f t="array" ref="D18">iferror(if(and(countif(Elims!$M$4:$M$27,$A18),Elims!$J$3="y"),-973,index(Avgs!D:D,match($A18,Avgs!$A:$A,0))), )</f>
        <v>-973</v>
      </c>
      <c r="E18" s="56">
        <f t="array" ref="E18">iferror(if(and(countif(Elims!$M$4:$M$27,$A18),Elims!$J$3="y"),-973,index(Avgs!E:E,match($A18,Avgs!$A:$A,0))), )</f>
        <v>-973</v>
      </c>
      <c r="F18" s="56">
        <f t="array" ref="F18">iferror(if(and(countif(Elims!$M$4:$M$27,$A18),Elims!$J$3="y"),-973,index(Avgs!F:F,match($A18,Avgs!$A:$A,0))), )</f>
        <v>-973</v>
      </c>
      <c r="G18" s="56">
        <f t="array" ref="G18">iferror(if(and(countif(Elims!$M$4:$M$27,$A18),Elims!$J$3="y"),-973,index(Avgs!G:G,match($A18,Avgs!$A:$A,0))), )</f>
        <v>-973</v>
      </c>
      <c r="H18" s="56">
        <f t="array" ref="H18">iferror(if(and(countif(Elims!$M$4:$M$27,$A18),Elims!$J$3="y"),-973,index(Avgs!H:H,match($A18,Avgs!$A:$A,0))), )</f>
        <v>-973</v>
      </c>
      <c r="I18" s="56">
        <f t="array" ref="I18">iferror(if(and(countif(Elims!$M$4:$M$27,$A18),Elims!$J$3="y"),-973,index(Avgs!I:I,match($A18,Avgs!$A:$A,0))), )</f>
        <v>-973</v>
      </c>
      <c r="J18" s="56">
        <f t="array" ref="J18">iferror(if(and(countif(Elims!$M$4:$M$27,$A18),Elims!$J$3="y"),-973,index(Avgs!J:J,match($A18,Avgs!$A:$A,0))), )</f>
        <v>-973</v>
      </c>
      <c r="K18" s="51">
        <f t="array" ref="K18">iferror(if(and(countif(Elims!$M$4:$M$27,$A18),Elims!$J$3="y"),-973,index(Avgs!K:K,match($A18,Avgs!$A:$A,0))), )</f>
        <v>-973</v>
      </c>
      <c r="L18" s="51">
        <f t="array" ref="L18">iferror(if(and(countif(Elims!$M$4:$M$27,$A18),Elims!$J$3="y"),-973,index(Avgs!L:L,match($A18,Avgs!$A:$A,0))), )</f>
        <v>-973</v>
      </c>
      <c r="M18" s="56">
        <f t="array" ref="M18">iferror(if(and(countif(Elims!$M$4:$M$27,$A18),Elims!$J$3="y"),-973,index(Avgs!M:M,match($A18,Avgs!$A:$A,0))), )</f>
        <v>-973</v>
      </c>
      <c r="N18" s="56">
        <f t="array" ref="N18">iferror(if(and(countif(Elims!$M$4:$M$27,$A18),Elims!$J$3="y"),-973,index(Avgs!N:N,match($A18,Avgs!$A:$A,0))), )</f>
        <v>-973</v>
      </c>
      <c r="O18" s="51">
        <f t="array" ref="O18">iferror(if(and(countif(Elims!$M$4:$M$27,$A18),Elims!$J$3="y"),-973,index(Avgs!O:O,match($A18,Avgs!$A:$A,0))), )</f>
        <v>-973</v>
      </c>
      <c r="P18" s="51">
        <f t="array" ref="P18">iferror(if(and(countif(Elims!$M$4:$M$27,$A18),Elims!$J$3="y"),-973,index(Avgs!P:P,match($A18,Avgs!$A:$A,0))), )</f>
        <v>-973</v>
      </c>
      <c r="Q18" s="51">
        <f t="array" ref="Q18">iferror(if(and(countif(Elims!$M$4:$M$27,$A18),Elims!$J$3="y"),-973,index(Avgs!Q:Q,match($A18,Avgs!$A:$A,0))), )</f>
        <v>-973</v>
      </c>
      <c r="R18" s="58" t="str">
        <f>'Component OPR Dump'!E17</f>
        <v/>
      </c>
      <c r="S18" s="58" t="str">
        <f>'Component OPR Dump'!C17</f>
        <v/>
      </c>
      <c r="T18" s="58" t="str">
        <f>'Component OPR Dump'!H17</f>
        <v/>
      </c>
      <c r="U18" s="58" t="str">
        <f>'Component OPR Dump'!G17</f>
        <v/>
      </c>
      <c r="V18" s="58" t="str">
        <f>'Component OPR Dump'!F17</f>
        <v/>
      </c>
      <c r="W18" s="58" t="str">
        <f>'Component OPR Dump'!I17</f>
        <v/>
      </c>
      <c r="X18" s="63">
        <f>iferror(sumif('Raw Data'!$Q:$Q,$A18,'Raw Data'!L:L)/countif('Raw Data'!$Q:$Q,$A18), )</f>
        <v>0</v>
      </c>
    </row>
    <row r="19">
      <c r="A19" s="46">
        <v>2085.0</v>
      </c>
      <c r="B19" s="51">
        <f t="array" ref="B19">iferror(if(and(countif(Elims!$M$4:$M$27,$A19),Elims!$J$3="y"),-973,index(Avgs!B:B,match($A19,Avgs!$A:$A,0))), )</f>
        <v>-973</v>
      </c>
      <c r="C19" s="51">
        <f t="array" ref="C19">iferror(if(and(countif(Elims!$M$4:$M$27,$A19),Elims!$J$3="y"),-973,index(Avgs!C:C,match($A19,Avgs!$A:$A,0))), )</f>
        <v>-973</v>
      </c>
      <c r="D19" s="56">
        <f t="array" ref="D19">iferror(if(and(countif(Elims!$M$4:$M$27,$A19),Elims!$J$3="y"),-973,index(Avgs!D:D,match($A19,Avgs!$A:$A,0))), )</f>
        <v>-973</v>
      </c>
      <c r="E19" s="56">
        <f t="array" ref="E19">iferror(if(and(countif(Elims!$M$4:$M$27,$A19),Elims!$J$3="y"),-973,index(Avgs!E:E,match($A19,Avgs!$A:$A,0))), )</f>
        <v>-973</v>
      </c>
      <c r="F19" s="56">
        <f t="array" ref="F19">iferror(if(and(countif(Elims!$M$4:$M$27,$A19),Elims!$J$3="y"),-973,index(Avgs!F:F,match($A19,Avgs!$A:$A,0))), )</f>
        <v>-973</v>
      </c>
      <c r="G19" s="56">
        <f t="array" ref="G19">iferror(if(and(countif(Elims!$M$4:$M$27,$A19),Elims!$J$3="y"),-973,index(Avgs!G:G,match($A19,Avgs!$A:$A,0))), )</f>
        <v>-973</v>
      </c>
      <c r="H19" s="56">
        <f t="array" ref="H19">iferror(if(and(countif(Elims!$M$4:$M$27,$A19),Elims!$J$3="y"),-973,index(Avgs!H:H,match($A19,Avgs!$A:$A,0))), )</f>
        <v>-973</v>
      </c>
      <c r="I19" s="56">
        <f t="array" ref="I19">iferror(if(and(countif(Elims!$M$4:$M$27,$A19),Elims!$J$3="y"),-973,index(Avgs!I:I,match($A19,Avgs!$A:$A,0))), )</f>
        <v>-973</v>
      </c>
      <c r="J19" s="56">
        <f t="array" ref="J19">iferror(if(and(countif(Elims!$M$4:$M$27,$A19),Elims!$J$3="y"),-973,index(Avgs!J:J,match($A19,Avgs!$A:$A,0))), )</f>
        <v>-973</v>
      </c>
      <c r="K19" s="51">
        <f t="array" ref="K19">iferror(if(and(countif(Elims!$M$4:$M$27,$A19),Elims!$J$3="y"),-973,index(Avgs!K:K,match($A19,Avgs!$A:$A,0))), )</f>
        <v>-973</v>
      </c>
      <c r="L19" s="51">
        <f t="array" ref="L19">iferror(if(and(countif(Elims!$M$4:$M$27,$A19),Elims!$J$3="y"),-973,index(Avgs!L:L,match($A19,Avgs!$A:$A,0))), )</f>
        <v>-973</v>
      </c>
      <c r="M19" s="56">
        <f t="array" ref="M19">iferror(if(and(countif(Elims!$M$4:$M$27,$A19),Elims!$J$3="y"),-973,index(Avgs!M:M,match($A19,Avgs!$A:$A,0))), )</f>
        <v>-973</v>
      </c>
      <c r="N19" s="56">
        <f t="array" ref="N19">iferror(if(and(countif(Elims!$M$4:$M$27,$A19),Elims!$J$3="y"),-973,index(Avgs!N:N,match($A19,Avgs!$A:$A,0))), )</f>
        <v>-973</v>
      </c>
      <c r="O19" s="51">
        <f t="array" ref="O19">iferror(if(and(countif(Elims!$M$4:$M$27,$A19),Elims!$J$3="y"),-973,index(Avgs!O:O,match($A19,Avgs!$A:$A,0))), )</f>
        <v>-973</v>
      </c>
      <c r="P19" s="51">
        <f t="array" ref="P19">iferror(if(and(countif(Elims!$M$4:$M$27,$A19),Elims!$J$3="y"),-973,index(Avgs!P:P,match($A19,Avgs!$A:$A,0))), )</f>
        <v>-973</v>
      </c>
      <c r="Q19" s="51">
        <f t="array" ref="Q19">iferror(if(and(countif(Elims!$M$4:$M$27,$A19),Elims!$J$3="y"),-973,index(Avgs!Q:Q,match($A19,Avgs!$A:$A,0))), )</f>
        <v>-973</v>
      </c>
      <c r="R19" s="58" t="str">
        <f>'Component OPR Dump'!E18</f>
        <v/>
      </c>
      <c r="S19" s="58" t="str">
        <f>'Component OPR Dump'!C18</f>
        <v/>
      </c>
      <c r="T19" s="58" t="str">
        <f>'Component OPR Dump'!H18</f>
        <v/>
      </c>
      <c r="U19" s="58" t="str">
        <f>'Component OPR Dump'!G18</f>
        <v/>
      </c>
      <c r="V19" s="58" t="str">
        <f>'Component OPR Dump'!F18</f>
        <v/>
      </c>
      <c r="W19" s="58" t="str">
        <f>'Component OPR Dump'!I18</f>
        <v/>
      </c>
      <c r="X19" s="63">
        <f>iferror(sumif('Raw Data'!$Q:$Q,$A19,'Raw Data'!L:L)/countif('Raw Data'!$Q:$Q,$A19), )</f>
        <v>0</v>
      </c>
    </row>
    <row r="20">
      <c r="A20" s="46">
        <v>2135.0</v>
      </c>
      <c r="B20" s="51">
        <f t="array" ref="B20">iferror(if(and(countif(Elims!$M$4:$M$27,$A20),Elims!$J$3="y"),-973,index(Avgs!B:B,match($A20,Avgs!$A:$A,0))), )</f>
        <v>-973</v>
      </c>
      <c r="C20" s="51">
        <f t="array" ref="C20">iferror(if(and(countif(Elims!$M$4:$M$27,$A20),Elims!$J$3="y"),-973,index(Avgs!C:C,match($A20,Avgs!$A:$A,0))), )</f>
        <v>-973</v>
      </c>
      <c r="D20" s="56">
        <f t="array" ref="D20">iferror(if(and(countif(Elims!$M$4:$M$27,$A20),Elims!$J$3="y"),-973,index(Avgs!D:D,match($A20,Avgs!$A:$A,0))), )</f>
        <v>-973</v>
      </c>
      <c r="E20" s="56">
        <f t="array" ref="E20">iferror(if(and(countif(Elims!$M$4:$M$27,$A20),Elims!$J$3="y"),-973,index(Avgs!E:E,match($A20,Avgs!$A:$A,0))), )</f>
        <v>-973</v>
      </c>
      <c r="F20" s="56">
        <f t="array" ref="F20">iferror(if(and(countif(Elims!$M$4:$M$27,$A20),Elims!$J$3="y"),-973,index(Avgs!F:F,match($A20,Avgs!$A:$A,0))), )</f>
        <v>-973</v>
      </c>
      <c r="G20" s="56">
        <f t="array" ref="G20">iferror(if(and(countif(Elims!$M$4:$M$27,$A20),Elims!$J$3="y"),-973,index(Avgs!G:G,match($A20,Avgs!$A:$A,0))), )</f>
        <v>-973</v>
      </c>
      <c r="H20" s="56">
        <f t="array" ref="H20">iferror(if(and(countif(Elims!$M$4:$M$27,$A20),Elims!$J$3="y"),-973,index(Avgs!H:H,match($A20,Avgs!$A:$A,0))), )</f>
        <v>-973</v>
      </c>
      <c r="I20" s="56">
        <f t="array" ref="I20">iferror(if(and(countif(Elims!$M$4:$M$27,$A20),Elims!$J$3="y"),-973,index(Avgs!I:I,match($A20,Avgs!$A:$A,0))), )</f>
        <v>-973</v>
      </c>
      <c r="J20" s="56">
        <f t="array" ref="J20">iferror(if(and(countif(Elims!$M$4:$M$27,$A20),Elims!$J$3="y"),-973,index(Avgs!J:J,match($A20,Avgs!$A:$A,0))), )</f>
        <v>-973</v>
      </c>
      <c r="K20" s="51">
        <f t="array" ref="K20">iferror(if(and(countif(Elims!$M$4:$M$27,$A20),Elims!$J$3="y"),-973,index(Avgs!K:K,match($A20,Avgs!$A:$A,0))), )</f>
        <v>-973</v>
      </c>
      <c r="L20" s="51">
        <f t="array" ref="L20">iferror(if(and(countif(Elims!$M$4:$M$27,$A20),Elims!$J$3="y"),-973,index(Avgs!L:L,match($A20,Avgs!$A:$A,0))), )</f>
        <v>-973</v>
      </c>
      <c r="M20" s="56">
        <f t="array" ref="M20">iferror(if(and(countif(Elims!$M$4:$M$27,$A20),Elims!$J$3="y"),-973,index(Avgs!M:M,match($A20,Avgs!$A:$A,0))), )</f>
        <v>-973</v>
      </c>
      <c r="N20" s="56">
        <f t="array" ref="N20">iferror(if(and(countif(Elims!$M$4:$M$27,$A20),Elims!$J$3="y"),-973,index(Avgs!N:N,match($A20,Avgs!$A:$A,0))), )</f>
        <v>-973</v>
      </c>
      <c r="O20" s="51">
        <f t="array" ref="O20">iferror(if(and(countif(Elims!$M$4:$M$27,$A20),Elims!$J$3="y"),-973,index(Avgs!O:O,match($A20,Avgs!$A:$A,0))), )</f>
        <v>-973</v>
      </c>
      <c r="P20" s="51">
        <f t="array" ref="P20">iferror(if(and(countif(Elims!$M$4:$M$27,$A20),Elims!$J$3="y"),-973,index(Avgs!P:P,match($A20,Avgs!$A:$A,0))), )</f>
        <v>-973</v>
      </c>
      <c r="Q20" s="51">
        <f t="array" ref="Q20">iferror(if(and(countif(Elims!$M$4:$M$27,$A20),Elims!$J$3="y"),-973,index(Avgs!Q:Q,match($A20,Avgs!$A:$A,0))), )</f>
        <v>-973</v>
      </c>
      <c r="R20" s="58" t="str">
        <f>'Component OPR Dump'!E19</f>
        <v/>
      </c>
      <c r="S20" s="58" t="str">
        <f>'Component OPR Dump'!C19</f>
        <v/>
      </c>
      <c r="T20" s="58" t="str">
        <f>'Component OPR Dump'!H19</f>
        <v/>
      </c>
      <c r="U20" s="58" t="str">
        <f>'Component OPR Dump'!G19</f>
        <v/>
      </c>
      <c r="V20" s="58" t="str">
        <f>'Component OPR Dump'!F19</f>
        <v/>
      </c>
      <c r="W20" s="58" t="str">
        <f>'Component OPR Dump'!I19</f>
        <v/>
      </c>
      <c r="X20" s="63">
        <f>iferror(sumif('Raw Data'!$Q:$Q,$A20,'Raw Data'!L:L)/countif('Raw Data'!$Q:$Q,$A20), )</f>
        <v>0</v>
      </c>
    </row>
    <row r="21">
      <c r="A21" s="46">
        <v>2367.0</v>
      </c>
      <c r="B21" s="51">
        <f t="array" ref="B21">iferror(if(and(countif(Elims!$M$4:$M$27,$A21),Elims!$J$3="y"),-973,index(Avgs!B:B,match($A21,Avgs!$A:$A,0))), )</f>
        <v>0</v>
      </c>
      <c r="C21" s="51">
        <f t="array" ref="C21">iferror(if(and(countif(Elims!$M$4:$M$27,$A21),Elims!$J$3="y"),-973,index(Avgs!C:C,match($A21,Avgs!$A:$A,0))), )</f>
        <v>0</v>
      </c>
      <c r="D21" s="56">
        <f t="array" ref="D21">iferror(if(and(countif(Elims!$M$4:$M$27,$A21),Elims!$J$3="y"),-973,index(Avgs!D:D,match($A21,Avgs!$A:$A,0))), )</f>
        <v>0</v>
      </c>
      <c r="E21" s="56">
        <f t="array" ref="E21">iferror(if(and(countif(Elims!$M$4:$M$27,$A21),Elims!$J$3="y"),-973,index(Avgs!E:E,match($A21,Avgs!$A:$A,0))), )</f>
        <v>0</v>
      </c>
      <c r="F21" s="56">
        <f t="array" ref="F21">iferror(if(and(countif(Elims!$M$4:$M$27,$A21),Elims!$J$3="y"),-973,index(Avgs!F:F,match($A21,Avgs!$A:$A,0))), )</f>
        <v>0</v>
      </c>
      <c r="G21" s="56">
        <f t="array" ref="G21">iferror(if(and(countif(Elims!$M$4:$M$27,$A21),Elims!$J$3="y"),-973,index(Avgs!G:G,match($A21,Avgs!$A:$A,0))), )</f>
        <v>0</v>
      </c>
      <c r="H21" s="56">
        <f t="array" ref="H21">iferror(if(and(countif(Elims!$M$4:$M$27,$A21),Elims!$J$3="y"),-973,index(Avgs!H:H,match($A21,Avgs!$A:$A,0))), )</f>
        <v>0</v>
      </c>
      <c r="I21" s="56">
        <f t="array" ref="I21">iferror(if(and(countif(Elims!$M$4:$M$27,$A21),Elims!$J$3="y"),-973,index(Avgs!I:I,match($A21,Avgs!$A:$A,0))), )</f>
        <v>0</v>
      </c>
      <c r="J21" s="56">
        <f t="array" ref="J21">iferror(if(and(countif(Elims!$M$4:$M$27,$A21),Elims!$J$3="y"),-973,index(Avgs!J:J,match($A21,Avgs!$A:$A,0))), )</f>
        <v>0</v>
      </c>
      <c r="K21" s="51">
        <f t="array" ref="K21">iferror(if(and(countif(Elims!$M$4:$M$27,$A21),Elims!$J$3="y"),-973,index(Avgs!K:K,match($A21,Avgs!$A:$A,0))), )</f>
        <v>0</v>
      </c>
      <c r="L21" s="51">
        <f t="array" ref="L21">iferror(if(and(countif(Elims!$M$4:$M$27,$A21),Elims!$J$3="y"),-973,index(Avgs!L:L,match($A21,Avgs!$A:$A,0))), )</f>
        <v>0</v>
      </c>
      <c r="M21" s="56">
        <f t="array" ref="M21">iferror(if(and(countif(Elims!$M$4:$M$27,$A21),Elims!$J$3="y"),-973,index(Avgs!M:M,match($A21,Avgs!$A:$A,0))), )</f>
        <v>0</v>
      </c>
      <c r="N21" s="56">
        <f t="array" ref="N21">iferror(if(and(countif(Elims!$M$4:$M$27,$A21),Elims!$J$3="y"),-973,index(Avgs!N:N,match($A21,Avgs!$A:$A,0))), )</f>
        <v>0.3333333333</v>
      </c>
      <c r="O21" s="51">
        <f t="array" ref="O21">iferror(if(and(countif(Elims!$M$4:$M$27,$A21),Elims!$J$3="y"),-973,index(Avgs!O:O,match($A21,Avgs!$A:$A,0))), )</f>
        <v>0</v>
      </c>
      <c r="P21" s="51">
        <f t="array" ref="P21">iferror(if(and(countif(Elims!$M$4:$M$27,$A21),Elims!$J$3="y"),-973,index(Avgs!P:P,match($A21,Avgs!$A:$A,0))), )</f>
        <v>0</v>
      </c>
      <c r="Q21" s="51">
        <f t="array" ref="Q21">iferror(if(and(countif(Elims!$M$4:$M$27,$A21),Elims!$J$3="y"),-973,index(Avgs!Q:Q,match($A21,Avgs!$A:$A,0))), )</f>
        <v>0</v>
      </c>
      <c r="R21" s="58" t="str">
        <f>'Component OPR Dump'!E20</f>
        <v/>
      </c>
      <c r="S21" s="58" t="str">
        <f>'Component OPR Dump'!C20</f>
        <v/>
      </c>
      <c r="T21" s="58" t="str">
        <f>'Component OPR Dump'!H20</f>
        <v/>
      </c>
      <c r="U21" s="58" t="str">
        <f>'Component OPR Dump'!G20</f>
        <v/>
      </c>
      <c r="V21" s="58" t="str">
        <f>'Component OPR Dump'!F20</f>
        <v/>
      </c>
      <c r="W21" s="58" t="str">
        <f>'Component OPR Dump'!I20</f>
        <v/>
      </c>
      <c r="X21" s="63">
        <f>iferror(sumif('Raw Data'!$Q:$Q,$A21,'Raw Data'!L:L)/countif('Raw Data'!$Q:$Q,$A21), )</f>
        <v>0</v>
      </c>
    </row>
    <row r="22">
      <c r="A22" s="46">
        <v>2493.0</v>
      </c>
      <c r="B22" s="51">
        <f t="array" ref="B22">iferror(if(and(countif(Elims!$M$4:$M$27,$A22),Elims!$J$3="y"),-973,index(Avgs!B:B,match($A22,Avgs!$A:$A,0))), )</f>
        <v>26</v>
      </c>
      <c r="C22" s="51">
        <f t="array" ref="C22">iferror(if(and(countif(Elims!$M$4:$M$27,$A22),Elims!$J$3="y"),-973,index(Avgs!C:C,match($A22,Avgs!$A:$A,0))), )</f>
        <v>68.33333333</v>
      </c>
      <c r="D22" s="56">
        <f t="array" ref="D22">iferror(if(and(countif(Elims!$M$4:$M$27,$A22),Elims!$J$3="y"),-973,index(Avgs!D:D,match($A22,Avgs!$A:$A,0))), )</f>
        <v>0</v>
      </c>
      <c r="E22" s="56">
        <f t="array" ref="E22">iferror(if(and(countif(Elims!$M$4:$M$27,$A22),Elims!$J$3="y"),-973,index(Avgs!E:E,match($A22,Avgs!$A:$A,0))), )</f>
        <v>0</v>
      </c>
      <c r="F22" s="56">
        <f t="array" ref="F22">iferror(if(and(countif(Elims!$M$4:$M$27,$A22),Elims!$J$3="y"),-973,index(Avgs!F:F,match($A22,Avgs!$A:$A,0))), )</f>
        <v>0</v>
      </c>
      <c r="G22" s="56">
        <f t="array" ref="G22">iferror(if(and(countif(Elims!$M$4:$M$27,$A22),Elims!$J$3="y"),-973,index(Avgs!G:G,match($A22,Avgs!$A:$A,0))), )</f>
        <v>0</v>
      </c>
      <c r="H22" s="56">
        <f t="array" ref="H22">iferror(if(and(countif(Elims!$M$4:$M$27,$A22),Elims!$J$3="y"),-973,index(Avgs!H:H,match($A22,Avgs!$A:$A,0))), )</f>
        <v>0.6666666667</v>
      </c>
      <c r="I22" s="56">
        <f t="array" ref="I22">iferror(if(and(countif(Elims!$M$4:$M$27,$A22),Elims!$J$3="y"),-973,index(Avgs!I:I,match($A22,Avgs!$A:$A,0))), )</f>
        <v>0</v>
      </c>
      <c r="J22" s="56">
        <f t="array" ref="J22">iferror(if(and(countif(Elims!$M$4:$M$27,$A22),Elims!$J$3="y"),-973,index(Avgs!J:J,match($A22,Avgs!$A:$A,0))), )</f>
        <v>0</v>
      </c>
      <c r="K22" s="51">
        <f t="array" ref="K22">iferror(if(and(countif(Elims!$M$4:$M$27,$A22),Elims!$J$3="y"),-973,index(Avgs!K:K,match($A22,Avgs!$A:$A,0))), )</f>
        <v>0.8333333333</v>
      </c>
      <c r="L22" s="51">
        <f t="array" ref="L22">iferror(if(and(countif(Elims!$M$4:$M$27,$A22),Elims!$J$3="y"),-973,index(Avgs!L:L,match($A22,Avgs!$A:$A,0))), )</f>
        <v>1</v>
      </c>
      <c r="M22" s="56">
        <f t="array" ref="M22">iferror(if(and(countif(Elims!$M$4:$M$27,$A22),Elims!$J$3="y"),-973,index(Avgs!M:M,match($A22,Avgs!$A:$A,0))), )</f>
        <v>0.1666666667</v>
      </c>
      <c r="N22" s="56">
        <f t="array" ref="N22">iferror(if(and(countif(Elims!$M$4:$M$27,$A22),Elims!$J$3="y"),-973,index(Avgs!N:N,match($A22,Avgs!$A:$A,0))), )</f>
        <v>0</v>
      </c>
      <c r="O22" s="51">
        <f t="array" ref="O22">iferror(if(and(countif(Elims!$M$4:$M$27,$A22),Elims!$J$3="y"),-973,index(Avgs!O:O,match($A22,Avgs!$A:$A,0))), )</f>
        <v>0</v>
      </c>
      <c r="P22" s="51">
        <f t="array" ref="P22">iferror(if(and(countif(Elims!$M$4:$M$27,$A22),Elims!$J$3="y"),-973,index(Avgs!P:P,match($A22,Avgs!$A:$A,0))), )</f>
        <v>0</v>
      </c>
      <c r="Q22" s="51">
        <f t="array" ref="Q22">iferror(if(and(countif(Elims!$M$4:$M$27,$A22),Elims!$J$3="y"),-973,index(Avgs!Q:Q,match($A22,Avgs!$A:$A,0))), )</f>
        <v>0.8333333333</v>
      </c>
      <c r="R22" s="58" t="str">
        <f>'Component OPR Dump'!E21</f>
        <v/>
      </c>
      <c r="S22" s="58" t="str">
        <f>'Component OPR Dump'!C21</f>
        <v/>
      </c>
      <c r="T22" s="58" t="str">
        <f>'Component OPR Dump'!H21</f>
        <v/>
      </c>
      <c r="U22" s="58" t="str">
        <f>'Component OPR Dump'!G21</f>
        <v/>
      </c>
      <c r="V22" s="58" t="str">
        <f>'Component OPR Dump'!F21</f>
        <v/>
      </c>
      <c r="W22" s="58" t="str">
        <f>'Component OPR Dump'!I21</f>
        <v/>
      </c>
      <c r="X22" s="63">
        <f>iferror(sumif('Raw Data'!$Q:$Q,$A22,'Raw Data'!L:L)/countif('Raw Data'!$Q:$Q,$A22), )</f>
        <v>0</v>
      </c>
    </row>
    <row r="23">
      <c r="A23" s="46">
        <v>2643.0</v>
      </c>
      <c r="B23" s="51">
        <f t="array" ref="B23">iferror(if(and(countif(Elims!$M$4:$M$27,$A23),Elims!$J$3="y"),-973,index(Avgs!B:B,match($A23,Avgs!$A:$A,0))), )</f>
        <v>6</v>
      </c>
      <c r="C23" s="51">
        <f t="array" ref="C23">iferror(if(and(countif(Elims!$M$4:$M$27,$A23),Elims!$J$3="y"),-973,index(Avgs!C:C,match($A23,Avgs!$A:$A,0))), )</f>
        <v>16</v>
      </c>
      <c r="D23" s="56">
        <f t="array" ref="D23">iferror(if(and(countif(Elims!$M$4:$M$27,$A23),Elims!$J$3="y"),-973,index(Avgs!D:D,match($A23,Avgs!$A:$A,0))), )</f>
        <v>0</v>
      </c>
      <c r="E23" s="56">
        <f t="array" ref="E23">iferror(if(and(countif(Elims!$M$4:$M$27,$A23),Elims!$J$3="y"),-973,index(Avgs!E:E,match($A23,Avgs!$A:$A,0))), )</f>
        <v>0</v>
      </c>
      <c r="F23" s="56">
        <f t="array" ref="F23">iferror(if(and(countif(Elims!$M$4:$M$27,$A23),Elims!$J$3="y"),-973,index(Avgs!F:F,match($A23,Avgs!$A:$A,0))), )</f>
        <v>0</v>
      </c>
      <c r="G23" s="56">
        <f t="array" ref="G23">iferror(if(and(countif(Elims!$M$4:$M$27,$A23),Elims!$J$3="y"),-973,index(Avgs!G:G,match($A23,Avgs!$A:$A,0))), )</f>
        <v>0</v>
      </c>
      <c r="H23" s="56">
        <f t="array" ref="H23">iferror(if(and(countif(Elims!$M$4:$M$27,$A23),Elims!$J$3="y"),-973,index(Avgs!H:H,match($A23,Avgs!$A:$A,0))), )</f>
        <v>0.6666666667</v>
      </c>
      <c r="I23" s="56">
        <f t="array" ref="I23">iferror(if(and(countif(Elims!$M$4:$M$27,$A23),Elims!$J$3="y"),-973,index(Avgs!I:I,match($A23,Avgs!$A:$A,0))), )</f>
        <v>0</v>
      </c>
      <c r="J23" s="56">
        <f t="array" ref="J23">iferror(if(and(countif(Elims!$M$4:$M$27,$A23),Elims!$J$3="y"),-973,index(Avgs!J:J,match($A23,Avgs!$A:$A,0))), )</f>
        <v>0</v>
      </c>
      <c r="K23" s="51">
        <f t="array" ref="K23">iferror(if(and(countif(Elims!$M$4:$M$27,$A23),Elims!$J$3="y"),-973,index(Avgs!K:K,match($A23,Avgs!$A:$A,0))), )</f>
        <v>0.1666666667</v>
      </c>
      <c r="L23" s="51">
        <f t="array" ref="L23">iferror(if(and(countif(Elims!$M$4:$M$27,$A23),Elims!$J$3="y"),-973,index(Avgs!L:L,match($A23,Avgs!$A:$A,0))), )</f>
        <v>1</v>
      </c>
      <c r="M23" s="56">
        <f t="array" ref="M23">iferror(if(and(countif(Elims!$M$4:$M$27,$A23),Elims!$J$3="y"),-973,index(Avgs!M:M,match($A23,Avgs!$A:$A,0))), )</f>
        <v>0</v>
      </c>
      <c r="N23" s="56">
        <f t="array" ref="N23">iferror(if(and(countif(Elims!$M$4:$M$27,$A23),Elims!$J$3="y"),-973,index(Avgs!N:N,match($A23,Avgs!$A:$A,0))), )</f>
        <v>0</v>
      </c>
      <c r="O23" s="51">
        <f t="array" ref="O23">iferror(if(and(countif(Elims!$M$4:$M$27,$A23),Elims!$J$3="y"),-973,index(Avgs!O:O,match($A23,Avgs!$A:$A,0))), )</f>
        <v>0</v>
      </c>
      <c r="P23" s="51">
        <f t="array" ref="P23">iferror(if(and(countif(Elims!$M$4:$M$27,$A23),Elims!$J$3="y"),-973,index(Avgs!P:P,match($A23,Avgs!$A:$A,0))), )</f>
        <v>0</v>
      </c>
      <c r="Q23" s="51">
        <f t="array" ref="Q23">iferror(if(and(countif(Elims!$M$4:$M$27,$A23),Elims!$J$3="y"),-973,index(Avgs!Q:Q,match($A23,Avgs!$A:$A,0))), )</f>
        <v>0.1666666667</v>
      </c>
      <c r="R23" s="58" t="str">
        <f>'Component OPR Dump'!E22</f>
        <v/>
      </c>
      <c r="S23" s="58" t="str">
        <f>'Component OPR Dump'!C22</f>
        <v/>
      </c>
      <c r="T23" s="58" t="str">
        <f>'Component OPR Dump'!H22</f>
        <v/>
      </c>
      <c r="U23" s="58" t="str">
        <f>'Component OPR Dump'!G22</f>
        <v/>
      </c>
      <c r="V23" s="58" t="str">
        <f>'Component OPR Dump'!F22</f>
        <v/>
      </c>
      <c r="W23" s="58" t="str">
        <f>'Component OPR Dump'!I22</f>
        <v/>
      </c>
      <c r="X23" s="63">
        <f>iferror(sumif('Raw Data'!$Q:$Q,$A23,'Raw Data'!L:L)/countif('Raw Data'!$Q:$Q,$A23), )</f>
        <v>0</v>
      </c>
    </row>
    <row r="24">
      <c r="A24" s="46">
        <v>2761.0</v>
      </c>
      <c r="B24" s="51">
        <f t="array" ref="B24">iferror(if(and(countif(Elims!$M$4:$M$27,$A24),Elims!$J$3="y"),-973,index(Avgs!B:B,match($A24,Avgs!$A:$A,0))), )</f>
        <v>-973</v>
      </c>
      <c r="C24" s="51">
        <f t="array" ref="C24">iferror(if(and(countif(Elims!$M$4:$M$27,$A24),Elims!$J$3="y"),-973,index(Avgs!C:C,match($A24,Avgs!$A:$A,0))), )</f>
        <v>-973</v>
      </c>
      <c r="D24" s="56">
        <f t="array" ref="D24">iferror(if(and(countif(Elims!$M$4:$M$27,$A24),Elims!$J$3="y"),-973,index(Avgs!D:D,match($A24,Avgs!$A:$A,0))), )</f>
        <v>-973</v>
      </c>
      <c r="E24" s="56">
        <f t="array" ref="E24">iferror(if(and(countif(Elims!$M$4:$M$27,$A24),Elims!$J$3="y"),-973,index(Avgs!E:E,match($A24,Avgs!$A:$A,0))), )</f>
        <v>-973</v>
      </c>
      <c r="F24" s="56">
        <f t="array" ref="F24">iferror(if(and(countif(Elims!$M$4:$M$27,$A24),Elims!$J$3="y"),-973,index(Avgs!F:F,match($A24,Avgs!$A:$A,0))), )</f>
        <v>-973</v>
      </c>
      <c r="G24" s="56">
        <f t="array" ref="G24">iferror(if(and(countif(Elims!$M$4:$M$27,$A24),Elims!$J$3="y"),-973,index(Avgs!G:G,match($A24,Avgs!$A:$A,0))), )</f>
        <v>-973</v>
      </c>
      <c r="H24" s="56">
        <f t="array" ref="H24">iferror(if(and(countif(Elims!$M$4:$M$27,$A24),Elims!$J$3="y"),-973,index(Avgs!H:H,match($A24,Avgs!$A:$A,0))), )</f>
        <v>-973</v>
      </c>
      <c r="I24" s="56">
        <f t="array" ref="I24">iferror(if(and(countif(Elims!$M$4:$M$27,$A24),Elims!$J$3="y"),-973,index(Avgs!I:I,match($A24,Avgs!$A:$A,0))), )</f>
        <v>-973</v>
      </c>
      <c r="J24" s="56">
        <f t="array" ref="J24">iferror(if(and(countif(Elims!$M$4:$M$27,$A24),Elims!$J$3="y"),-973,index(Avgs!J:J,match($A24,Avgs!$A:$A,0))), )</f>
        <v>-973</v>
      </c>
      <c r="K24" s="51">
        <f t="array" ref="K24">iferror(if(and(countif(Elims!$M$4:$M$27,$A24),Elims!$J$3="y"),-973,index(Avgs!K:K,match($A24,Avgs!$A:$A,0))), )</f>
        <v>-973</v>
      </c>
      <c r="L24" s="51">
        <f t="array" ref="L24">iferror(if(and(countif(Elims!$M$4:$M$27,$A24),Elims!$J$3="y"),-973,index(Avgs!L:L,match($A24,Avgs!$A:$A,0))), )</f>
        <v>-973</v>
      </c>
      <c r="M24" s="56">
        <f t="array" ref="M24">iferror(if(and(countif(Elims!$M$4:$M$27,$A24),Elims!$J$3="y"),-973,index(Avgs!M:M,match($A24,Avgs!$A:$A,0))), )</f>
        <v>-973</v>
      </c>
      <c r="N24" s="56">
        <f t="array" ref="N24">iferror(if(and(countif(Elims!$M$4:$M$27,$A24),Elims!$J$3="y"),-973,index(Avgs!N:N,match($A24,Avgs!$A:$A,0))), )</f>
        <v>-973</v>
      </c>
      <c r="O24" s="51">
        <f t="array" ref="O24">iferror(if(and(countif(Elims!$M$4:$M$27,$A24),Elims!$J$3="y"),-973,index(Avgs!O:O,match($A24,Avgs!$A:$A,0))), )</f>
        <v>-973</v>
      </c>
      <c r="P24" s="51">
        <f t="array" ref="P24">iferror(if(and(countif(Elims!$M$4:$M$27,$A24),Elims!$J$3="y"),-973,index(Avgs!P:P,match($A24,Avgs!$A:$A,0))), )</f>
        <v>-973</v>
      </c>
      <c r="Q24" s="51">
        <f t="array" ref="Q24">iferror(if(and(countif(Elims!$M$4:$M$27,$A24),Elims!$J$3="y"),-973,index(Avgs!Q:Q,match($A24,Avgs!$A:$A,0))), )</f>
        <v>-973</v>
      </c>
      <c r="R24" s="58" t="str">
        <f>'Component OPR Dump'!E23</f>
        <v/>
      </c>
      <c r="S24" s="58" t="str">
        <f>'Component OPR Dump'!C23</f>
        <v/>
      </c>
      <c r="T24" s="58" t="str">
        <f>'Component OPR Dump'!H23</f>
        <v/>
      </c>
      <c r="U24" s="58" t="str">
        <f>'Component OPR Dump'!G23</f>
        <v/>
      </c>
      <c r="V24" s="58" t="str">
        <f>'Component OPR Dump'!F23</f>
        <v/>
      </c>
      <c r="W24" s="58" t="str">
        <f>'Component OPR Dump'!I23</f>
        <v/>
      </c>
      <c r="X24" s="63">
        <f>iferror(sumif('Raw Data'!$Q:$Q,$A24,'Raw Data'!L:L)/countif('Raw Data'!$Q:$Q,$A24), )</f>
        <v>0</v>
      </c>
    </row>
    <row r="25">
      <c r="A25" s="46">
        <v>2813.0</v>
      </c>
      <c r="B25" s="51">
        <f t="array" ref="B25">iferror(if(and(countif(Elims!$M$4:$M$27,$A25),Elims!$J$3="y"),-973,index(Avgs!B:B,match($A25,Avgs!$A:$A,0))), )</f>
        <v>13</v>
      </c>
      <c r="C25" s="51">
        <f t="array" ref="C25">iferror(if(and(countif(Elims!$M$4:$M$27,$A25),Elims!$J$3="y"),-973,index(Avgs!C:C,match($A25,Avgs!$A:$A,0))), )</f>
        <v>70</v>
      </c>
      <c r="D25" s="56">
        <f t="array" ref="D25">iferror(if(and(countif(Elims!$M$4:$M$27,$A25),Elims!$J$3="y"),-973,index(Avgs!D:D,match($A25,Avgs!$A:$A,0))), )</f>
        <v>0</v>
      </c>
      <c r="E25" s="56">
        <f t="array" ref="E25">iferror(if(and(countif(Elims!$M$4:$M$27,$A25),Elims!$J$3="y"),-973,index(Avgs!E:E,match($A25,Avgs!$A:$A,0))), )</f>
        <v>0</v>
      </c>
      <c r="F25" s="56">
        <f t="array" ref="F25">iferror(if(and(countif(Elims!$M$4:$M$27,$A25),Elims!$J$3="y"),-973,index(Avgs!F:F,match($A25,Avgs!$A:$A,0))), )</f>
        <v>0</v>
      </c>
      <c r="G25" s="56">
        <f t="array" ref="G25">iferror(if(and(countif(Elims!$M$4:$M$27,$A25),Elims!$J$3="y"),-973,index(Avgs!G:G,match($A25,Avgs!$A:$A,0))), )</f>
        <v>0</v>
      </c>
      <c r="H25" s="56">
        <f t="array" ref="H25">iferror(if(and(countif(Elims!$M$4:$M$27,$A25),Elims!$J$3="y"),-973,index(Avgs!H:H,match($A25,Avgs!$A:$A,0))), )</f>
        <v>0</v>
      </c>
      <c r="I25" s="56">
        <f t="array" ref="I25">iferror(if(and(countif(Elims!$M$4:$M$27,$A25),Elims!$J$3="y"),-973,index(Avgs!I:I,match($A25,Avgs!$A:$A,0))), )</f>
        <v>0</v>
      </c>
      <c r="J25" s="56">
        <f t="array" ref="J25">iferror(if(and(countif(Elims!$M$4:$M$27,$A25),Elims!$J$3="y"),-973,index(Avgs!J:J,match($A25,Avgs!$A:$A,0))), )</f>
        <v>0</v>
      </c>
      <c r="K25" s="51">
        <f t="array" ref="K25">iferror(if(and(countif(Elims!$M$4:$M$27,$A25),Elims!$J$3="y"),-973,index(Avgs!K:K,match($A25,Avgs!$A:$A,0))), )</f>
        <v>0.3333333333</v>
      </c>
      <c r="L25" s="51">
        <f t="array" ref="L25">iferror(if(and(countif(Elims!$M$4:$M$27,$A25),Elims!$J$3="y"),-973,index(Avgs!L:L,match($A25,Avgs!$A:$A,0))), )</f>
        <v>1</v>
      </c>
      <c r="M25" s="56">
        <f t="array" ref="M25">iferror(if(and(countif(Elims!$M$4:$M$27,$A25),Elims!$J$3="y"),-973,index(Avgs!M:M,match($A25,Avgs!$A:$A,0))), )</f>
        <v>0.1666666667</v>
      </c>
      <c r="N25" s="56">
        <f t="array" ref="N25">iferror(if(and(countif(Elims!$M$4:$M$27,$A25),Elims!$J$3="y"),-973,index(Avgs!N:N,match($A25,Avgs!$A:$A,0))), )</f>
        <v>0</v>
      </c>
      <c r="O25" s="51">
        <f t="array" ref="O25">iferror(if(and(countif(Elims!$M$4:$M$27,$A25),Elims!$J$3="y"),-973,index(Avgs!O:O,match($A25,Avgs!$A:$A,0))), )</f>
        <v>0</v>
      </c>
      <c r="P25" s="51">
        <f t="array" ref="P25">iferror(if(and(countif(Elims!$M$4:$M$27,$A25),Elims!$J$3="y"),-973,index(Avgs!P:P,match($A25,Avgs!$A:$A,0))), )</f>
        <v>0</v>
      </c>
      <c r="Q25" s="51">
        <f t="array" ref="Q25">iferror(if(and(countif(Elims!$M$4:$M$27,$A25),Elims!$J$3="y"),-973,index(Avgs!Q:Q,match($A25,Avgs!$A:$A,0))), )</f>
        <v>0.3333333333</v>
      </c>
      <c r="R25" s="58" t="str">
        <f>'Component OPR Dump'!E24</f>
        <v/>
      </c>
      <c r="S25" s="58" t="str">
        <f>'Component OPR Dump'!C24</f>
        <v/>
      </c>
      <c r="T25" s="58" t="str">
        <f>'Component OPR Dump'!H24</f>
        <v/>
      </c>
      <c r="U25" s="58" t="str">
        <f>'Component OPR Dump'!G24</f>
        <v/>
      </c>
      <c r="V25" s="58" t="str">
        <f>'Component OPR Dump'!F24</f>
        <v/>
      </c>
      <c r="W25" s="58" t="str">
        <f>'Component OPR Dump'!I24</f>
        <v/>
      </c>
      <c r="X25" s="63">
        <f>iferror(sumif('Raw Data'!$Q:$Q,$A25,'Raw Data'!L:L)/countif('Raw Data'!$Q:$Q,$A25), )</f>
        <v>0</v>
      </c>
    </row>
    <row r="26">
      <c r="A26" s="46">
        <v>3045.0</v>
      </c>
      <c r="B26" s="51">
        <f t="array" ref="B26">iferror(if(and(countif(Elims!$M$4:$M$27,$A26),Elims!$J$3="y"),-973,index(Avgs!B:B,match($A26,Avgs!$A:$A,0))), )</f>
        <v>2.5</v>
      </c>
      <c r="C26" s="51">
        <f t="array" ref="C26">iferror(if(and(countif(Elims!$M$4:$M$27,$A26),Elims!$J$3="y"),-973,index(Avgs!C:C,match($A26,Avgs!$A:$A,0))), )</f>
        <v>5</v>
      </c>
      <c r="D26" s="56">
        <f t="array" ref="D26">iferror(if(and(countif(Elims!$M$4:$M$27,$A26),Elims!$J$3="y"),-973,index(Avgs!D:D,match($A26,Avgs!$A:$A,0))), )</f>
        <v>0</v>
      </c>
      <c r="E26" s="56">
        <f t="array" ref="E26">iferror(if(and(countif(Elims!$M$4:$M$27,$A26),Elims!$J$3="y"),-973,index(Avgs!E:E,match($A26,Avgs!$A:$A,0))), )</f>
        <v>0</v>
      </c>
      <c r="F26" s="56">
        <f t="array" ref="F26">iferror(if(and(countif(Elims!$M$4:$M$27,$A26),Elims!$J$3="y"),-973,index(Avgs!F:F,match($A26,Avgs!$A:$A,0))), )</f>
        <v>0</v>
      </c>
      <c r="G26" s="56">
        <f t="array" ref="G26">iferror(if(and(countif(Elims!$M$4:$M$27,$A26),Elims!$J$3="y"),-973,index(Avgs!G:G,match($A26,Avgs!$A:$A,0))), )</f>
        <v>0</v>
      </c>
      <c r="H26" s="56">
        <f t="array" ref="H26">iferror(if(and(countif(Elims!$M$4:$M$27,$A26),Elims!$J$3="y"),-973,index(Avgs!H:H,match($A26,Avgs!$A:$A,0))), )</f>
        <v>0.5</v>
      </c>
      <c r="I26" s="56">
        <f t="array" ref="I26">iferror(if(and(countif(Elims!$M$4:$M$27,$A26),Elims!$J$3="y"),-973,index(Avgs!I:I,match($A26,Avgs!$A:$A,0))), )</f>
        <v>0</v>
      </c>
      <c r="J26" s="56">
        <f t="array" ref="J26">iferror(if(and(countif(Elims!$M$4:$M$27,$A26),Elims!$J$3="y"),-973,index(Avgs!J:J,match($A26,Avgs!$A:$A,0))), )</f>
        <v>0</v>
      </c>
      <c r="K26" s="51">
        <f t="array" ref="K26">iferror(if(and(countif(Elims!$M$4:$M$27,$A26),Elims!$J$3="y"),-973,index(Avgs!K:K,match($A26,Avgs!$A:$A,0))), )</f>
        <v>0</v>
      </c>
      <c r="L26" s="51">
        <f t="array" ref="L26">iferror(if(and(countif(Elims!$M$4:$M$27,$A26),Elims!$J$3="y"),-973,index(Avgs!L:L,match($A26,Avgs!$A:$A,0))), )</f>
        <v>0</v>
      </c>
      <c r="M26" s="56">
        <f t="array" ref="M26">iferror(if(and(countif(Elims!$M$4:$M$27,$A26),Elims!$J$3="y"),-973,index(Avgs!M:M,match($A26,Avgs!$A:$A,0))), )</f>
        <v>0</v>
      </c>
      <c r="N26" s="56">
        <f t="array" ref="N26">iferror(if(and(countif(Elims!$M$4:$M$27,$A26),Elims!$J$3="y"),-973,index(Avgs!N:N,match($A26,Avgs!$A:$A,0))), )</f>
        <v>0</v>
      </c>
      <c r="O26" s="51">
        <f t="array" ref="O26">iferror(if(and(countif(Elims!$M$4:$M$27,$A26),Elims!$J$3="y"),-973,index(Avgs!O:O,match($A26,Avgs!$A:$A,0))), )</f>
        <v>0</v>
      </c>
      <c r="P26" s="51">
        <f t="array" ref="P26">iferror(if(and(countif(Elims!$M$4:$M$27,$A26),Elims!$J$3="y"),-973,index(Avgs!P:P,match($A26,Avgs!$A:$A,0))), )</f>
        <v>0</v>
      </c>
      <c r="Q26" s="51">
        <f t="array" ref="Q26">iferror(if(and(countif(Elims!$M$4:$M$27,$A26),Elims!$J$3="y"),-973,index(Avgs!Q:Q,match($A26,Avgs!$A:$A,0))), )</f>
        <v>0</v>
      </c>
      <c r="R26" s="58" t="str">
        <f>'Component OPR Dump'!E25</f>
        <v/>
      </c>
      <c r="S26" s="58" t="str">
        <f>'Component OPR Dump'!C25</f>
        <v/>
      </c>
      <c r="T26" s="58" t="str">
        <f>'Component OPR Dump'!H25</f>
        <v/>
      </c>
      <c r="U26" s="58" t="str">
        <f>'Component OPR Dump'!G25</f>
        <v/>
      </c>
      <c r="V26" s="58" t="str">
        <f>'Component OPR Dump'!F25</f>
        <v/>
      </c>
      <c r="W26" s="58" t="str">
        <f>'Component OPR Dump'!I25</f>
        <v/>
      </c>
      <c r="X26" s="63">
        <f>iferror(sumif('Raw Data'!$Q:$Q,$A26,'Raw Data'!L:L)/countif('Raw Data'!$Q:$Q,$A26), )</f>
        <v>0</v>
      </c>
    </row>
    <row r="27">
      <c r="A27" s="71">
        <v>3189.0</v>
      </c>
      <c r="B27" s="51">
        <f t="array" ref="B27">iferror(if(and(countif(Elims!$M$4:$M$27,$A27),Elims!$J$3="y"),-973,index(Avgs!B:B,match($A27,Avgs!$A:$A,0))), )</f>
        <v>51.0952381</v>
      </c>
      <c r="C27" s="51">
        <f t="array" ref="C27">iferror(if(and(countif(Elims!$M$4:$M$27,$A27),Elims!$J$3="y"),-973,index(Avgs!C:C,match($A27,Avgs!$A:$A,0))), )</f>
        <v>141.6666667</v>
      </c>
      <c r="D27" s="56">
        <f t="array" ref="D27">iferror(if(and(countif(Elims!$M$4:$M$27,$A27),Elims!$J$3="y"),-973,index(Avgs!D:D,match($A27,Avgs!$A:$A,0))), )</f>
        <v>0</v>
      </c>
      <c r="E27" s="56">
        <f t="array" ref="E27">iferror(if(and(countif(Elims!$M$4:$M$27,$A27),Elims!$J$3="y"),-973,index(Avgs!E:E,match($A27,Avgs!$A:$A,0))), )</f>
        <v>0</v>
      </c>
      <c r="F27" s="56">
        <f t="array" ref="F27">iferror(if(and(countif(Elims!$M$4:$M$27,$A27),Elims!$J$3="y"),-973,index(Avgs!F:F,match($A27,Avgs!$A:$A,0))), )</f>
        <v>0.2857142857</v>
      </c>
      <c r="G27" s="56">
        <f t="array" ref="G27">iferror(if(and(countif(Elims!$M$4:$M$27,$A27),Elims!$J$3="y"),-973,index(Avgs!G:G,match($A27,Avgs!$A:$A,0))), )</f>
        <v>1</v>
      </c>
      <c r="H27" s="56">
        <f t="array" ref="H27">iferror(if(and(countif(Elims!$M$4:$M$27,$A27),Elims!$J$3="y"),-973,index(Avgs!H:H,match($A27,Avgs!$A:$A,0))), )</f>
        <v>0.7142857143</v>
      </c>
      <c r="I27" s="56">
        <f t="array" ref="I27">iferror(if(and(countif(Elims!$M$4:$M$27,$A27),Elims!$J$3="y"),-973,index(Avgs!I:I,match($A27,Avgs!$A:$A,0))), )</f>
        <v>0</v>
      </c>
      <c r="J27" s="56">
        <f t="array" ref="J27">iferror(if(and(countif(Elims!$M$4:$M$27,$A27),Elims!$J$3="y"),-973,index(Avgs!J:J,match($A27,Avgs!$A:$A,0))), )</f>
        <v>0</v>
      </c>
      <c r="K27" s="51">
        <f t="array" ref="K27">iferror(if(and(countif(Elims!$M$4:$M$27,$A27),Elims!$J$3="y"),-973,index(Avgs!K:K,match($A27,Avgs!$A:$A,0))), )</f>
        <v>0.5714285714</v>
      </c>
      <c r="L27" s="51">
        <f t="array" ref="L27">iferror(if(and(countif(Elims!$M$4:$M$27,$A27),Elims!$J$3="y"),-973,index(Avgs!L:L,match($A27,Avgs!$A:$A,0))), )</f>
        <v>2</v>
      </c>
      <c r="M27" s="56">
        <f t="array" ref="M27">iferror(if(and(countif(Elims!$M$4:$M$27,$A27),Elims!$J$3="y"),-973,index(Avgs!M:M,match($A27,Avgs!$A:$A,0))), )</f>
        <v>0.4285714286</v>
      </c>
      <c r="N27" s="56">
        <f t="array" ref="N27">iferror(if(and(countif(Elims!$M$4:$M$27,$A27),Elims!$J$3="y"),-973,index(Avgs!N:N,match($A27,Avgs!$A:$A,0))), )</f>
        <v>0</v>
      </c>
      <c r="O27" s="51">
        <f t="array" ref="O27">iferror(if(and(countif(Elims!$M$4:$M$27,$A27),Elims!$J$3="y"),-973,index(Avgs!O:O,match($A27,Avgs!$A:$A,0))), )</f>
        <v>17.14285714</v>
      </c>
      <c r="P27" s="51">
        <f t="array" ref="P27">iferror(if(and(countif(Elims!$M$4:$M$27,$A27),Elims!$J$3="y"),-973,index(Avgs!P:P,match($A27,Avgs!$A:$A,0))), )</f>
        <v>0</v>
      </c>
      <c r="Q27" s="51">
        <f t="array" ref="Q27">iferror(if(and(countif(Elims!$M$4:$M$27,$A27),Elims!$J$3="y"),-973,index(Avgs!Q:Q,match($A27,Avgs!$A:$A,0))), )</f>
        <v>0.8571428571</v>
      </c>
      <c r="R27" s="58" t="str">
        <f>'Component OPR Dump'!E26</f>
        <v/>
      </c>
      <c r="S27" s="58" t="str">
        <f>'Component OPR Dump'!C26</f>
        <v/>
      </c>
      <c r="T27" s="58" t="str">
        <f>'Component OPR Dump'!H26</f>
        <v/>
      </c>
      <c r="U27" s="58" t="str">
        <f>'Component OPR Dump'!G26</f>
        <v/>
      </c>
      <c r="V27" s="58" t="str">
        <f>'Component OPR Dump'!F26</f>
        <v/>
      </c>
      <c r="W27" s="58" t="str">
        <f>'Component OPR Dump'!I26</f>
        <v/>
      </c>
      <c r="X27" s="63">
        <f>iferror(sumif('Raw Data'!$Q:$Q,$A27,'Raw Data'!L:L)/countif('Raw Data'!$Q:$Q,$A27), )</f>
        <v>0</v>
      </c>
    </row>
    <row r="28">
      <c r="A28" s="46">
        <v>3256.0</v>
      </c>
      <c r="B28" s="51">
        <f t="array" ref="B28">iferror(if(and(countif(Elims!$M$4:$M$27,$A28),Elims!$J$3="y"),-973,index(Avgs!B:B,match($A28,Avgs!$A:$A,0))), )</f>
        <v>-973</v>
      </c>
      <c r="C28" s="51">
        <f t="array" ref="C28">iferror(if(and(countif(Elims!$M$4:$M$27,$A28),Elims!$J$3="y"),-973,index(Avgs!C:C,match($A28,Avgs!$A:$A,0))), )</f>
        <v>-973</v>
      </c>
      <c r="D28" s="56">
        <f t="array" ref="D28">iferror(if(and(countif(Elims!$M$4:$M$27,$A28),Elims!$J$3="y"),-973,index(Avgs!D:D,match($A28,Avgs!$A:$A,0))), )</f>
        <v>-973</v>
      </c>
      <c r="E28" s="56">
        <f t="array" ref="E28">iferror(if(and(countif(Elims!$M$4:$M$27,$A28),Elims!$J$3="y"),-973,index(Avgs!E:E,match($A28,Avgs!$A:$A,0))), )</f>
        <v>-973</v>
      </c>
      <c r="F28" s="56">
        <f t="array" ref="F28">iferror(if(and(countif(Elims!$M$4:$M$27,$A28),Elims!$J$3="y"),-973,index(Avgs!F:F,match($A28,Avgs!$A:$A,0))), )</f>
        <v>-973</v>
      </c>
      <c r="G28" s="56">
        <f t="array" ref="G28">iferror(if(and(countif(Elims!$M$4:$M$27,$A28),Elims!$J$3="y"),-973,index(Avgs!G:G,match($A28,Avgs!$A:$A,0))), )</f>
        <v>-973</v>
      </c>
      <c r="H28" s="56">
        <f t="array" ref="H28">iferror(if(and(countif(Elims!$M$4:$M$27,$A28),Elims!$J$3="y"),-973,index(Avgs!H:H,match($A28,Avgs!$A:$A,0))), )</f>
        <v>-973</v>
      </c>
      <c r="I28" s="56">
        <f t="array" ref="I28">iferror(if(and(countif(Elims!$M$4:$M$27,$A28),Elims!$J$3="y"),-973,index(Avgs!I:I,match($A28,Avgs!$A:$A,0))), )</f>
        <v>-973</v>
      </c>
      <c r="J28" s="56">
        <f t="array" ref="J28">iferror(if(and(countif(Elims!$M$4:$M$27,$A28),Elims!$J$3="y"),-973,index(Avgs!J:J,match($A28,Avgs!$A:$A,0))), )</f>
        <v>-973</v>
      </c>
      <c r="K28" s="51">
        <f t="array" ref="K28">iferror(if(and(countif(Elims!$M$4:$M$27,$A28),Elims!$J$3="y"),-973,index(Avgs!K:K,match($A28,Avgs!$A:$A,0))), )</f>
        <v>-973</v>
      </c>
      <c r="L28" s="51">
        <f t="array" ref="L28">iferror(if(and(countif(Elims!$M$4:$M$27,$A28),Elims!$J$3="y"),-973,index(Avgs!L:L,match($A28,Avgs!$A:$A,0))), )</f>
        <v>-973</v>
      </c>
      <c r="M28" s="56">
        <f t="array" ref="M28">iferror(if(and(countif(Elims!$M$4:$M$27,$A28),Elims!$J$3="y"),-973,index(Avgs!M:M,match($A28,Avgs!$A:$A,0))), )</f>
        <v>-973</v>
      </c>
      <c r="N28" s="56">
        <f t="array" ref="N28">iferror(if(and(countif(Elims!$M$4:$M$27,$A28),Elims!$J$3="y"),-973,index(Avgs!N:N,match($A28,Avgs!$A:$A,0))), )</f>
        <v>-973</v>
      </c>
      <c r="O28" s="51">
        <f t="array" ref="O28">iferror(if(and(countif(Elims!$M$4:$M$27,$A28),Elims!$J$3="y"),-973,index(Avgs!O:O,match($A28,Avgs!$A:$A,0))), )</f>
        <v>-973</v>
      </c>
      <c r="P28" s="51">
        <f t="array" ref="P28">iferror(if(and(countif(Elims!$M$4:$M$27,$A28),Elims!$J$3="y"),-973,index(Avgs!P:P,match($A28,Avgs!$A:$A,0))), )</f>
        <v>-973</v>
      </c>
      <c r="Q28" s="51">
        <f t="array" ref="Q28">iferror(if(and(countif(Elims!$M$4:$M$27,$A28),Elims!$J$3="y"),-973,index(Avgs!Q:Q,match($A28,Avgs!$A:$A,0))), )</f>
        <v>-973</v>
      </c>
      <c r="R28" s="58" t="str">
        <f>'Component OPR Dump'!E27</f>
        <v/>
      </c>
      <c r="S28" s="58" t="str">
        <f>'Component OPR Dump'!C27</f>
        <v/>
      </c>
      <c r="T28" s="58" t="str">
        <f>'Component OPR Dump'!H27</f>
        <v/>
      </c>
      <c r="U28" s="58" t="str">
        <f>'Component OPR Dump'!G27</f>
        <v/>
      </c>
      <c r="V28" s="58" t="str">
        <f>'Component OPR Dump'!F27</f>
        <v/>
      </c>
      <c r="W28" s="58" t="str">
        <f>'Component OPR Dump'!I27</f>
        <v/>
      </c>
      <c r="X28" s="63">
        <f>iferror(sumif('Raw Data'!$Q:$Q,$A28,'Raw Data'!L:L)/countif('Raw Data'!$Q:$Q,$A28), )</f>
        <v>0</v>
      </c>
    </row>
    <row r="29">
      <c r="A29" s="46">
        <v>3303.0</v>
      </c>
      <c r="B29" s="51">
        <f t="array" ref="B29">iferror(if(and(countif(Elims!$M$4:$M$27,$A29),Elims!$J$3="y"),-973,index(Avgs!B:B,match($A29,Avgs!$A:$A,0))), )</f>
        <v>-973</v>
      </c>
      <c r="C29" s="51">
        <f t="array" ref="C29">iferror(if(and(countif(Elims!$M$4:$M$27,$A29),Elims!$J$3="y"),-973,index(Avgs!C:C,match($A29,Avgs!$A:$A,0))), )</f>
        <v>-973</v>
      </c>
      <c r="D29" s="56">
        <f t="array" ref="D29">iferror(if(and(countif(Elims!$M$4:$M$27,$A29),Elims!$J$3="y"),-973,index(Avgs!D:D,match($A29,Avgs!$A:$A,0))), )</f>
        <v>-973</v>
      </c>
      <c r="E29" s="56">
        <f t="array" ref="E29">iferror(if(and(countif(Elims!$M$4:$M$27,$A29),Elims!$J$3="y"),-973,index(Avgs!E:E,match($A29,Avgs!$A:$A,0))), )</f>
        <v>-973</v>
      </c>
      <c r="F29" s="56">
        <f t="array" ref="F29">iferror(if(and(countif(Elims!$M$4:$M$27,$A29),Elims!$J$3="y"),-973,index(Avgs!F:F,match($A29,Avgs!$A:$A,0))), )</f>
        <v>-973</v>
      </c>
      <c r="G29" s="56">
        <f t="array" ref="G29">iferror(if(and(countif(Elims!$M$4:$M$27,$A29),Elims!$J$3="y"),-973,index(Avgs!G:G,match($A29,Avgs!$A:$A,0))), )</f>
        <v>-973</v>
      </c>
      <c r="H29" s="56">
        <f t="array" ref="H29">iferror(if(and(countif(Elims!$M$4:$M$27,$A29),Elims!$J$3="y"),-973,index(Avgs!H:H,match($A29,Avgs!$A:$A,0))), )</f>
        <v>-973</v>
      </c>
      <c r="I29" s="56">
        <f t="array" ref="I29">iferror(if(and(countif(Elims!$M$4:$M$27,$A29),Elims!$J$3="y"),-973,index(Avgs!I:I,match($A29,Avgs!$A:$A,0))), )</f>
        <v>-973</v>
      </c>
      <c r="J29" s="56">
        <f t="array" ref="J29">iferror(if(and(countif(Elims!$M$4:$M$27,$A29),Elims!$J$3="y"),-973,index(Avgs!J:J,match($A29,Avgs!$A:$A,0))), )</f>
        <v>-973</v>
      </c>
      <c r="K29" s="51">
        <f t="array" ref="K29">iferror(if(and(countif(Elims!$M$4:$M$27,$A29),Elims!$J$3="y"),-973,index(Avgs!K:K,match($A29,Avgs!$A:$A,0))), )</f>
        <v>-973</v>
      </c>
      <c r="L29" s="51">
        <f t="array" ref="L29">iferror(if(and(countif(Elims!$M$4:$M$27,$A29),Elims!$J$3="y"),-973,index(Avgs!L:L,match($A29,Avgs!$A:$A,0))), )</f>
        <v>-973</v>
      </c>
      <c r="M29" s="56">
        <f t="array" ref="M29">iferror(if(and(countif(Elims!$M$4:$M$27,$A29),Elims!$J$3="y"),-973,index(Avgs!M:M,match($A29,Avgs!$A:$A,0))), )</f>
        <v>-973</v>
      </c>
      <c r="N29" s="56">
        <f t="array" ref="N29">iferror(if(and(countif(Elims!$M$4:$M$27,$A29),Elims!$J$3="y"),-973,index(Avgs!N:N,match($A29,Avgs!$A:$A,0))), )</f>
        <v>-973</v>
      </c>
      <c r="O29" s="51">
        <f t="array" ref="O29">iferror(if(and(countif(Elims!$M$4:$M$27,$A29),Elims!$J$3="y"),-973,index(Avgs!O:O,match($A29,Avgs!$A:$A,0))), )</f>
        <v>-973</v>
      </c>
      <c r="P29" s="51">
        <f t="array" ref="P29">iferror(if(and(countif(Elims!$M$4:$M$27,$A29),Elims!$J$3="y"),-973,index(Avgs!P:P,match($A29,Avgs!$A:$A,0))), )</f>
        <v>-973</v>
      </c>
      <c r="Q29" s="51">
        <f t="array" ref="Q29">iferror(if(and(countif(Elims!$M$4:$M$27,$A29),Elims!$J$3="y"),-973,index(Avgs!Q:Q,match($A29,Avgs!$A:$A,0))), )</f>
        <v>-973</v>
      </c>
      <c r="R29" s="58" t="str">
        <f>'Component OPR Dump'!E28</f>
        <v/>
      </c>
      <c r="S29" s="58" t="str">
        <f>'Component OPR Dump'!C28</f>
        <v/>
      </c>
      <c r="T29" s="58" t="str">
        <f>'Component OPR Dump'!H28</f>
        <v/>
      </c>
      <c r="U29" s="58" t="str">
        <f>'Component OPR Dump'!G28</f>
        <v/>
      </c>
      <c r="V29" s="58" t="str">
        <f>'Component OPR Dump'!F28</f>
        <v/>
      </c>
      <c r="W29" s="58" t="str">
        <f>'Component OPR Dump'!I28</f>
        <v/>
      </c>
      <c r="X29" s="63">
        <f>iferror(sumif('Raw Data'!$Q:$Q,$A29,'Raw Data'!L:L)/countif('Raw Data'!$Q:$Q,$A29), )</f>
        <v>0</v>
      </c>
    </row>
    <row r="30">
      <c r="A30" s="71">
        <v>3495.0</v>
      </c>
      <c r="B30" s="51">
        <f t="array" ref="B30">iferror(if(and(countif(Elims!$M$4:$M$27,$A30),Elims!$J$3="y"),-973,index(Avgs!B:B,match($A30,Avgs!$A:$A,0))), )</f>
        <v>16.94444444</v>
      </c>
      <c r="C30" s="51">
        <f t="array" ref="C30">iferror(if(and(countif(Elims!$M$4:$M$27,$A30),Elims!$J$3="y"),-973,index(Avgs!C:C,match($A30,Avgs!$A:$A,0))), )</f>
        <v>45</v>
      </c>
      <c r="D30" s="56">
        <f t="array" ref="D30">iferror(if(and(countif(Elims!$M$4:$M$27,$A30),Elims!$J$3="y"),-973,index(Avgs!D:D,match($A30,Avgs!$A:$A,0))), )</f>
        <v>0</v>
      </c>
      <c r="E30" s="56">
        <f t="array" ref="E30">iferror(if(and(countif(Elims!$M$4:$M$27,$A30),Elims!$J$3="y"),-973,index(Avgs!E:E,match($A30,Avgs!$A:$A,0))), )</f>
        <v>0</v>
      </c>
      <c r="F30" s="56">
        <f t="array" ref="F30">iferror(if(and(countif(Elims!$M$4:$M$27,$A30),Elims!$J$3="y"),-973,index(Avgs!F:F,match($A30,Avgs!$A:$A,0))), )</f>
        <v>0</v>
      </c>
      <c r="G30" s="56">
        <f t="array" ref="G30">iferror(if(and(countif(Elims!$M$4:$M$27,$A30),Elims!$J$3="y"),-973,index(Avgs!G:G,match($A30,Avgs!$A:$A,0))), )</f>
        <v>0</v>
      </c>
      <c r="H30" s="56">
        <f t="array" ref="H30">iferror(if(and(countif(Elims!$M$4:$M$27,$A30),Elims!$J$3="y"),-973,index(Avgs!H:H,match($A30,Avgs!$A:$A,0))), )</f>
        <v>0.5</v>
      </c>
      <c r="I30" s="56">
        <f t="array" ref="I30">iferror(if(and(countif(Elims!$M$4:$M$27,$A30),Elims!$J$3="y"),-973,index(Avgs!I:I,match($A30,Avgs!$A:$A,0))), )</f>
        <v>0</v>
      </c>
      <c r="J30" s="56">
        <f t="array" ref="J30">iferror(if(and(countif(Elims!$M$4:$M$27,$A30),Elims!$J$3="y"),-973,index(Avgs!J:J,match($A30,Avgs!$A:$A,0))), )</f>
        <v>0</v>
      </c>
      <c r="K30" s="51">
        <f t="array" ref="K30">iferror(if(and(countif(Elims!$M$4:$M$27,$A30),Elims!$J$3="y"),-973,index(Avgs!K:K,match($A30,Avgs!$A:$A,0))), )</f>
        <v>0.6666666667</v>
      </c>
      <c r="L30" s="51">
        <f t="array" ref="L30">iferror(if(and(countif(Elims!$M$4:$M$27,$A30),Elims!$J$3="y"),-973,index(Avgs!L:L,match($A30,Avgs!$A:$A,0))), )</f>
        <v>2</v>
      </c>
      <c r="M30" s="56">
        <f t="array" ref="M30">iferror(if(and(countif(Elims!$M$4:$M$27,$A30),Elims!$J$3="y"),-973,index(Avgs!M:M,match($A30,Avgs!$A:$A,0))), )</f>
        <v>0</v>
      </c>
      <c r="N30" s="56">
        <f t="array" ref="N30">iferror(if(and(countif(Elims!$M$4:$M$27,$A30),Elims!$J$3="y"),-973,index(Avgs!N:N,match($A30,Avgs!$A:$A,0))), )</f>
        <v>0</v>
      </c>
      <c r="O30" s="51">
        <f t="array" ref="O30">iferror(if(and(countif(Elims!$M$4:$M$27,$A30),Elims!$J$3="y"),-973,index(Avgs!O:O,match($A30,Avgs!$A:$A,0))), )</f>
        <v>0</v>
      </c>
      <c r="P30" s="51">
        <f t="array" ref="P30">iferror(if(and(countif(Elims!$M$4:$M$27,$A30),Elims!$J$3="y"),-973,index(Avgs!P:P,match($A30,Avgs!$A:$A,0))), )</f>
        <v>0</v>
      </c>
      <c r="Q30" s="51">
        <f t="array" ref="Q30">iferror(if(and(countif(Elims!$M$4:$M$27,$A30),Elims!$J$3="y"),-973,index(Avgs!Q:Q,match($A30,Avgs!$A:$A,0))), )</f>
        <v>0.6666666667</v>
      </c>
      <c r="R30" s="58" t="str">
        <f>'Component OPR Dump'!E29</f>
        <v/>
      </c>
      <c r="S30" s="58" t="str">
        <f>'Component OPR Dump'!C29</f>
        <v/>
      </c>
      <c r="T30" s="58" t="str">
        <f>'Component OPR Dump'!H29</f>
        <v/>
      </c>
      <c r="U30" s="58" t="str">
        <f>'Component OPR Dump'!G29</f>
        <v/>
      </c>
      <c r="V30" s="58" t="str">
        <f>'Component OPR Dump'!F29</f>
        <v/>
      </c>
      <c r="W30" s="58" t="str">
        <f>'Component OPR Dump'!I29</f>
        <v/>
      </c>
      <c r="X30" s="63">
        <f>iferror(sumif('Raw Data'!$Q:$Q,$A30,'Raw Data'!L:L)/countif('Raw Data'!$Q:$Q,$A30), )</f>
        <v>0</v>
      </c>
    </row>
    <row r="31">
      <c r="A31" s="71">
        <v>3501.0</v>
      </c>
      <c r="B31" s="51">
        <f t="array" ref="B31">iferror(if(and(countif(Elims!$M$4:$M$27,$A31),Elims!$J$3="y"),-973,index(Avgs!B:B,match($A31,Avgs!$A:$A,0))), )</f>
        <v>31.70068027</v>
      </c>
      <c r="C31" s="51">
        <f t="array" ref="C31">iferror(if(and(countif(Elims!$M$4:$M$27,$A31),Elims!$J$3="y"),-973,index(Avgs!C:C,match($A31,Avgs!$A:$A,0))), )</f>
        <v>65</v>
      </c>
      <c r="D31" s="56">
        <f t="array" ref="D31">iferror(if(and(countif(Elims!$M$4:$M$27,$A31),Elims!$J$3="y"),-973,index(Avgs!D:D,match($A31,Avgs!$A:$A,0))), )</f>
        <v>0</v>
      </c>
      <c r="E31" s="56">
        <f t="array" ref="E31">iferror(if(and(countif(Elims!$M$4:$M$27,$A31),Elims!$J$3="y"),-973,index(Avgs!E:E,match($A31,Avgs!$A:$A,0))), )</f>
        <v>0</v>
      </c>
      <c r="F31" s="56">
        <f t="array" ref="F31">iferror(if(and(countif(Elims!$M$4:$M$27,$A31),Elims!$J$3="y"),-973,index(Avgs!F:F,match($A31,Avgs!$A:$A,0))), )</f>
        <v>0.1428571429</v>
      </c>
      <c r="G31" s="56">
        <f t="array" ref="G31">iferror(if(and(countif(Elims!$M$4:$M$27,$A31),Elims!$J$3="y"),-973,index(Avgs!G:G,match($A31,Avgs!$A:$A,0))), )</f>
        <v>1</v>
      </c>
      <c r="H31" s="56">
        <f t="array" ref="H31">iferror(if(and(countif(Elims!$M$4:$M$27,$A31),Elims!$J$3="y"),-973,index(Avgs!H:H,match($A31,Avgs!$A:$A,0))), )</f>
        <v>0.5714285714</v>
      </c>
      <c r="I31" s="56">
        <f t="array" ref="I31">iferror(if(and(countif(Elims!$M$4:$M$27,$A31),Elims!$J$3="y"),-973,index(Avgs!I:I,match($A31,Avgs!$A:$A,0))), )</f>
        <v>0</v>
      </c>
      <c r="J31" s="56">
        <f t="array" ref="J31">iferror(if(and(countif(Elims!$M$4:$M$27,$A31),Elims!$J$3="y"),-973,index(Avgs!J:J,match($A31,Avgs!$A:$A,0))), )</f>
        <v>0</v>
      </c>
      <c r="K31" s="51">
        <f t="array" ref="K31">iferror(if(and(countif(Elims!$M$4:$M$27,$A31),Elims!$J$3="y"),-973,index(Avgs!K:K,match($A31,Avgs!$A:$A,0))), )</f>
        <v>1.285714286</v>
      </c>
      <c r="L31" s="51">
        <f t="array" ref="L31">iferror(if(and(countif(Elims!$M$4:$M$27,$A31),Elims!$J$3="y"),-973,index(Avgs!L:L,match($A31,Avgs!$A:$A,0))), )</f>
        <v>3</v>
      </c>
      <c r="M31" s="56">
        <f t="array" ref="M31">iferror(if(and(countif(Elims!$M$4:$M$27,$A31),Elims!$J$3="y"),-973,index(Avgs!M:M,match($A31,Avgs!$A:$A,0))), )</f>
        <v>0</v>
      </c>
      <c r="N31" s="56">
        <f t="array" ref="N31">iferror(if(and(countif(Elims!$M$4:$M$27,$A31),Elims!$J$3="y"),-973,index(Avgs!N:N,match($A31,Avgs!$A:$A,0))), )</f>
        <v>0</v>
      </c>
      <c r="O31" s="51">
        <f t="array" ref="O31">iferror(if(and(countif(Elims!$M$4:$M$27,$A31),Elims!$J$3="y"),-973,index(Avgs!O:O,match($A31,Avgs!$A:$A,0))), )</f>
        <v>8.571428571</v>
      </c>
      <c r="P31" s="51">
        <f t="array" ref="P31">iferror(if(and(countif(Elims!$M$4:$M$27,$A31),Elims!$J$3="y"),-973,index(Avgs!P:P,match($A31,Avgs!$A:$A,0))), )</f>
        <v>0</v>
      </c>
      <c r="Q31" s="51">
        <f t="array" ref="Q31">iferror(if(and(countif(Elims!$M$4:$M$27,$A31),Elims!$J$3="y"),-973,index(Avgs!Q:Q,match($A31,Avgs!$A:$A,0))), )</f>
        <v>1.428571429</v>
      </c>
      <c r="R31" s="58" t="str">
        <f>'Component OPR Dump'!E30</f>
        <v/>
      </c>
      <c r="S31" s="58" t="str">
        <f>'Component OPR Dump'!C30</f>
        <v/>
      </c>
      <c r="T31" s="58" t="str">
        <f>'Component OPR Dump'!H30</f>
        <v/>
      </c>
      <c r="U31" s="58" t="str">
        <f>'Component OPR Dump'!G30</f>
        <v/>
      </c>
      <c r="V31" s="58" t="str">
        <f>'Component OPR Dump'!F30</f>
        <v/>
      </c>
      <c r="W31" s="58" t="str">
        <f>'Component OPR Dump'!I30</f>
        <v/>
      </c>
      <c r="X31" s="63">
        <f>iferror(sumif('Raw Data'!$Q:$Q,$A31,'Raw Data'!L:L)/countif('Raw Data'!$Q:$Q,$A31), )</f>
        <v>0</v>
      </c>
    </row>
    <row r="32">
      <c r="A32" s="71">
        <v>3970.0</v>
      </c>
      <c r="B32" s="51">
        <f t="array" ref="B32">iferror(if(and(countif(Elims!$M$4:$M$27,$A32),Elims!$J$3="y"),-973,index(Avgs!B:B,match($A32,Avgs!$A:$A,0))), )</f>
        <v>28.57936508</v>
      </c>
      <c r="C32" s="51">
        <f t="array" ref="C32">iferror(if(and(countif(Elims!$M$4:$M$27,$A32),Elims!$J$3="y"),-973,index(Avgs!C:C,match($A32,Avgs!$A:$A,0))), )</f>
        <v>71</v>
      </c>
      <c r="D32" s="56">
        <f t="array" ref="D32">iferror(if(and(countif(Elims!$M$4:$M$27,$A32),Elims!$J$3="y"),-973,index(Avgs!D:D,match($A32,Avgs!$A:$A,0))), )</f>
        <v>0</v>
      </c>
      <c r="E32" s="56">
        <f t="array" ref="E32">iferror(if(and(countif(Elims!$M$4:$M$27,$A32),Elims!$J$3="y"),-973,index(Avgs!E:E,match($A32,Avgs!$A:$A,0))), )</f>
        <v>0</v>
      </c>
      <c r="F32" s="56">
        <f t="array" ref="F32">iferror(if(and(countif(Elims!$M$4:$M$27,$A32),Elims!$J$3="y"),-973,index(Avgs!F:F,match($A32,Avgs!$A:$A,0))), )</f>
        <v>0</v>
      </c>
      <c r="G32" s="56">
        <f t="array" ref="G32">iferror(if(and(countif(Elims!$M$4:$M$27,$A32),Elims!$J$3="y"),-973,index(Avgs!G:G,match($A32,Avgs!$A:$A,0))), )</f>
        <v>0</v>
      </c>
      <c r="H32" s="56">
        <f t="array" ref="H32">iferror(if(and(countif(Elims!$M$4:$M$27,$A32),Elims!$J$3="y"),-973,index(Avgs!H:H,match($A32,Avgs!$A:$A,0))), )</f>
        <v>0.5</v>
      </c>
      <c r="I32" s="56">
        <f t="array" ref="I32">iferror(if(and(countif(Elims!$M$4:$M$27,$A32),Elims!$J$3="y"),-973,index(Avgs!I:I,match($A32,Avgs!$A:$A,0))), )</f>
        <v>0</v>
      </c>
      <c r="J32" s="56">
        <f t="array" ref="J32">iferror(if(and(countif(Elims!$M$4:$M$27,$A32),Elims!$J$3="y"),-973,index(Avgs!J:J,match($A32,Avgs!$A:$A,0))), )</f>
        <v>0</v>
      </c>
      <c r="K32" s="51">
        <f t="array" ref="K32">iferror(if(and(countif(Elims!$M$4:$M$27,$A32),Elims!$J$3="y"),-973,index(Avgs!K:K,match($A32,Avgs!$A:$A,0))), )</f>
        <v>0.8333333333</v>
      </c>
      <c r="L32" s="51">
        <f t="array" ref="L32">iferror(if(and(countif(Elims!$M$4:$M$27,$A32),Elims!$J$3="y"),-973,index(Avgs!L:L,match($A32,Avgs!$A:$A,0))), )</f>
        <v>1</v>
      </c>
      <c r="M32" s="56">
        <f t="array" ref="M32">iferror(if(and(countif(Elims!$M$4:$M$27,$A32),Elims!$J$3="y"),-973,index(Avgs!M:M,match($A32,Avgs!$A:$A,0))), )</f>
        <v>0.1666666667</v>
      </c>
      <c r="N32" s="56">
        <f t="array" ref="N32">iferror(if(and(countif(Elims!$M$4:$M$27,$A32),Elims!$J$3="y"),-973,index(Avgs!N:N,match($A32,Avgs!$A:$A,0))), )</f>
        <v>0</v>
      </c>
      <c r="O32" s="51">
        <f t="array" ref="O32">iferror(if(and(countif(Elims!$M$4:$M$27,$A32),Elims!$J$3="y"),-973,index(Avgs!O:O,match($A32,Avgs!$A:$A,0))), )</f>
        <v>0</v>
      </c>
      <c r="P32" s="51">
        <f t="array" ref="P32">iferror(if(and(countif(Elims!$M$4:$M$27,$A32),Elims!$J$3="y"),-973,index(Avgs!P:P,match($A32,Avgs!$A:$A,0))), )</f>
        <v>0</v>
      </c>
      <c r="Q32" s="51">
        <f t="array" ref="Q32">iferror(if(and(countif(Elims!$M$4:$M$27,$A32),Elims!$J$3="y"),-973,index(Avgs!Q:Q,match($A32,Avgs!$A:$A,0))), )</f>
        <v>0.8333333333</v>
      </c>
      <c r="R32" s="58" t="str">
        <f>'Component OPR Dump'!E31</f>
        <v/>
      </c>
      <c r="S32" s="58" t="str">
        <f>'Component OPR Dump'!C31</f>
        <v/>
      </c>
      <c r="T32" s="58" t="str">
        <f>'Component OPR Dump'!H31</f>
        <v/>
      </c>
      <c r="U32" s="58" t="str">
        <f>'Component OPR Dump'!G31</f>
        <v/>
      </c>
      <c r="V32" s="58" t="str">
        <f>'Component OPR Dump'!F31</f>
        <v/>
      </c>
      <c r="W32" s="58" t="str">
        <f>'Component OPR Dump'!I31</f>
        <v/>
      </c>
      <c r="X32" s="63">
        <f>iferror(sumif('Raw Data'!$Q:$Q,$A32,'Raw Data'!L:L)/countif('Raw Data'!$Q:$Q,$A32), )</f>
        <v>0</v>
      </c>
    </row>
    <row r="33">
      <c r="A33" s="71">
        <v>4255.0</v>
      </c>
      <c r="B33" s="51">
        <f t="array" ref="B33">iferror(if(and(countif(Elims!$M$4:$M$27,$A33),Elims!$J$3="y"),-973,index(Avgs!B:B,match($A33,Avgs!$A:$A,0))), )</f>
        <v>-973</v>
      </c>
      <c r="C33" s="51">
        <f t="array" ref="C33">iferror(if(and(countif(Elims!$M$4:$M$27,$A33),Elims!$J$3="y"),-973,index(Avgs!C:C,match($A33,Avgs!$A:$A,0))), )</f>
        <v>-973</v>
      </c>
      <c r="D33" s="56">
        <f t="array" ref="D33">iferror(if(and(countif(Elims!$M$4:$M$27,$A33),Elims!$J$3="y"),-973,index(Avgs!D:D,match($A33,Avgs!$A:$A,0))), )</f>
        <v>-973</v>
      </c>
      <c r="E33" s="56">
        <f t="array" ref="E33">iferror(if(and(countif(Elims!$M$4:$M$27,$A33),Elims!$J$3="y"),-973,index(Avgs!E:E,match($A33,Avgs!$A:$A,0))), )</f>
        <v>-973</v>
      </c>
      <c r="F33" s="56">
        <f t="array" ref="F33">iferror(if(and(countif(Elims!$M$4:$M$27,$A33),Elims!$J$3="y"),-973,index(Avgs!F:F,match($A33,Avgs!$A:$A,0))), )</f>
        <v>-973</v>
      </c>
      <c r="G33" s="56">
        <f t="array" ref="G33">iferror(if(and(countif(Elims!$M$4:$M$27,$A33),Elims!$J$3="y"),-973,index(Avgs!G:G,match($A33,Avgs!$A:$A,0))), )</f>
        <v>-973</v>
      </c>
      <c r="H33" s="56">
        <f t="array" ref="H33">iferror(if(and(countif(Elims!$M$4:$M$27,$A33),Elims!$J$3="y"),-973,index(Avgs!H:H,match($A33,Avgs!$A:$A,0))), )</f>
        <v>-973</v>
      </c>
      <c r="I33" s="56">
        <f t="array" ref="I33">iferror(if(and(countif(Elims!$M$4:$M$27,$A33),Elims!$J$3="y"),-973,index(Avgs!I:I,match($A33,Avgs!$A:$A,0))), )</f>
        <v>-973</v>
      </c>
      <c r="J33" s="56">
        <f t="array" ref="J33">iferror(if(and(countif(Elims!$M$4:$M$27,$A33),Elims!$J$3="y"),-973,index(Avgs!J:J,match($A33,Avgs!$A:$A,0))), )</f>
        <v>-973</v>
      </c>
      <c r="K33" s="51">
        <f t="array" ref="K33">iferror(if(and(countif(Elims!$M$4:$M$27,$A33),Elims!$J$3="y"),-973,index(Avgs!K:K,match($A33,Avgs!$A:$A,0))), )</f>
        <v>-973</v>
      </c>
      <c r="L33" s="51">
        <f t="array" ref="L33">iferror(if(and(countif(Elims!$M$4:$M$27,$A33),Elims!$J$3="y"),-973,index(Avgs!L:L,match($A33,Avgs!$A:$A,0))), )</f>
        <v>-973</v>
      </c>
      <c r="M33" s="56">
        <f t="array" ref="M33">iferror(if(and(countif(Elims!$M$4:$M$27,$A33),Elims!$J$3="y"),-973,index(Avgs!M:M,match($A33,Avgs!$A:$A,0))), )</f>
        <v>-973</v>
      </c>
      <c r="N33" s="56">
        <f t="array" ref="N33">iferror(if(and(countif(Elims!$M$4:$M$27,$A33),Elims!$J$3="y"),-973,index(Avgs!N:N,match($A33,Avgs!$A:$A,0))), )</f>
        <v>-973</v>
      </c>
      <c r="O33" s="51">
        <f t="array" ref="O33">iferror(if(and(countif(Elims!$M$4:$M$27,$A33),Elims!$J$3="y"),-973,index(Avgs!O:O,match($A33,Avgs!$A:$A,0))), )</f>
        <v>-973</v>
      </c>
      <c r="P33" s="51">
        <f t="array" ref="P33">iferror(if(and(countif(Elims!$M$4:$M$27,$A33),Elims!$J$3="y"),-973,index(Avgs!P:P,match($A33,Avgs!$A:$A,0))), )</f>
        <v>-973</v>
      </c>
      <c r="Q33" s="51">
        <f t="array" ref="Q33">iferror(if(and(countif(Elims!$M$4:$M$27,$A33),Elims!$J$3="y"),-973,index(Avgs!Q:Q,match($A33,Avgs!$A:$A,0))), )</f>
        <v>-973</v>
      </c>
      <c r="R33" s="58" t="str">
        <f>'Component OPR Dump'!E32</f>
        <v/>
      </c>
      <c r="S33" s="58" t="str">
        <f>'Component OPR Dump'!C32</f>
        <v/>
      </c>
      <c r="T33" s="58" t="str">
        <f>'Component OPR Dump'!H32</f>
        <v/>
      </c>
      <c r="U33" s="58" t="str">
        <f>'Component OPR Dump'!G32</f>
        <v/>
      </c>
      <c r="V33" s="58" t="str">
        <f>'Component OPR Dump'!F32</f>
        <v/>
      </c>
      <c r="W33" s="58" t="str">
        <f>'Component OPR Dump'!I32</f>
        <v/>
      </c>
      <c r="X33" s="63">
        <f>iferror(sumif('Raw Data'!$Q:$Q,$A33,'Raw Data'!L:L)/countif('Raw Data'!$Q:$Q,$A33), )</f>
        <v>0</v>
      </c>
    </row>
    <row r="34">
      <c r="A34" s="71">
        <v>4276.0</v>
      </c>
      <c r="B34" s="51">
        <f t="array" ref="B34">iferror(if(and(countif(Elims!$M$4:$M$27,$A34),Elims!$J$3="y"),-973,index(Avgs!B:B,match($A34,Avgs!$A:$A,0))), )</f>
        <v>-973</v>
      </c>
      <c r="C34" s="51">
        <f t="array" ref="C34">iferror(if(and(countif(Elims!$M$4:$M$27,$A34),Elims!$J$3="y"),-973,index(Avgs!C:C,match($A34,Avgs!$A:$A,0))), )</f>
        <v>-973</v>
      </c>
      <c r="D34" s="56">
        <f t="array" ref="D34">iferror(if(and(countif(Elims!$M$4:$M$27,$A34),Elims!$J$3="y"),-973,index(Avgs!D:D,match($A34,Avgs!$A:$A,0))), )</f>
        <v>-973</v>
      </c>
      <c r="E34" s="56">
        <f t="array" ref="E34">iferror(if(and(countif(Elims!$M$4:$M$27,$A34),Elims!$J$3="y"),-973,index(Avgs!E:E,match($A34,Avgs!$A:$A,0))), )</f>
        <v>-973</v>
      </c>
      <c r="F34" s="56">
        <f t="array" ref="F34">iferror(if(and(countif(Elims!$M$4:$M$27,$A34),Elims!$J$3="y"),-973,index(Avgs!F:F,match($A34,Avgs!$A:$A,0))), )</f>
        <v>-973</v>
      </c>
      <c r="G34" s="56">
        <f t="array" ref="G34">iferror(if(and(countif(Elims!$M$4:$M$27,$A34),Elims!$J$3="y"),-973,index(Avgs!G:G,match($A34,Avgs!$A:$A,0))), )</f>
        <v>-973</v>
      </c>
      <c r="H34" s="56">
        <f t="array" ref="H34">iferror(if(and(countif(Elims!$M$4:$M$27,$A34),Elims!$J$3="y"),-973,index(Avgs!H:H,match($A34,Avgs!$A:$A,0))), )</f>
        <v>-973</v>
      </c>
      <c r="I34" s="56">
        <f t="array" ref="I34">iferror(if(and(countif(Elims!$M$4:$M$27,$A34),Elims!$J$3="y"),-973,index(Avgs!I:I,match($A34,Avgs!$A:$A,0))), )</f>
        <v>-973</v>
      </c>
      <c r="J34" s="56">
        <f t="array" ref="J34">iferror(if(and(countif(Elims!$M$4:$M$27,$A34),Elims!$J$3="y"),-973,index(Avgs!J:J,match($A34,Avgs!$A:$A,0))), )</f>
        <v>-973</v>
      </c>
      <c r="K34" s="51">
        <f t="array" ref="K34">iferror(if(and(countif(Elims!$M$4:$M$27,$A34),Elims!$J$3="y"),-973,index(Avgs!K:K,match($A34,Avgs!$A:$A,0))), )</f>
        <v>-973</v>
      </c>
      <c r="L34" s="51">
        <f t="array" ref="L34">iferror(if(and(countif(Elims!$M$4:$M$27,$A34),Elims!$J$3="y"),-973,index(Avgs!L:L,match($A34,Avgs!$A:$A,0))), )</f>
        <v>-973</v>
      </c>
      <c r="M34" s="56">
        <f t="array" ref="M34">iferror(if(and(countif(Elims!$M$4:$M$27,$A34),Elims!$J$3="y"),-973,index(Avgs!M:M,match($A34,Avgs!$A:$A,0))), )</f>
        <v>-973</v>
      </c>
      <c r="N34" s="56">
        <f t="array" ref="N34">iferror(if(and(countif(Elims!$M$4:$M$27,$A34),Elims!$J$3="y"),-973,index(Avgs!N:N,match($A34,Avgs!$A:$A,0))), )</f>
        <v>-973</v>
      </c>
      <c r="O34" s="51">
        <f t="array" ref="O34">iferror(if(and(countif(Elims!$M$4:$M$27,$A34),Elims!$J$3="y"),-973,index(Avgs!O:O,match($A34,Avgs!$A:$A,0))), )</f>
        <v>-973</v>
      </c>
      <c r="P34" s="51">
        <f t="array" ref="P34">iferror(if(and(countif(Elims!$M$4:$M$27,$A34),Elims!$J$3="y"),-973,index(Avgs!P:P,match($A34,Avgs!$A:$A,0))), )</f>
        <v>-973</v>
      </c>
      <c r="Q34" s="51">
        <f t="array" ref="Q34">iferror(if(and(countif(Elims!$M$4:$M$27,$A34),Elims!$J$3="y"),-973,index(Avgs!Q:Q,match($A34,Avgs!$A:$A,0))), )</f>
        <v>-973</v>
      </c>
      <c r="R34" s="58" t="str">
        <f>'Component OPR Dump'!E33</f>
        <v/>
      </c>
      <c r="S34" s="58" t="str">
        <f>'Component OPR Dump'!C33</f>
        <v/>
      </c>
      <c r="T34" s="58" t="str">
        <f>'Component OPR Dump'!H33</f>
        <v/>
      </c>
      <c r="U34" s="58" t="str">
        <f>'Component OPR Dump'!G33</f>
        <v/>
      </c>
      <c r="V34" s="58" t="str">
        <f>'Component OPR Dump'!F33</f>
        <v/>
      </c>
      <c r="W34" s="58" t="str">
        <f>'Component OPR Dump'!I33</f>
        <v/>
      </c>
      <c r="X34" s="63">
        <f>iferror(sumif('Raw Data'!$Q:$Q,$A34,'Raw Data'!L:L)/countif('Raw Data'!$Q:$Q,$A34), )</f>
        <v>0</v>
      </c>
    </row>
    <row r="35">
      <c r="A35" s="71">
        <v>4415.0</v>
      </c>
      <c r="B35" s="51">
        <f t="array" ref="B35">iferror(if(and(countif(Elims!$M$4:$M$27,$A35),Elims!$J$3="y"),-973,index(Avgs!B:B,match($A35,Avgs!$A:$A,0))), )</f>
        <v>-973</v>
      </c>
      <c r="C35" s="51">
        <f t="array" ref="C35">iferror(if(and(countif(Elims!$M$4:$M$27,$A35),Elims!$J$3="y"),-973,index(Avgs!C:C,match($A35,Avgs!$A:$A,0))), )</f>
        <v>-973</v>
      </c>
      <c r="D35" s="56">
        <f t="array" ref="D35">iferror(if(and(countif(Elims!$M$4:$M$27,$A35),Elims!$J$3="y"),-973,index(Avgs!D:D,match($A35,Avgs!$A:$A,0))), )</f>
        <v>-973</v>
      </c>
      <c r="E35" s="56">
        <f t="array" ref="E35">iferror(if(and(countif(Elims!$M$4:$M$27,$A35),Elims!$J$3="y"),-973,index(Avgs!E:E,match($A35,Avgs!$A:$A,0))), )</f>
        <v>-973</v>
      </c>
      <c r="F35" s="56">
        <f t="array" ref="F35">iferror(if(and(countif(Elims!$M$4:$M$27,$A35),Elims!$J$3="y"),-973,index(Avgs!F:F,match($A35,Avgs!$A:$A,0))), )</f>
        <v>-973</v>
      </c>
      <c r="G35" s="56">
        <f t="array" ref="G35">iferror(if(and(countif(Elims!$M$4:$M$27,$A35),Elims!$J$3="y"),-973,index(Avgs!G:G,match($A35,Avgs!$A:$A,0))), )</f>
        <v>-973</v>
      </c>
      <c r="H35" s="56">
        <f t="array" ref="H35">iferror(if(and(countif(Elims!$M$4:$M$27,$A35),Elims!$J$3="y"),-973,index(Avgs!H:H,match($A35,Avgs!$A:$A,0))), )</f>
        <v>-973</v>
      </c>
      <c r="I35" s="56">
        <f t="array" ref="I35">iferror(if(and(countif(Elims!$M$4:$M$27,$A35),Elims!$J$3="y"),-973,index(Avgs!I:I,match($A35,Avgs!$A:$A,0))), )</f>
        <v>-973</v>
      </c>
      <c r="J35" s="56">
        <f t="array" ref="J35">iferror(if(and(countif(Elims!$M$4:$M$27,$A35),Elims!$J$3="y"),-973,index(Avgs!J:J,match($A35,Avgs!$A:$A,0))), )</f>
        <v>-973</v>
      </c>
      <c r="K35" s="51">
        <f t="array" ref="K35">iferror(if(and(countif(Elims!$M$4:$M$27,$A35),Elims!$J$3="y"),-973,index(Avgs!K:K,match($A35,Avgs!$A:$A,0))), )</f>
        <v>-973</v>
      </c>
      <c r="L35" s="51">
        <f t="array" ref="L35">iferror(if(and(countif(Elims!$M$4:$M$27,$A35),Elims!$J$3="y"),-973,index(Avgs!L:L,match($A35,Avgs!$A:$A,0))), )</f>
        <v>-973</v>
      </c>
      <c r="M35" s="56">
        <f t="array" ref="M35">iferror(if(and(countif(Elims!$M$4:$M$27,$A35),Elims!$J$3="y"),-973,index(Avgs!M:M,match($A35,Avgs!$A:$A,0))), )</f>
        <v>-973</v>
      </c>
      <c r="N35" s="56">
        <f t="array" ref="N35">iferror(if(and(countif(Elims!$M$4:$M$27,$A35),Elims!$J$3="y"),-973,index(Avgs!N:N,match($A35,Avgs!$A:$A,0))), )</f>
        <v>-973</v>
      </c>
      <c r="O35" s="51">
        <f t="array" ref="O35">iferror(if(and(countif(Elims!$M$4:$M$27,$A35),Elims!$J$3="y"),-973,index(Avgs!O:O,match($A35,Avgs!$A:$A,0))), )</f>
        <v>-973</v>
      </c>
      <c r="P35" s="51">
        <f t="array" ref="P35">iferror(if(and(countif(Elims!$M$4:$M$27,$A35),Elims!$J$3="y"),-973,index(Avgs!P:P,match($A35,Avgs!$A:$A,0))), )</f>
        <v>-973</v>
      </c>
      <c r="Q35" s="51">
        <f t="array" ref="Q35">iferror(if(and(countif(Elims!$M$4:$M$27,$A35),Elims!$J$3="y"),-973,index(Avgs!Q:Q,match($A35,Avgs!$A:$A,0))), )</f>
        <v>-973</v>
      </c>
      <c r="R35" s="58" t="str">
        <f>'Component OPR Dump'!E34</f>
        <v/>
      </c>
      <c r="S35" s="58" t="str">
        <f>'Component OPR Dump'!C34</f>
        <v/>
      </c>
      <c r="T35" s="58" t="str">
        <f>'Component OPR Dump'!H34</f>
        <v/>
      </c>
      <c r="U35" s="58" t="str">
        <f>'Component OPR Dump'!G34</f>
        <v/>
      </c>
      <c r="V35" s="58" t="str">
        <f>'Component OPR Dump'!F34</f>
        <v/>
      </c>
      <c r="W35" s="58" t="str">
        <f>'Component OPR Dump'!I34</f>
        <v/>
      </c>
      <c r="X35" s="63">
        <f>iferror(sumif('Raw Data'!$Q:$Q,$A35,'Raw Data'!L:L)/countif('Raw Data'!$Q:$Q,$A35), )</f>
        <v>0</v>
      </c>
    </row>
    <row r="36">
      <c r="A36" s="71">
        <v>4543.0</v>
      </c>
      <c r="B36" s="51">
        <f t="array" ref="B36">iferror(if(and(countif(Elims!$M$4:$M$27,$A36),Elims!$J$3="y"),-973,index(Avgs!B:B,match($A36,Avgs!$A:$A,0))), )</f>
        <v>-973</v>
      </c>
      <c r="C36" s="51">
        <f t="array" ref="C36">iferror(if(and(countif(Elims!$M$4:$M$27,$A36),Elims!$J$3="y"),-973,index(Avgs!C:C,match($A36,Avgs!$A:$A,0))), )</f>
        <v>-973</v>
      </c>
      <c r="D36" s="56">
        <f t="array" ref="D36">iferror(if(and(countif(Elims!$M$4:$M$27,$A36),Elims!$J$3="y"),-973,index(Avgs!D:D,match($A36,Avgs!$A:$A,0))), )</f>
        <v>-973</v>
      </c>
      <c r="E36" s="56">
        <f t="array" ref="E36">iferror(if(and(countif(Elims!$M$4:$M$27,$A36),Elims!$J$3="y"),-973,index(Avgs!E:E,match($A36,Avgs!$A:$A,0))), )</f>
        <v>-973</v>
      </c>
      <c r="F36" s="56">
        <f t="array" ref="F36">iferror(if(and(countif(Elims!$M$4:$M$27,$A36),Elims!$J$3="y"),-973,index(Avgs!F:F,match($A36,Avgs!$A:$A,0))), )</f>
        <v>-973</v>
      </c>
      <c r="G36" s="56">
        <f t="array" ref="G36">iferror(if(and(countif(Elims!$M$4:$M$27,$A36),Elims!$J$3="y"),-973,index(Avgs!G:G,match($A36,Avgs!$A:$A,0))), )</f>
        <v>-973</v>
      </c>
      <c r="H36" s="56">
        <f t="array" ref="H36">iferror(if(and(countif(Elims!$M$4:$M$27,$A36),Elims!$J$3="y"),-973,index(Avgs!H:H,match($A36,Avgs!$A:$A,0))), )</f>
        <v>-973</v>
      </c>
      <c r="I36" s="56">
        <f t="array" ref="I36">iferror(if(and(countif(Elims!$M$4:$M$27,$A36),Elims!$J$3="y"),-973,index(Avgs!I:I,match($A36,Avgs!$A:$A,0))), )</f>
        <v>-973</v>
      </c>
      <c r="J36" s="56">
        <f t="array" ref="J36">iferror(if(and(countif(Elims!$M$4:$M$27,$A36),Elims!$J$3="y"),-973,index(Avgs!J:J,match($A36,Avgs!$A:$A,0))), )</f>
        <v>-973</v>
      </c>
      <c r="K36" s="51">
        <f t="array" ref="K36">iferror(if(and(countif(Elims!$M$4:$M$27,$A36),Elims!$J$3="y"),-973,index(Avgs!K:K,match($A36,Avgs!$A:$A,0))), )</f>
        <v>-973</v>
      </c>
      <c r="L36" s="51">
        <f t="array" ref="L36">iferror(if(and(countif(Elims!$M$4:$M$27,$A36),Elims!$J$3="y"),-973,index(Avgs!L:L,match($A36,Avgs!$A:$A,0))), )</f>
        <v>-973</v>
      </c>
      <c r="M36" s="56">
        <f t="array" ref="M36">iferror(if(and(countif(Elims!$M$4:$M$27,$A36),Elims!$J$3="y"),-973,index(Avgs!M:M,match($A36,Avgs!$A:$A,0))), )</f>
        <v>-973</v>
      </c>
      <c r="N36" s="56">
        <f t="array" ref="N36">iferror(if(and(countif(Elims!$M$4:$M$27,$A36),Elims!$J$3="y"),-973,index(Avgs!N:N,match($A36,Avgs!$A:$A,0))), )</f>
        <v>-973</v>
      </c>
      <c r="O36" s="51">
        <f t="array" ref="O36">iferror(if(and(countif(Elims!$M$4:$M$27,$A36),Elims!$J$3="y"),-973,index(Avgs!O:O,match($A36,Avgs!$A:$A,0))), )</f>
        <v>-973</v>
      </c>
      <c r="P36" s="51">
        <f t="array" ref="P36">iferror(if(and(countif(Elims!$M$4:$M$27,$A36),Elims!$J$3="y"),-973,index(Avgs!P:P,match($A36,Avgs!$A:$A,0))), )</f>
        <v>-973</v>
      </c>
      <c r="Q36" s="51">
        <f t="array" ref="Q36">iferror(if(and(countif(Elims!$M$4:$M$27,$A36),Elims!$J$3="y"),-973,index(Avgs!Q:Q,match($A36,Avgs!$A:$A,0))), )</f>
        <v>-973</v>
      </c>
      <c r="R36" s="58" t="str">
        <f>'Component OPR Dump'!E35</f>
        <v/>
      </c>
      <c r="S36" s="58" t="str">
        <f>'Component OPR Dump'!C35</f>
        <v/>
      </c>
      <c r="T36" s="58" t="str">
        <f>'Component OPR Dump'!H35</f>
        <v/>
      </c>
      <c r="U36" s="58" t="str">
        <f>'Component OPR Dump'!G35</f>
        <v/>
      </c>
      <c r="V36" s="58" t="str">
        <f>'Component OPR Dump'!F35</f>
        <v/>
      </c>
      <c r="W36" s="58" t="str">
        <f>'Component OPR Dump'!I35</f>
        <v/>
      </c>
      <c r="X36" s="63">
        <f>iferror(sumif('Raw Data'!$Q:$Q,$A36,'Raw Data'!L:L)/countif('Raw Data'!$Q:$Q,$A36), )</f>
        <v>0</v>
      </c>
    </row>
    <row r="37">
      <c r="A37" s="71">
        <v>4643.0</v>
      </c>
      <c r="B37" s="51">
        <f t="array" ref="B37">iferror(if(and(countif(Elims!$M$4:$M$27,$A37),Elims!$J$3="y"),-973,index(Avgs!B:B,match($A37,Avgs!$A:$A,0))), )</f>
        <v>42.76190476</v>
      </c>
      <c r="C37" s="51">
        <f t="array" ref="C37">iferror(if(and(countif(Elims!$M$4:$M$27,$A37),Elims!$J$3="y"),-973,index(Avgs!C:C,match($A37,Avgs!$A:$A,0))), )</f>
        <v>73.57142857</v>
      </c>
      <c r="D37" s="56">
        <f t="array" ref="D37">iferror(if(and(countif(Elims!$M$4:$M$27,$A37),Elims!$J$3="y"),-973,index(Avgs!D:D,match($A37,Avgs!$A:$A,0))), )</f>
        <v>0</v>
      </c>
      <c r="E37" s="56">
        <f t="array" ref="E37">iferror(if(and(countif(Elims!$M$4:$M$27,$A37),Elims!$J$3="y"),-973,index(Avgs!E:E,match($A37,Avgs!$A:$A,0))), )</f>
        <v>0</v>
      </c>
      <c r="F37" s="56">
        <f t="array" ref="F37">iferror(if(and(countif(Elims!$M$4:$M$27,$A37),Elims!$J$3="y"),-973,index(Avgs!F:F,match($A37,Avgs!$A:$A,0))), )</f>
        <v>0</v>
      </c>
      <c r="G37" s="56">
        <f t="array" ref="G37">iferror(if(and(countif(Elims!$M$4:$M$27,$A37),Elims!$J$3="y"),-973,index(Avgs!G:G,match($A37,Avgs!$A:$A,0))), )</f>
        <v>0</v>
      </c>
      <c r="H37" s="56">
        <f t="array" ref="H37">iferror(if(and(countif(Elims!$M$4:$M$27,$A37),Elims!$J$3="y"),-973,index(Avgs!H:H,match($A37,Avgs!$A:$A,0))), )</f>
        <v>1</v>
      </c>
      <c r="I37" s="56">
        <f t="array" ref="I37">iferror(if(and(countif(Elims!$M$4:$M$27,$A37),Elims!$J$3="y"),-973,index(Avgs!I:I,match($A37,Avgs!$A:$A,0))), )</f>
        <v>0</v>
      </c>
      <c r="J37" s="56">
        <f t="array" ref="J37">iferror(if(and(countif(Elims!$M$4:$M$27,$A37),Elims!$J$3="y"),-973,index(Avgs!J:J,match($A37,Avgs!$A:$A,0))), )</f>
        <v>0</v>
      </c>
      <c r="K37" s="51">
        <f t="array" ref="K37">iferror(if(and(countif(Elims!$M$4:$M$27,$A37),Elims!$J$3="y"),-973,index(Avgs!K:K,match($A37,Avgs!$A:$A,0))), )</f>
        <v>2.166666667</v>
      </c>
      <c r="L37" s="51">
        <f t="array" ref="L37">iferror(if(and(countif(Elims!$M$4:$M$27,$A37),Elims!$J$3="y"),-973,index(Avgs!L:L,match($A37,Avgs!$A:$A,0))), )</f>
        <v>4</v>
      </c>
      <c r="M37" s="56">
        <f t="array" ref="M37">iferror(if(and(countif(Elims!$M$4:$M$27,$A37),Elims!$J$3="y"),-973,index(Avgs!M:M,match($A37,Avgs!$A:$A,0))), )</f>
        <v>0</v>
      </c>
      <c r="N37" s="56">
        <f t="array" ref="N37">iferror(if(and(countif(Elims!$M$4:$M$27,$A37),Elims!$J$3="y"),-973,index(Avgs!N:N,match($A37,Avgs!$A:$A,0))), )</f>
        <v>0</v>
      </c>
      <c r="O37" s="51">
        <f t="array" ref="O37">iferror(if(and(countif(Elims!$M$4:$M$27,$A37),Elims!$J$3="y"),-973,index(Avgs!O:O,match($A37,Avgs!$A:$A,0))), )</f>
        <v>0</v>
      </c>
      <c r="P37" s="51">
        <f t="array" ref="P37">iferror(if(and(countif(Elims!$M$4:$M$27,$A37),Elims!$J$3="y"),-973,index(Avgs!P:P,match($A37,Avgs!$A:$A,0))), )</f>
        <v>0</v>
      </c>
      <c r="Q37" s="51">
        <f t="array" ref="Q37">iferror(if(and(countif(Elims!$M$4:$M$27,$A37),Elims!$J$3="y"),-973,index(Avgs!Q:Q,match($A37,Avgs!$A:$A,0))), )</f>
        <v>2.166666667</v>
      </c>
      <c r="R37" s="58" t="str">
        <f>'Component OPR Dump'!E36</f>
        <v/>
      </c>
      <c r="S37" s="58" t="str">
        <f>'Component OPR Dump'!C36</f>
        <v/>
      </c>
      <c r="T37" s="58" t="str">
        <f>'Component OPR Dump'!H36</f>
        <v/>
      </c>
      <c r="U37" s="58" t="str">
        <f>'Component OPR Dump'!G36</f>
        <v/>
      </c>
      <c r="V37" s="58" t="str">
        <f>'Component OPR Dump'!F36</f>
        <v/>
      </c>
      <c r="W37" s="58" t="str">
        <f>'Component OPR Dump'!I36</f>
        <v/>
      </c>
      <c r="X37" s="63">
        <f>iferror(sumif('Raw Data'!$Q:$Q,$A37,'Raw Data'!L:L)/countif('Raw Data'!$Q:$Q,$A37), )</f>
        <v>0</v>
      </c>
    </row>
    <row r="38">
      <c r="A38" s="71">
        <v>5104.0</v>
      </c>
      <c r="B38" s="51">
        <f t="array" ref="B38">iferror(if(and(countif(Elims!$M$4:$M$27,$A38),Elims!$J$3="y"),-973,index(Avgs!B:B,match($A38,Avgs!$A:$A,0))), )</f>
        <v>-973</v>
      </c>
      <c r="C38" s="51">
        <f t="array" ref="C38">iferror(if(and(countif(Elims!$M$4:$M$27,$A38),Elims!$J$3="y"),-973,index(Avgs!C:C,match($A38,Avgs!$A:$A,0))), )</f>
        <v>-973</v>
      </c>
      <c r="D38" s="56">
        <f t="array" ref="D38">iferror(if(and(countif(Elims!$M$4:$M$27,$A38),Elims!$J$3="y"),-973,index(Avgs!D:D,match($A38,Avgs!$A:$A,0))), )</f>
        <v>-973</v>
      </c>
      <c r="E38" s="56">
        <f t="array" ref="E38">iferror(if(and(countif(Elims!$M$4:$M$27,$A38),Elims!$J$3="y"),-973,index(Avgs!E:E,match($A38,Avgs!$A:$A,0))), )</f>
        <v>-973</v>
      </c>
      <c r="F38" s="56">
        <f t="array" ref="F38">iferror(if(and(countif(Elims!$M$4:$M$27,$A38),Elims!$J$3="y"),-973,index(Avgs!F:F,match($A38,Avgs!$A:$A,0))), )</f>
        <v>-973</v>
      </c>
      <c r="G38" s="56">
        <f t="array" ref="G38">iferror(if(and(countif(Elims!$M$4:$M$27,$A38),Elims!$J$3="y"),-973,index(Avgs!G:G,match($A38,Avgs!$A:$A,0))), )</f>
        <v>-973</v>
      </c>
      <c r="H38" s="56">
        <f t="array" ref="H38">iferror(if(and(countif(Elims!$M$4:$M$27,$A38),Elims!$J$3="y"),-973,index(Avgs!H:H,match($A38,Avgs!$A:$A,0))), )</f>
        <v>-973</v>
      </c>
      <c r="I38" s="56">
        <f t="array" ref="I38">iferror(if(and(countif(Elims!$M$4:$M$27,$A38),Elims!$J$3="y"),-973,index(Avgs!I:I,match($A38,Avgs!$A:$A,0))), )</f>
        <v>-973</v>
      </c>
      <c r="J38" s="56">
        <f t="array" ref="J38">iferror(if(and(countif(Elims!$M$4:$M$27,$A38),Elims!$J$3="y"),-973,index(Avgs!J:J,match($A38,Avgs!$A:$A,0))), )</f>
        <v>-973</v>
      </c>
      <c r="K38" s="51">
        <f t="array" ref="K38">iferror(if(and(countif(Elims!$M$4:$M$27,$A38),Elims!$J$3="y"),-973,index(Avgs!K:K,match($A38,Avgs!$A:$A,0))), )</f>
        <v>-973</v>
      </c>
      <c r="L38" s="51">
        <f t="array" ref="L38">iferror(if(and(countif(Elims!$M$4:$M$27,$A38),Elims!$J$3="y"),-973,index(Avgs!L:L,match($A38,Avgs!$A:$A,0))), )</f>
        <v>-973</v>
      </c>
      <c r="M38" s="56">
        <f t="array" ref="M38">iferror(if(and(countif(Elims!$M$4:$M$27,$A38),Elims!$J$3="y"),-973,index(Avgs!M:M,match($A38,Avgs!$A:$A,0))), )</f>
        <v>-973</v>
      </c>
      <c r="N38" s="56">
        <f t="array" ref="N38">iferror(if(and(countif(Elims!$M$4:$M$27,$A38),Elims!$J$3="y"),-973,index(Avgs!N:N,match($A38,Avgs!$A:$A,0))), )</f>
        <v>-973</v>
      </c>
      <c r="O38" s="51">
        <f t="array" ref="O38">iferror(if(and(countif(Elims!$M$4:$M$27,$A38),Elims!$J$3="y"),-973,index(Avgs!O:O,match($A38,Avgs!$A:$A,0))), )</f>
        <v>-973</v>
      </c>
      <c r="P38" s="51">
        <f t="array" ref="P38">iferror(if(and(countif(Elims!$M$4:$M$27,$A38),Elims!$J$3="y"),-973,index(Avgs!P:P,match($A38,Avgs!$A:$A,0))), )</f>
        <v>-973</v>
      </c>
      <c r="Q38" s="51">
        <f t="array" ref="Q38">iferror(if(and(countif(Elims!$M$4:$M$27,$A38),Elims!$J$3="y"),-973,index(Avgs!Q:Q,match($A38,Avgs!$A:$A,0))), )</f>
        <v>-973</v>
      </c>
      <c r="R38" s="58" t="str">
        <f>'Component OPR Dump'!E37</f>
        <v/>
      </c>
      <c r="S38" s="58" t="str">
        <f>'Component OPR Dump'!C37</f>
        <v/>
      </c>
      <c r="T38" s="58" t="str">
        <f>'Component OPR Dump'!H37</f>
        <v/>
      </c>
      <c r="U38" s="58" t="str">
        <f>'Component OPR Dump'!G37</f>
        <v/>
      </c>
      <c r="V38" s="58" t="str">
        <f>'Component OPR Dump'!F37</f>
        <v/>
      </c>
      <c r="W38" s="58" t="str">
        <f>'Component OPR Dump'!I37</f>
        <v/>
      </c>
      <c r="X38" s="63">
        <f>iferror(sumif('Raw Data'!$Q:$Q,$A38,'Raw Data'!L:L)/countif('Raw Data'!$Q:$Q,$A38), )</f>
        <v>0</v>
      </c>
    </row>
    <row r="39">
      <c r="A39" s="71">
        <v>5134.0</v>
      </c>
      <c r="B39" s="51">
        <f t="array" ref="B39">iferror(if(and(countif(Elims!$M$4:$M$27,$A39),Elims!$J$3="y"),-973,index(Avgs!B:B,match($A39,Avgs!$A:$A,0))), )</f>
        <v>-973</v>
      </c>
      <c r="C39" s="51">
        <f t="array" ref="C39">iferror(if(and(countif(Elims!$M$4:$M$27,$A39),Elims!$J$3="y"),-973,index(Avgs!C:C,match($A39,Avgs!$A:$A,0))), )</f>
        <v>-973</v>
      </c>
      <c r="D39" s="56">
        <f t="array" ref="D39">iferror(if(and(countif(Elims!$M$4:$M$27,$A39),Elims!$J$3="y"),-973,index(Avgs!D:D,match($A39,Avgs!$A:$A,0))), )</f>
        <v>-973</v>
      </c>
      <c r="E39" s="56">
        <f t="array" ref="E39">iferror(if(and(countif(Elims!$M$4:$M$27,$A39),Elims!$J$3="y"),-973,index(Avgs!E:E,match($A39,Avgs!$A:$A,0))), )</f>
        <v>-973</v>
      </c>
      <c r="F39" s="56">
        <f t="array" ref="F39">iferror(if(and(countif(Elims!$M$4:$M$27,$A39),Elims!$J$3="y"),-973,index(Avgs!F:F,match($A39,Avgs!$A:$A,0))), )</f>
        <v>-973</v>
      </c>
      <c r="G39" s="56">
        <f t="array" ref="G39">iferror(if(and(countif(Elims!$M$4:$M$27,$A39),Elims!$J$3="y"),-973,index(Avgs!G:G,match($A39,Avgs!$A:$A,0))), )</f>
        <v>-973</v>
      </c>
      <c r="H39" s="56">
        <f t="array" ref="H39">iferror(if(and(countif(Elims!$M$4:$M$27,$A39),Elims!$J$3="y"),-973,index(Avgs!H:H,match($A39,Avgs!$A:$A,0))), )</f>
        <v>-973</v>
      </c>
      <c r="I39" s="56">
        <f t="array" ref="I39">iferror(if(and(countif(Elims!$M$4:$M$27,$A39),Elims!$J$3="y"),-973,index(Avgs!I:I,match($A39,Avgs!$A:$A,0))), )</f>
        <v>-973</v>
      </c>
      <c r="J39" s="56">
        <f t="array" ref="J39">iferror(if(and(countif(Elims!$M$4:$M$27,$A39),Elims!$J$3="y"),-973,index(Avgs!J:J,match($A39,Avgs!$A:$A,0))), )</f>
        <v>-973</v>
      </c>
      <c r="K39" s="51">
        <f t="array" ref="K39">iferror(if(and(countif(Elims!$M$4:$M$27,$A39),Elims!$J$3="y"),-973,index(Avgs!K:K,match($A39,Avgs!$A:$A,0))), )</f>
        <v>-973</v>
      </c>
      <c r="L39" s="51">
        <f t="array" ref="L39">iferror(if(and(countif(Elims!$M$4:$M$27,$A39),Elims!$J$3="y"),-973,index(Avgs!L:L,match($A39,Avgs!$A:$A,0))), )</f>
        <v>-973</v>
      </c>
      <c r="M39" s="56">
        <f t="array" ref="M39">iferror(if(and(countif(Elims!$M$4:$M$27,$A39),Elims!$J$3="y"),-973,index(Avgs!M:M,match($A39,Avgs!$A:$A,0))), )</f>
        <v>-973</v>
      </c>
      <c r="N39" s="56">
        <f t="array" ref="N39">iferror(if(and(countif(Elims!$M$4:$M$27,$A39),Elims!$J$3="y"),-973,index(Avgs!N:N,match($A39,Avgs!$A:$A,0))), )</f>
        <v>-973</v>
      </c>
      <c r="O39" s="51">
        <f t="array" ref="O39">iferror(if(and(countif(Elims!$M$4:$M$27,$A39),Elims!$J$3="y"),-973,index(Avgs!O:O,match($A39,Avgs!$A:$A,0))), )</f>
        <v>-973</v>
      </c>
      <c r="P39" s="51">
        <f t="array" ref="P39">iferror(if(and(countif(Elims!$M$4:$M$27,$A39),Elims!$J$3="y"),-973,index(Avgs!P:P,match($A39,Avgs!$A:$A,0))), )</f>
        <v>-973</v>
      </c>
      <c r="Q39" s="51">
        <f t="array" ref="Q39">iferror(if(and(countif(Elims!$M$4:$M$27,$A39),Elims!$J$3="y"),-973,index(Avgs!Q:Q,match($A39,Avgs!$A:$A,0))), )</f>
        <v>-973</v>
      </c>
      <c r="R39" s="58" t="str">
        <f>'Component OPR Dump'!E38</f>
        <v/>
      </c>
      <c r="S39" s="58" t="str">
        <f>'Component OPR Dump'!C38</f>
        <v/>
      </c>
      <c r="T39" s="58" t="str">
        <f>'Component OPR Dump'!H38</f>
        <v/>
      </c>
      <c r="U39" s="58" t="str">
        <f>'Component OPR Dump'!G38</f>
        <v/>
      </c>
      <c r="V39" s="58" t="str">
        <f>'Component OPR Dump'!F38</f>
        <v/>
      </c>
      <c r="W39" s="58" t="str">
        <f>'Component OPR Dump'!I38</f>
        <v/>
      </c>
      <c r="X39" s="63">
        <f>iferror(sumif('Raw Data'!$Q:$Q,$A39,'Raw Data'!L:L)/countif('Raw Data'!$Q:$Q,$A39), )</f>
        <v>0</v>
      </c>
    </row>
    <row r="40">
      <c r="A40" s="71">
        <v>5677.0</v>
      </c>
      <c r="B40" s="51">
        <f t="array" ref="B40">iferror(if(and(countif(Elims!$M$4:$M$27,$A40),Elims!$J$3="y"),-973,index(Avgs!B:B,match($A40,Avgs!$A:$A,0))), )</f>
        <v>36.5</v>
      </c>
      <c r="C40" s="51">
        <f t="array" ref="C40">iferror(if(and(countif(Elims!$M$4:$M$27,$A40),Elims!$J$3="y"),-973,index(Avgs!C:C,match($A40,Avgs!$A:$A,0))), )</f>
        <v>76.66666667</v>
      </c>
      <c r="D40" s="56">
        <f t="array" ref="D40">iferror(if(and(countif(Elims!$M$4:$M$27,$A40),Elims!$J$3="y"),-973,index(Avgs!D:D,match($A40,Avgs!$A:$A,0))), )</f>
        <v>0</v>
      </c>
      <c r="E40" s="56">
        <f t="array" ref="E40">iferror(if(and(countif(Elims!$M$4:$M$27,$A40),Elims!$J$3="y"),-973,index(Avgs!E:E,match($A40,Avgs!$A:$A,0))), )</f>
        <v>0</v>
      </c>
      <c r="F40" s="56">
        <f t="array" ref="F40">iferror(if(and(countif(Elims!$M$4:$M$27,$A40),Elims!$J$3="y"),-973,index(Avgs!F:F,match($A40,Avgs!$A:$A,0))), )</f>
        <v>0</v>
      </c>
      <c r="G40" s="56">
        <f t="array" ref="G40">iferror(if(and(countif(Elims!$M$4:$M$27,$A40),Elims!$J$3="y"),-973,index(Avgs!G:G,match($A40,Avgs!$A:$A,0))), )</f>
        <v>0</v>
      </c>
      <c r="H40" s="56">
        <f t="array" ref="H40">iferror(if(and(countif(Elims!$M$4:$M$27,$A40),Elims!$J$3="y"),-973,index(Avgs!H:H,match($A40,Avgs!$A:$A,0))), )</f>
        <v>0.5</v>
      </c>
      <c r="I40" s="56">
        <f t="array" ref="I40">iferror(if(and(countif(Elims!$M$4:$M$27,$A40),Elims!$J$3="y"),-973,index(Avgs!I:I,match($A40,Avgs!$A:$A,0))), )</f>
        <v>0</v>
      </c>
      <c r="J40" s="56">
        <f t="array" ref="J40">iferror(if(and(countif(Elims!$M$4:$M$27,$A40),Elims!$J$3="y"),-973,index(Avgs!J:J,match($A40,Avgs!$A:$A,0))), )</f>
        <v>0</v>
      </c>
      <c r="K40" s="51">
        <f t="array" ref="K40">iferror(if(and(countif(Elims!$M$4:$M$27,$A40),Elims!$J$3="y"),-973,index(Avgs!K:K,match($A40,Avgs!$A:$A,0))), )</f>
        <v>1</v>
      </c>
      <c r="L40" s="51">
        <f t="array" ref="L40">iferror(if(and(countif(Elims!$M$4:$M$27,$A40),Elims!$J$3="y"),-973,index(Avgs!L:L,match($A40,Avgs!$A:$A,0))), )</f>
        <v>2</v>
      </c>
      <c r="M40" s="56">
        <f t="array" ref="M40">iferror(if(and(countif(Elims!$M$4:$M$27,$A40),Elims!$J$3="y"),-973,index(Avgs!M:M,match($A40,Avgs!$A:$A,0))), )</f>
        <v>0.3333333333</v>
      </c>
      <c r="N40" s="56">
        <f t="array" ref="N40">iferror(if(and(countif(Elims!$M$4:$M$27,$A40),Elims!$J$3="y"),-973,index(Avgs!N:N,match($A40,Avgs!$A:$A,0))), )</f>
        <v>0</v>
      </c>
      <c r="O40" s="51">
        <f t="array" ref="O40">iferror(if(and(countif(Elims!$M$4:$M$27,$A40),Elims!$J$3="y"),-973,index(Avgs!O:O,match($A40,Avgs!$A:$A,0))), )</f>
        <v>0</v>
      </c>
      <c r="P40" s="51">
        <f t="array" ref="P40">iferror(if(and(countif(Elims!$M$4:$M$27,$A40),Elims!$J$3="y"),-973,index(Avgs!P:P,match($A40,Avgs!$A:$A,0))), )</f>
        <v>0</v>
      </c>
      <c r="Q40" s="51">
        <f t="array" ref="Q40">iferror(if(and(countif(Elims!$M$4:$M$27,$A40),Elims!$J$3="y"),-973,index(Avgs!Q:Q,match($A40,Avgs!$A:$A,0))), )</f>
        <v>1</v>
      </c>
      <c r="R40" s="58" t="str">
        <f>'Component OPR Dump'!E39</f>
        <v/>
      </c>
      <c r="S40" s="58" t="str">
        <f>'Component OPR Dump'!C39</f>
        <v/>
      </c>
      <c r="T40" s="58" t="str">
        <f>'Component OPR Dump'!H39</f>
        <v/>
      </c>
      <c r="U40" s="58" t="str">
        <f>'Component OPR Dump'!G39</f>
        <v/>
      </c>
      <c r="V40" s="58" t="str">
        <f>'Component OPR Dump'!F39</f>
        <v/>
      </c>
      <c r="W40" s="58" t="str">
        <f>'Component OPR Dump'!I39</f>
        <v/>
      </c>
      <c r="X40" s="63">
        <f>iferror(sumif('Raw Data'!$Q:$Q,$A40,'Raw Data'!L:L)/countif('Raw Data'!$Q:$Q,$A40), )</f>
        <v>0</v>
      </c>
    </row>
    <row r="41">
      <c r="A41" s="71">
        <v>5817.0</v>
      </c>
      <c r="B41" s="51">
        <f t="array" ref="B41">iferror(if(and(countif(Elims!$M$4:$M$27,$A41),Elims!$J$3="y"),-973,index(Avgs!B:B,match($A41,Avgs!$A:$A,0))), )</f>
        <v>-973</v>
      </c>
      <c r="C41" s="51">
        <f t="array" ref="C41">iferror(if(and(countif(Elims!$M$4:$M$27,$A41),Elims!$J$3="y"),-973,index(Avgs!C:C,match($A41,Avgs!$A:$A,0))), )</f>
        <v>-973</v>
      </c>
      <c r="D41" s="56">
        <f t="array" ref="D41">iferror(if(and(countif(Elims!$M$4:$M$27,$A41),Elims!$J$3="y"),-973,index(Avgs!D:D,match($A41,Avgs!$A:$A,0))), )</f>
        <v>-973</v>
      </c>
      <c r="E41" s="56">
        <f t="array" ref="E41">iferror(if(and(countif(Elims!$M$4:$M$27,$A41),Elims!$J$3="y"),-973,index(Avgs!E:E,match($A41,Avgs!$A:$A,0))), )</f>
        <v>-973</v>
      </c>
      <c r="F41" s="56">
        <f t="array" ref="F41">iferror(if(and(countif(Elims!$M$4:$M$27,$A41),Elims!$J$3="y"),-973,index(Avgs!F:F,match($A41,Avgs!$A:$A,0))), )</f>
        <v>-973</v>
      </c>
      <c r="G41" s="56">
        <f t="array" ref="G41">iferror(if(and(countif(Elims!$M$4:$M$27,$A41),Elims!$J$3="y"),-973,index(Avgs!G:G,match($A41,Avgs!$A:$A,0))), )</f>
        <v>-973</v>
      </c>
      <c r="H41" s="56">
        <f t="array" ref="H41">iferror(if(and(countif(Elims!$M$4:$M$27,$A41),Elims!$J$3="y"),-973,index(Avgs!H:H,match($A41,Avgs!$A:$A,0))), )</f>
        <v>-973</v>
      </c>
      <c r="I41" s="56">
        <f t="array" ref="I41">iferror(if(and(countif(Elims!$M$4:$M$27,$A41),Elims!$J$3="y"),-973,index(Avgs!I:I,match($A41,Avgs!$A:$A,0))), )</f>
        <v>-973</v>
      </c>
      <c r="J41" s="56">
        <f t="array" ref="J41">iferror(if(and(countif(Elims!$M$4:$M$27,$A41),Elims!$J$3="y"),-973,index(Avgs!J:J,match($A41,Avgs!$A:$A,0))), )</f>
        <v>-973</v>
      </c>
      <c r="K41" s="51">
        <f t="array" ref="K41">iferror(if(and(countif(Elims!$M$4:$M$27,$A41),Elims!$J$3="y"),-973,index(Avgs!K:K,match($A41,Avgs!$A:$A,0))), )</f>
        <v>-973</v>
      </c>
      <c r="L41" s="51">
        <f t="array" ref="L41">iferror(if(and(countif(Elims!$M$4:$M$27,$A41),Elims!$J$3="y"),-973,index(Avgs!L:L,match($A41,Avgs!$A:$A,0))), )</f>
        <v>-973</v>
      </c>
      <c r="M41" s="56">
        <f t="array" ref="M41">iferror(if(and(countif(Elims!$M$4:$M$27,$A41),Elims!$J$3="y"),-973,index(Avgs!M:M,match($A41,Avgs!$A:$A,0))), )</f>
        <v>-973</v>
      </c>
      <c r="N41" s="56">
        <f t="array" ref="N41">iferror(if(and(countif(Elims!$M$4:$M$27,$A41),Elims!$J$3="y"),-973,index(Avgs!N:N,match($A41,Avgs!$A:$A,0))), )</f>
        <v>-973</v>
      </c>
      <c r="O41" s="51">
        <f t="array" ref="O41">iferror(if(and(countif(Elims!$M$4:$M$27,$A41),Elims!$J$3="y"),-973,index(Avgs!O:O,match($A41,Avgs!$A:$A,0))), )</f>
        <v>-973</v>
      </c>
      <c r="P41" s="51">
        <f t="array" ref="P41">iferror(if(and(countif(Elims!$M$4:$M$27,$A41),Elims!$J$3="y"),-973,index(Avgs!P:P,match($A41,Avgs!$A:$A,0))), )</f>
        <v>-973</v>
      </c>
      <c r="Q41" s="51">
        <f t="array" ref="Q41">iferror(if(and(countif(Elims!$M$4:$M$27,$A41),Elims!$J$3="y"),-973,index(Avgs!Q:Q,match($A41,Avgs!$A:$A,0))), )</f>
        <v>-973</v>
      </c>
      <c r="R41" s="58" t="str">
        <f>'Component OPR Dump'!E40</f>
        <v/>
      </c>
      <c r="S41" s="58" t="str">
        <f>'Component OPR Dump'!C40</f>
        <v/>
      </c>
      <c r="T41" s="58" t="str">
        <f>'Component OPR Dump'!H40</f>
        <v/>
      </c>
      <c r="U41" s="58" t="str">
        <f>'Component OPR Dump'!G40</f>
        <v/>
      </c>
      <c r="V41" s="58" t="str">
        <f>'Component OPR Dump'!F40</f>
        <v/>
      </c>
      <c r="W41" s="58" t="str">
        <f>'Component OPR Dump'!I40</f>
        <v/>
      </c>
      <c r="X41" s="63">
        <f>iferror(sumif('Raw Data'!$Q:$Q,$A41,'Raw Data'!L:L)/countif('Raw Data'!$Q:$Q,$A41), )</f>
        <v>0</v>
      </c>
    </row>
    <row r="42">
      <c r="A42" s="71">
        <v>5852.0</v>
      </c>
      <c r="B42" s="51">
        <f t="array" ref="B42">iferror(if(and(countif(Elims!$M$4:$M$27,$A42),Elims!$J$3="y"),-973,index(Avgs!B:B,match($A42,Avgs!$A:$A,0))), )</f>
        <v>-973</v>
      </c>
      <c r="C42" s="51">
        <f t="array" ref="C42">iferror(if(and(countif(Elims!$M$4:$M$27,$A42),Elims!$J$3="y"),-973,index(Avgs!C:C,match($A42,Avgs!$A:$A,0))), )</f>
        <v>-973</v>
      </c>
      <c r="D42" s="56">
        <f t="array" ref="D42">iferror(if(and(countif(Elims!$M$4:$M$27,$A42),Elims!$J$3="y"),-973,index(Avgs!D:D,match($A42,Avgs!$A:$A,0))), )</f>
        <v>-973</v>
      </c>
      <c r="E42" s="56">
        <f t="array" ref="E42">iferror(if(and(countif(Elims!$M$4:$M$27,$A42),Elims!$J$3="y"),-973,index(Avgs!E:E,match($A42,Avgs!$A:$A,0))), )</f>
        <v>-973</v>
      </c>
      <c r="F42" s="56">
        <f t="array" ref="F42">iferror(if(and(countif(Elims!$M$4:$M$27,$A42),Elims!$J$3="y"),-973,index(Avgs!F:F,match($A42,Avgs!$A:$A,0))), )</f>
        <v>-973</v>
      </c>
      <c r="G42" s="56">
        <f t="array" ref="G42">iferror(if(and(countif(Elims!$M$4:$M$27,$A42),Elims!$J$3="y"),-973,index(Avgs!G:G,match($A42,Avgs!$A:$A,0))), )</f>
        <v>-973</v>
      </c>
      <c r="H42" s="56">
        <f t="array" ref="H42">iferror(if(and(countif(Elims!$M$4:$M$27,$A42),Elims!$J$3="y"),-973,index(Avgs!H:H,match($A42,Avgs!$A:$A,0))), )</f>
        <v>-973</v>
      </c>
      <c r="I42" s="56">
        <f t="array" ref="I42">iferror(if(and(countif(Elims!$M$4:$M$27,$A42),Elims!$J$3="y"),-973,index(Avgs!I:I,match($A42,Avgs!$A:$A,0))), )</f>
        <v>-973</v>
      </c>
      <c r="J42" s="56">
        <f t="array" ref="J42">iferror(if(and(countif(Elims!$M$4:$M$27,$A42),Elims!$J$3="y"),-973,index(Avgs!J:J,match($A42,Avgs!$A:$A,0))), )</f>
        <v>-973</v>
      </c>
      <c r="K42" s="51">
        <f t="array" ref="K42">iferror(if(and(countif(Elims!$M$4:$M$27,$A42),Elims!$J$3="y"),-973,index(Avgs!K:K,match($A42,Avgs!$A:$A,0))), )</f>
        <v>-973</v>
      </c>
      <c r="L42" s="51">
        <f t="array" ref="L42">iferror(if(and(countif(Elims!$M$4:$M$27,$A42),Elims!$J$3="y"),-973,index(Avgs!L:L,match($A42,Avgs!$A:$A,0))), )</f>
        <v>-973</v>
      </c>
      <c r="M42" s="56">
        <f t="array" ref="M42">iferror(if(and(countif(Elims!$M$4:$M$27,$A42),Elims!$J$3="y"),-973,index(Avgs!M:M,match($A42,Avgs!$A:$A,0))), )</f>
        <v>-973</v>
      </c>
      <c r="N42" s="56">
        <f t="array" ref="N42">iferror(if(and(countif(Elims!$M$4:$M$27,$A42),Elims!$J$3="y"),-973,index(Avgs!N:N,match($A42,Avgs!$A:$A,0))), )</f>
        <v>-973</v>
      </c>
      <c r="O42" s="51">
        <f t="array" ref="O42">iferror(if(and(countif(Elims!$M$4:$M$27,$A42),Elims!$J$3="y"),-973,index(Avgs!O:O,match($A42,Avgs!$A:$A,0))), )</f>
        <v>-973</v>
      </c>
      <c r="P42" s="51">
        <f t="array" ref="P42">iferror(if(and(countif(Elims!$M$4:$M$27,$A42),Elims!$J$3="y"),-973,index(Avgs!P:P,match($A42,Avgs!$A:$A,0))), )</f>
        <v>-973</v>
      </c>
      <c r="Q42" s="51">
        <f t="array" ref="Q42">iferror(if(and(countif(Elims!$M$4:$M$27,$A42),Elims!$J$3="y"),-973,index(Avgs!Q:Q,match($A42,Avgs!$A:$A,0))), )</f>
        <v>-973</v>
      </c>
      <c r="R42" s="58" t="str">
        <f>'Component OPR Dump'!E41</f>
        <v/>
      </c>
      <c r="S42" s="58" t="str">
        <f>'Component OPR Dump'!C41</f>
        <v/>
      </c>
      <c r="T42" s="58" t="str">
        <f>'Component OPR Dump'!H41</f>
        <v/>
      </c>
      <c r="U42" s="58" t="str">
        <f>'Component OPR Dump'!G41</f>
        <v/>
      </c>
      <c r="V42" s="58" t="str">
        <f>'Component OPR Dump'!F41</f>
        <v/>
      </c>
      <c r="W42" s="58" t="str">
        <f>'Component OPR Dump'!I41</f>
        <v/>
      </c>
      <c r="X42" s="63">
        <f>iferror(sumif('Raw Data'!$Q:$Q,$A42,'Raw Data'!L:L)/countif('Raw Data'!$Q:$Q,$A42), )</f>
        <v>0</v>
      </c>
    </row>
    <row r="43">
      <c r="A43" s="71">
        <v>6059.0</v>
      </c>
      <c r="B43" s="51">
        <f t="array" ref="B43">iferror(if(and(countif(Elims!$M$4:$M$27,$A43),Elims!$J$3="y"),-973,index(Avgs!B:B,match($A43,Avgs!$A:$A,0))), )</f>
        <v>0</v>
      </c>
      <c r="C43" s="51">
        <f t="array" ref="C43">iferror(if(and(countif(Elims!$M$4:$M$27,$A43),Elims!$J$3="y"),-973,index(Avgs!C:C,match($A43,Avgs!$A:$A,0))), )</f>
        <v>0</v>
      </c>
      <c r="D43" s="56">
        <f t="array" ref="D43">iferror(if(and(countif(Elims!$M$4:$M$27,$A43),Elims!$J$3="y"),-973,index(Avgs!D:D,match($A43,Avgs!$A:$A,0))), )</f>
        <v>0</v>
      </c>
      <c r="E43" s="56">
        <f t="array" ref="E43">iferror(if(and(countif(Elims!$M$4:$M$27,$A43),Elims!$J$3="y"),-973,index(Avgs!E:E,match($A43,Avgs!$A:$A,0))), )</f>
        <v>0</v>
      </c>
      <c r="F43" s="56">
        <f t="array" ref="F43">iferror(if(and(countif(Elims!$M$4:$M$27,$A43),Elims!$J$3="y"),-973,index(Avgs!F:F,match($A43,Avgs!$A:$A,0))), )</f>
        <v>0</v>
      </c>
      <c r="G43" s="56">
        <f t="array" ref="G43">iferror(if(and(countif(Elims!$M$4:$M$27,$A43),Elims!$J$3="y"),-973,index(Avgs!G:G,match($A43,Avgs!$A:$A,0))), )</f>
        <v>0</v>
      </c>
      <c r="H43" s="56">
        <f t="array" ref="H43">iferror(if(and(countif(Elims!$M$4:$M$27,$A43),Elims!$J$3="y"),-973,index(Avgs!H:H,match($A43,Avgs!$A:$A,0))), )</f>
        <v>0</v>
      </c>
      <c r="I43" s="56">
        <f t="array" ref="I43">iferror(if(and(countif(Elims!$M$4:$M$27,$A43),Elims!$J$3="y"),-973,index(Avgs!I:I,match($A43,Avgs!$A:$A,0))), )</f>
        <v>0</v>
      </c>
      <c r="J43" s="56">
        <f t="array" ref="J43">iferror(if(and(countif(Elims!$M$4:$M$27,$A43),Elims!$J$3="y"),-973,index(Avgs!J:J,match($A43,Avgs!$A:$A,0))), )</f>
        <v>0</v>
      </c>
      <c r="K43" s="51">
        <f t="array" ref="K43">iferror(if(and(countif(Elims!$M$4:$M$27,$A43),Elims!$J$3="y"),-973,index(Avgs!K:K,match($A43,Avgs!$A:$A,0))), )</f>
        <v>0</v>
      </c>
      <c r="L43" s="51">
        <f t="array" ref="L43">iferror(if(and(countif(Elims!$M$4:$M$27,$A43),Elims!$J$3="y"),-973,index(Avgs!L:L,match($A43,Avgs!$A:$A,0))), )</f>
        <v>0</v>
      </c>
      <c r="M43" s="56">
        <f t="array" ref="M43">iferror(if(and(countif(Elims!$M$4:$M$27,$A43),Elims!$J$3="y"),-973,index(Avgs!M:M,match($A43,Avgs!$A:$A,0))), )</f>
        <v>0</v>
      </c>
      <c r="N43" s="56">
        <f t="array" ref="N43">iferror(if(and(countif(Elims!$M$4:$M$27,$A43),Elims!$J$3="y"),-973,index(Avgs!N:N,match($A43,Avgs!$A:$A,0))), )</f>
        <v>0</v>
      </c>
      <c r="O43" s="51">
        <f t="array" ref="O43">iferror(if(and(countif(Elims!$M$4:$M$27,$A43),Elims!$J$3="y"),-973,index(Avgs!O:O,match($A43,Avgs!$A:$A,0))), )</f>
        <v>0</v>
      </c>
      <c r="P43" s="51">
        <f t="array" ref="P43">iferror(if(and(countif(Elims!$M$4:$M$27,$A43),Elims!$J$3="y"),-973,index(Avgs!P:P,match($A43,Avgs!$A:$A,0))), )</f>
        <v>0</v>
      </c>
      <c r="Q43" s="51">
        <f t="array" ref="Q43">iferror(if(and(countif(Elims!$M$4:$M$27,$A43),Elims!$J$3="y"),-973,index(Avgs!Q:Q,match($A43,Avgs!$A:$A,0))), )</f>
        <v>0</v>
      </c>
      <c r="R43" s="58" t="str">
        <f>'Component OPR Dump'!E42</f>
        <v/>
      </c>
      <c r="S43" s="58" t="str">
        <f>'Component OPR Dump'!C42</f>
        <v/>
      </c>
      <c r="T43" s="58" t="str">
        <f>'Component OPR Dump'!H42</f>
        <v/>
      </c>
      <c r="U43" s="58" t="str">
        <f>'Component OPR Dump'!G42</f>
        <v/>
      </c>
      <c r="V43" s="58" t="str">
        <f>'Component OPR Dump'!F42</f>
        <v/>
      </c>
      <c r="W43" s="58" t="str">
        <f>'Component OPR Dump'!I42</f>
        <v/>
      </c>
      <c r="X43" s="63">
        <f>iferror(sumif('Raw Data'!$Q:$Q,$A43,'Raw Data'!L:L)/countif('Raw Data'!$Q:$Q,$A43), )</f>
        <v>0</v>
      </c>
    </row>
    <row r="44">
      <c r="A44" s="71">
        <v>6305.0</v>
      </c>
      <c r="B44" s="51">
        <f t="array" ref="B44">iferror(if(and(countif(Elims!$M$4:$M$27,$A44),Elims!$J$3="y"),-973,index(Avgs!B:B,match($A44,Avgs!$A:$A,0))), )</f>
        <v>-973</v>
      </c>
      <c r="C44" s="51">
        <f t="array" ref="C44">iferror(if(and(countif(Elims!$M$4:$M$27,$A44),Elims!$J$3="y"),-973,index(Avgs!C:C,match($A44,Avgs!$A:$A,0))), )</f>
        <v>-973</v>
      </c>
      <c r="D44" s="56">
        <f t="array" ref="D44">iferror(if(and(countif(Elims!$M$4:$M$27,$A44),Elims!$J$3="y"),-973,index(Avgs!D:D,match($A44,Avgs!$A:$A,0))), )</f>
        <v>-973</v>
      </c>
      <c r="E44" s="56">
        <f t="array" ref="E44">iferror(if(and(countif(Elims!$M$4:$M$27,$A44),Elims!$J$3="y"),-973,index(Avgs!E:E,match($A44,Avgs!$A:$A,0))), )</f>
        <v>-973</v>
      </c>
      <c r="F44" s="56">
        <f t="array" ref="F44">iferror(if(and(countif(Elims!$M$4:$M$27,$A44),Elims!$J$3="y"),-973,index(Avgs!F:F,match($A44,Avgs!$A:$A,0))), )</f>
        <v>-973</v>
      </c>
      <c r="G44" s="56">
        <f t="array" ref="G44">iferror(if(and(countif(Elims!$M$4:$M$27,$A44),Elims!$J$3="y"),-973,index(Avgs!G:G,match($A44,Avgs!$A:$A,0))), )</f>
        <v>-973</v>
      </c>
      <c r="H44" s="56">
        <f t="array" ref="H44">iferror(if(and(countif(Elims!$M$4:$M$27,$A44),Elims!$J$3="y"),-973,index(Avgs!H:H,match($A44,Avgs!$A:$A,0))), )</f>
        <v>-973</v>
      </c>
      <c r="I44" s="56">
        <f t="array" ref="I44">iferror(if(and(countif(Elims!$M$4:$M$27,$A44),Elims!$J$3="y"),-973,index(Avgs!I:I,match($A44,Avgs!$A:$A,0))), )</f>
        <v>-973</v>
      </c>
      <c r="J44" s="56">
        <f t="array" ref="J44">iferror(if(and(countif(Elims!$M$4:$M$27,$A44),Elims!$J$3="y"),-973,index(Avgs!J:J,match($A44,Avgs!$A:$A,0))), )</f>
        <v>-973</v>
      </c>
      <c r="K44" s="51">
        <f t="array" ref="K44">iferror(if(and(countif(Elims!$M$4:$M$27,$A44),Elims!$J$3="y"),-973,index(Avgs!K:K,match($A44,Avgs!$A:$A,0))), )</f>
        <v>-973</v>
      </c>
      <c r="L44" s="51">
        <f t="array" ref="L44">iferror(if(and(countif(Elims!$M$4:$M$27,$A44),Elims!$J$3="y"),-973,index(Avgs!L:L,match($A44,Avgs!$A:$A,0))), )</f>
        <v>-973</v>
      </c>
      <c r="M44" s="56">
        <f t="array" ref="M44">iferror(if(and(countif(Elims!$M$4:$M$27,$A44),Elims!$J$3="y"),-973,index(Avgs!M:M,match($A44,Avgs!$A:$A,0))), )</f>
        <v>-973</v>
      </c>
      <c r="N44" s="56">
        <f t="array" ref="N44">iferror(if(and(countif(Elims!$M$4:$M$27,$A44),Elims!$J$3="y"),-973,index(Avgs!N:N,match($A44,Avgs!$A:$A,0))), )</f>
        <v>-973</v>
      </c>
      <c r="O44" s="51">
        <f t="array" ref="O44">iferror(if(and(countif(Elims!$M$4:$M$27,$A44),Elims!$J$3="y"),-973,index(Avgs!O:O,match($A44,Avgs!$A:$A,0))), )</f>
        <v>-973</v>
      </c>
      <c r="P44" s="51">
        <f t="array" ref="P44">iferror(if(and(countif(Elims!$M$4:$M$27,$A44),Elims!$J$3="y"),-973,index(Avgs!P:P,match($A44,Avgs!$A:$A,0))), )</f>
        <v>-973</v>
      </c>
      <c r="Q44" s="51">
        <f t="array" ref="Q44">iferror(if(and(countif(Elims!$M$4:$M$27,$A44),Elims!$J$3="y"),-973,index(Avgs!Q:Q,match($A44,Avgs!$A:$A,0))), )</f>
        <v>-973</v>
      </c>
      <c r="R44" s="58" t="str">
        <f>'Component OPR Dump'!E43</f>
        <v/>
      </c>
      <c r="S44" s="58" t="str">
        <f>'Component OPR Dump'!C43</f>
        <v/>
      </c>
      <c r="T44" s="58" t="str">
        <f>'Component OPR Dump'!H43</f>
        <v/>
      </c>
      <c r="U44" s="58" t="str">
        <f>'Component OPR Dump'!G43</f>
        <v/>
      </c>
      <c r="V44" s="58" t="str">
        <f>'Component OPR Dump'!F43</f>
        <v/>
      </c>
      <c r="W44" s="58" t="str">
        <f>'Component OPR Dump'!I43</f>
        <v/>
      </c>
      <c r="X44" s="63">
        <f>iferror(sumif('Raw Data'!$Q:$Q,$A44,'Raw Data'!L:L)/countif('Raw Data'!$Q:$Q,$A44), )</f>
        <v>0</v>
      </c>
    </row>
    <row r="45">
      <c r="A45" s="71">
        <v>6619.0</v>
      </c>
      <c r="B45" s="51">
        <f t="array" ref="B45">iferror(if(and(countif(Elims!$M$4:$M$27,$A45),Elims!$J$3="y"),-973,index(Avgs!B:B,match($A45,Avgs!$A:$A,0))), )</f>
        <v>19.8968254</v>
      </c>
      <c r="C45" s="51">
        <f t="array" ref="C45">iferror(if(and(countif(Elims!$M$4:$M$27,$A45),Elims!$J$3="y"),-973,index(Avgs!C:C,match($A45,Avgs!$A:$A,0))), )</f>
        <v>50.71428571</v>
      </c>
      <c r="D45" s="56">
        <f t="array" ref="D45">iferror(if(and(countif(Elims!$M$4:$M$27,$A45),Elims!$J$3="y"),-973,index(Avgs!D:D,match($A45,Avgs!$A:$A,0))), )</f>
        <v>0</v>
      </c>
      <c r="E45" s="56">
        <f t="array" ref="E45">iferror(if(and(countif(Elims!$M$4:$M$27,$A45),Elims!$J$3="y"),-973,index(Avgs!E:E,match($A45,Avgs!$A:$A,0))), )</f>
        <v>0</v>
      </c>
      <c r="F45" s="56">
        <f t="array" ref="F45">iferror(if(and(countif(Elims!$M$4:$M$27,$A45),Elims!$J$3="y"),-973,index(Avgs!F:F,match($A45,Avgs!$A:$A,0))), )</f>
        <v>0</v>
      </c>
      <c r="G45" s="56">
        <f t="array" ref="G45">iferror(if(and(countif(Elims!$M$4:$M$27,$A45),Elims!$J$3="y"),-973,index(Avgs!G:G,match($A45,Avgs!$A:$A,0))), )</f>
        <v>0</v>
      </c>
      <c r="H45" s="56">
        <f t="array" ref="H45">iferror(if(and(countif(Elims!$M$4:$M$27,$A45),Elims!$J$3="y"),-973,index(Avgs!H:H,match($A45,Avgs!$A:$A,0))), )</f>
        <v>0.5</v>
      </c>
      <c r="I45" s="56">
        <f t="array" ref="I45">iferror(if(and(countif(Elims!$M$4:$M$27,$A45),Elims!$J$3="y"),-973,index(Avgs!I:I,match($A45,Avgs!$A:$A,0))), )</f>
        <v>0</v>
      </c>
      <c r="J45" s="56">
        <f t="array" ref="J45">iferror(if(and(countif(Elims!$M$4:$M$27,$A45),Elims!$J$3="y"),-973,index(Avgs!J:J,match($A45,Avgs!$A:$A,0))), )</f>
        <v>0</v>
      </c>
      <c r="K45" s="51">
        <f t="array" ref="K45">iferror(if(and(countif(Elims!$M$4:$M$27,$A45),Elims!$J$3="y"),-973,index(Avgs!K:K,match($A45,Avgs!$A:$A,0))), )</f>
        <v>1.333333333</v>
      </c>
      <c r="L45" s="51">
        <f t="array" ref="L45">iferror(if(and(countif(Elims!$M$4:$M$27,$A45),Elims!$J$3="y"),-973,index(Avgs!L:L,match($A45,Avgs!$A:$A,0))), )</f>
        <v>4</v>
      </c>
      <c r="M45" s="56">
        <f t="array" ref="M45">iferror(if(and(countif(Elims!$M$4:$M$27,$A45),Elims!$J$3="y"),-973,index(Avgs!M:M,match($A45,Avgs!$A:$A,0))), )</f>
        <v>0</v>
      </c>
      <c r="N45" s="56">
        <f t="array" ref="N45">iferror(if(and(countif(Elims!$M$4:$M$27,$A45),Elims!$J$3="y"),-973,index(Avgs!N:N,match($A45,Avgs!$A:$A,0))), )</f>
        <v>0</v>
      </c>
      <c r="O45" s="51">
        <f t="array" ref="O45">iferror(if(and(countif(Elims!$M$4:$M$27,$A45),Elims!$J$3="y"),-973,index(Avgs!O:O,match($A45,Avgs!$A:$A,0))), )</f>
        <v>0</v>
      </c>
      <c r="P45" s="51">
        <f t="array" ref="P45">iferror(if(and(countif(Elims!$M$4:$M$27,$A45),Elims!$J$3="y"),-973,index(Avgs!P:P,match($A45,Avgs!$A:$A,0))), )</f>
        <v>0</v>
      </c>
      <c r="Q45" s="51">
        <f t="array" ref="Q45">iferror(if(and(countif(Elims!$M$4:$M$27,$A45),Elims!$J$3="y"),-973,index(Avgs!Q:Q,match($A45,Avgs!$A:$A,0))), )</f>
        <v>1.333333333</v>
      </c>
      <c r="R45" s="58" t="str">
        <f>'Component OPR Dump'!E44</f>
        <v/>
      </c>
      <c r="S45" s="58" t="str">
        <f>'Component OPR Dump'!C44</f>
        <v/>
      </c>
      <c r="T45" s="58" t="str">
        <f>'Component OPR Dump'!H44</f>
        <v/>
      </c>
      <c r="U45" s="58" t="str">
        <f>'Component OPR Dump'!G44</f>
        <v/>
      </c>
      <c r="V45" s="58" t="str">
        <f>'Component OPR Dump'!F44</f>
        <v/>
      </c>
      <c r="W45" s="58" t="str">
        <f>'Component OPR Dump'!I44</f>
        <v/>
      </c>
      <c r="X45" s="63">
        <f>iferror(sumif('Raw Data'!$Q:$Q,$A45,'Raw Data'!L:L)/countif('Raw Data'!$Q:$Q,$A45), )</f>
        <v>0</v>
      </c>
    </row>
    <row r="46">
      <c r="A46" s="71">
        <v>6650.0</v>
      </c>
      <c r="B46" s="51">
        <f t="array" ref="B46">iferror(if(and(countif(Elims!$M$4:$M$27,$A46),Elims!$J$3="y"),-973,index(Avgs!B:B,match($A46,Avgs!$A:$A,0))), )</f>
        <v>10.71428571</v>
      </c>
      <c r="C46" s="51">
        <f t="array" ref="C46">iferror(if(and(countif(Elims!$M$4:$M$27,$A46),Elims!$J$3="y"),-973,index(Avgs!C:C,match($A46,Avgs!$A:$A,0))), )</f>
        <v>55</v>
      </c>
      <c r="D46" s="56">
        <f t="array" ref="D46">iferror(if(and(countif(Elims!$M$4:$M$27,$A46),Elims!$J$3="y"),-973,index(Avgs!D:D,match($A46,Avgs!$A:$A,0))), )</f>
        <v>0</v>
      </c>
      <c r="E46" s="56">
        <f t="array" ref="E46">iferror(if(and(countif(Elims!$M$4:$M$27,$A46),Elims!$J$3="y"),-973,index(Avgs!E:E,match($A46,Avgs!$A:$A,0))), )</f>
        <v>0</v>
      </c>
      <c r="F46" s="56">
        <f t="array" ref="F46">iferror(if(and(countif(Elims!$M$4:$M$27,$A46),Elims!$J$3="y"),-973,index(Avgs!F:F,match($A46,Avgs!$A:$A,0))), )</f>
        <v>0</v>
      </c>
      <c r="G46" s="56">
        <f t="array" ref="G46">iferror(if(and(countif(Elims!$M$4:$M$27,$A46),Elims!$J$3="y"),-973,index(Avgs!G:G,match($A46,Avgs!$A:$A,0))), )</f>
        <v>0</v>
      </c>
      <c r="H46" s="56">
        <f t="array" ref="H46">iferror(if(and(countif(Elims!$M$4:$M$27,$A46),Elims!$J$3="y"),-973,index(Avgs!H:H,match($A46,Avgs!$A:$A,0))), )</f>
        <v>0.7142857143</v>
      </c>
      <c r="I46" s="56">
        <f t="array" ref="I46">iferror(if(and(countif(Elims!$M$4:$M$27,$A46),Elims!$J$3="y"),-973,index(Avgs!I:I,match($A46,Avgs!$A:$A,0))), )</f>
        <v>0</v>
      </c>
      <c r="J46" s="56">
        <f t="array" ref="J46">iferror(if(and(countif(Elims!$M$4:$M$27,$A46),Elims!$J$3="y"),-973,index(Avgs!J:J,match($A46,Avgs!$A:$A,0))), )</f>
        <v>0</v>
      </c>
      <c r="K46" s="51">
        <f t="array" ref="K46">iferror(if(and(countif(Elims!$M$4:$M$27,$A46),Elims!$J$3="y"),-973,index(Avgs!K:K,match($A46,Avgs!$A:$A,0))), )</f>
        <v>0</v>
      </c>
      <c r="L46" s="51">
        <f t="array" ref="L46">iferror(if(and(countif(Elims!$M$4:$M$27,$A46),Elims!$J$3="y"),-973,index(Avgs!L:L,match($A46,Avgs!$A:$A,0))), )</f>
        <v>0</v>
      </c>
      <c r="M46" s="56">
        <f t="array" ref="M46">iferror(if(and(countif(Elims!$M$4:$M$27,$A46),Elims!$J$3="y"),-973,index(Avgs!M:M,match($A46,Avgs!$A:$A,0))), )</f>
        <v>0.1428571429</v>
      </c>
      <c r="N46" s="56">
        <f t="array" ref="N46">iferror(if(and(countif(Elims!$M$4:$M$27,$A46),Elims!$J$3="y"),-973,index(Avgs!N:N,match($A46,Avgs!$A:$A,0))), )</f>
        <v>0</v>
      </c>
      <c r="O46" s="51">
        <f t="array" ref="O46">iferror(if(and(countif(Elims!$M$4:$M$27,$A46),Elims!$J$3="y"),-973,index(Avgs!O:O,match($A46,Avgs!$A:$A,0))), )</f>
        <v>0</v>
      </c>
      <c r="P46" s="51">
        <f t="array" ref="P46">iferror(if(and(countif(Elims!$M$4:$M$27,$A46),Elims!$J$3="y"),-973,index(Avgs!P:P,match($A46,Avgs!$A:$A,0))), )</f>
        <v>0</v>
      </c>
      <c r="Q46" s="51">
        <f t="array" ref="Q46">iferror(if(and(countif(Elims!$M$4:$M$27,$A46),Elims!$J$3="y"),-973,index(Avgs!Q:Q,match($A46,Avgs!$A:$A,0))), )</f>
        <v>0</v>
      </c>
      <c r="R46" s="58" t="str">
        <f>'Component OPR Dump'!E45</f>
        <v/>
      </c>
      <c r="S46" s="58" t="str">
        <f>'Component OPR Dump'!C45</f>
        <v/>
      </c>
      <c r="T46" s="58" t="str">
        <f>'Component OPR Dump'!H45</f>
        <v/>
      </c>
      <c r="U46" s="58" t="str">
        <f>'Component OPR Dump'!G45</f>
        <v/>
      </c>
      <c r="V46" s="58" t="str">
        <f>'Component OPR Dump'!F45</f>
        <v/>
      </c>
      <c r="W46" s="58" t="str">
        <f>'Component OPR Dump'!I45</f>
        <v/>
      </c>
      <c r="X46" s="63">
        <f>iferror(sumif('Raw Data'!$Q:$Q,$A46,'Raw Data'!L:L)/countif('Raw Data'!$Q:$Q,$A46), )</f>
        <v>0</v>
      </c>
    </row>
    <row r="47">
      <c r="A47" s="71">
        <v>6657.0</v>
      </c>
      <c r="B47" s="51">
        <f t="array" ref="B47">iferror(if(and(countif(Elims!$M$4:$M$27,$A47),Elims!$J$3="y"),-973,index(Avgs!B:B,match($A47,Avgs!$A:$A,0))), )</f>
        <v>25.22222222</v>
      </c>
      <c r="C47" s="51">
        <f t="array" ref="C47">iferror(if(and(countif(Elims!$M$4:$M$27,$A47),Elims!$J$3="y"),-973,index(Avgs!C:C,match($A47,Avgs!$A:$A,0))), )</f>
        <v>48</v>
      </c>
      <c r="D47" s="56">
        <f t="array" ref="D47">iferror(if(and(countif(Elims!$M$4:$M$27,$A47),Elims!$J$3="y"),-973,index(Avgs!D:D,match($A47,Avgs!$A:$A,0))), )</f>
        <v>0</v>
      </c>
      <c r="E47" s="56">
        <f t="array" ref="E47">iferror(if(and(countif(Elims!$M$4:$M$27,$A47),Elims!$J$3="y"),-973,index(Avgs!E:E,match($A47,Avgs!$A:$A,0))), )</f>
        <v>0</v>
      </c>
      <c r="F47" s="56">
        <f t="array" ref="F47">iferror(if(and(countif(Elims!$M$4:$M$27,$A47),Elims!$J$3="y"),-973,index(Avgs!F:F,match($A47,Avgs!$A:$A,0))), )</f>
        <v>0</v>
      </c>
      <c r="G47" s="56">
        <f t="array" ref="G47">iferror(if(and(countif(Elims!$M$4:$M$27,$A47),Elims!$J$3="y"),-973,index(Avgs!G:G,match($A47,Avgs!$A:$A,0))), )</f>
        <v>0</v>
      </c>
      <c r="H47" s="56">
        <f t="array" ref="H47">iferror(if(and(countif(Elims!$M$4:$M$27,$A47),Elims!$J$3="y"),-973,index(Avgs!H:H,match($A47,Avgs!$A:$A,0))), )</f>
        <v>0.3333333333</v>
      </c>
      <c r="I47" s="56">
        <f t="array" ref="I47">iferror(if(and(countif(Elims!$M$4:$M$27,$A47),Elims!$J$3="y"),-973,index(Avgs!I:I,match($A47,Avgs!$A:$A,0))), )</f>
        <v>0</v>
      </c>
      <c r="J47" s="56">
        <f t="array" ref="J47">iferror(if(and(countif(Elims!$M$4:$M$27,$A47),Elims!$J$3="y"),-973,index(Avgs!J:J,match($A47,Avgs!$A:$A,0))), )</f>
        <v>0</v>
      </c>
      <c r="K47" s="51">
        <f t="array" ref="K47">iferror(if(and(countif(Elims!$M$4:$M$27,$A47),Elims!$J$3="y"),-973,index(Avgs!K:K,match($A47,Avgs!$A:$A,0))), )</f>
        <v>1.166666667</v>
      </c>
      <c r="L47" s="51">
        <f t="array" ref="L47">iferror(if(and(countif(Elims!$M$4:$M$27,$A47),Elims!$J$3="y"),-973,index(Avgs!L:L,match($A47,Avgs!$A:$A,0))), )</f>
        <v>3</v>
      </c>
      <c r="M47" s="56">
        <f t="array" ref="M47">iferror(if(and(countif(Elims!$M$4:$M$27,$A47),Elims!$J$3="y"),-973,index(Avgs!M:M,match($A47,Avgs!$A:$A,0))), )</f>
        <v>0</v>
      </c>
      <c r="N47" s="56">
        <f t="array" ref="N47">iferror(if(and(countif(Elims!$M$4:$M$27,$A47),Elims!$J$3="y"),-973,index(Avgs!N:N,match($A47,Avgs!$A:$A,0))), )</f>
        <v>0</v>
      </c>
      <c r="O47" s="51">
        <f t="array" ref="O47">iferror(if(and(countif(Elims!$M$4:$M$27,$A47),Elims!$J$3="y"),-973,index(Avgs!O:O,match($A47,Avgs!$A:$A,0))), )</f>
        <v>0</v>
      </c>
      <c r="P47" s="51">
        <f t="array" ref="P47">iferror(if(and(countif(Elims!$M$4:$M$27,$A47),Elims!$J$3="y"),-973,index(Avgs!P:P,match($A47,Avgs!$A:$A,0))), )</f>
        <v>0</v>
      </c>
      <c r="Q47" s="51">
        <f t="array" ref="Q47">iferror(if(and(countif(Elims!$M$4:$M$27,$A47),Elims!$J$3="y"),-973,index(Avgs!Q:Q,match($A47,Avgs!$A:$A,0))), )</f>
        <v>1.166666667</v>
      </c>
      <c r="R47" s="58" t="str">
        <f>'Component OPR Dump'!E46</f>
        <v/>
      </c>
      <c r="S47" s="58" t="str">
        <f>'Component OPR Dump'!C46</f>
        <v/>
      </c>
      <c r="T47" s="58" t="str">
        <f>'Component OPR Dump'!H46</f>
        <v/>
      </c>
      <c r="U47" s="58" t="str">
        <f>'Component OPR Dump'!G46</f>
        <v/>
      </c>
      <c r="V47" s="58" t="str">
        <f>'Component OPR Dump'!F46</f>
        <v/>
      </c>
      <c r="W47" s="58" t="str">
        <f>'Component OPR Dump'!I46</f>
        <v/>
      </c>
      <c r="X47" s="63">
        <f>iferror(sumif('Raw Data'!$Q:$Q,$A47,'Raw Data'!L:L)/countif('Raw Data'!$Q:$Q,$A47), )</f>
        <v>0</v>
      </c>
    </row>
    <row r="48">
      <c r="A48" s="71">
        <v>6699.0</v>
      </c>
      <c r="B48" s="51">
        <f t="array" ref="B48">iferror(if(and(countif(Elims!$M$4:$M$27,$A48),Elims!$J$3="y"),-973,index(Avgs!B:B,match($A48,Avgs!$A:$A,0))), )</f>
        <v>-973</v>
      </c>
      <c r="C48" s="51">
        <f t="array" ref="C48">iferror(if(and(countif(Elims!$M$4:$M$27,$A48),Elims!$J$3="y"),-973,index(Avgs!C:C,match($A48,Avgs!$A:$A,0))), )</f>
        <v>-973</v>
      </c>
      <c r="D48" s="56">
        <f t="array" ref="D48">iferror(if(and(countif(Elims!$M$4:$M$27,$A48),Elims!$J$3="y"),-973,index(Avgs!D:D,match($A48,Avgs!$A:$A,0))), )</f>
        <v>-973</v>
      </c>
      <c r="E48" s="56">
        <f t="array" ref="E48">iferror(if(and(countif(Elims!$M$4:$M$27,$A48),Elims!$J$3="y"),-973,index(Avgs!E:E,match($A48,Avgs!$A:$A,0))), )</f>
        <v>-973</v>
      </c>
      <c r="F48" s="56">
        <f t="array" ref="F48">iferror(if(and(countif(Elims!$M$4:$M$27,$A48),Elims!$J$3="y"),-973,index(Avgs!F:F,match($A48,Avgs!$A:$A,0))), )</f>
        <v>-973</v>
      </c>
      <c r="G48" s="56">
        <f t="array" ref="G48">iferror(if(and(countif(Elims!$M$4:$M$27,$A48),Elims!$J$3="y"),-973,index(Avgs!G:G,match($A48,Avgs!$A:$A,0))), )</f>
        <v>-973</v>
      </c>
      <c r="H48" s="56">
        <f t="array" ref="H48">iferror(if(and(countif(Elims!$M$4:$M$27,$A48),Elims!$J$3="y"),-973,index(Avgs!H:H,match($A48,Avgs!$A:$A,0))), )</f>
        <v>-973</v>
      </c>
      <c r="I48" s="56">
        <f t="array" ref="I48">iferror(if(and(countif(Elims!$M$4:$M$27,$A48),Elims!$J$3="y"),-973,index(Avgs!I:I,match($A48,Avgs!$A:$A,0))), )</f>
        <v>-973</v>
      </c>
      <c r="J48" s="56">
        <f t="array" ref="J48">iferror(if(and(countif(Elims!$M$4:$M$27,$A48),Elims!$J$3="y"),-973,index(Avgs!J:J,match($A48,Avgs!$A:$A,0))), )</f>
        <v>-973</v>
      </c>
      <c r="K48" s="51">
        <f t="array" ref="K48">iferror(if(and(countif(Elims!$M$4:$M$27,$A48),Elims!$J$3="y"),-973,index(Avgs!K:K,match($A48,Avgs!$A:$A,0))), )</f>
        <v>-973</v>
      </c>
      <c r="L48" s="51">
        <f t="array" ref="L48">iferror(if(and(countif(Elims!$M$4:$M$27,$A48),Elims!$J$3="y"),-973,index(Avgs!L:L,match($A48,Avgs!$A:$A,0))), )</f>
        <v>-973</v>
      </c>
      <c r="M48" s="56">
        <f t="array" ref="M48">iferror(if(and(countif(Elims!$M$4:$M$27,$A48),Elims!$J$3="y"),-973,index(Avgs!M:M,match($A48,Avgs!$A:$A,0))), )</f>
        <v>-973</v>
      </c>
      <c r="N48" s="56">
        <f t="array" ref="N48">iferror(if(and(countif(Elims!$M$4:$M$27,$A48),Elims!$J$3="y"),-973,index(Avgs!N:N,match($A48,Avgs!$A:$A,0))), )</f>
        <v>-973</v>
      </c>
      <c r="O48" s="51">
        <f t="array" ref="O48">iferror(if(and(countif(Elims!$M$4:$M$27,$A48),Elims!$J$3="y"),-973,index(Avgs!O:O,match($A48,Avgs!$A:$A,0))), )</f>
        <v>-973</v>
      </c>
      <c r="P48" s="51">
        <f t="array" ref="P48">iferror(if(and(countif(Elims!$M$4:$M$27,$A48),Elims!$J$3="y"),-973,index(Avgs!P:P,match($A48,Avgs!$A:$A,0))), )</f>
        <v>-973</v>
      </c>
      <c r="Q48" s="51">
        <f t="array" ref="Q48">iferror(if(and(countif(Elims!$M$4:$M$27,$A48),Elims!$J$3="y"),-973,index(Avgs!Q:Q,match($A48,Avgs!$A:$A,0))), )</f>
        <v>-973</v>
      </c>
      <c r="R48" s="58" t="str">
        <f>'Component OPR Dump'!E47</f>
        <v/>
      </c>
      <c r="S48" s="58" t="str">
        <f>'Component OPR Dump'!C47</f>
        <v/>
      </c>
      <c r="T48" s="58" t="str">
        <f>'Component OPR Dump'!H47</f>
        <v/>
      </c>
      <c r="U48" s="58" t="str">
        <f>'Component OPR Dump'!G47</f>
        <v/>
      </c>
      <c r="V48" s="58" t="str">
        <f>'Component OPR Dump'!F47</f>
        <v/>
      </c>
      <c r="W48" s="58" t="str">
        <f>'Component OPR Dump'!I47</f>
        <v/>
      </c>
      <c r="X48" s="63">
        <f>iferror(sumif('Raw Data'!$Q:$Q,$A48,'Raw Data'!L:L)/countif('Raw Data'!$Q:$Q,$A48), )</f>
        <v>0</v>
      </c>
    </row>
    <row r="49">
      <c r="A49" s="71">
        <v>6711.0</v>
      </c>
      <c r="B49" s="51">
        <f t="array" ref="B49">iferror(if(and(countif(Elims!$M$4:$M$27,$A49),Elims!$J$3="y"),-973,index(Avgs!B:B,match($A49,Avgs!$A:$A,0))), )</f>
        <v>4.047619048</v>
      </c>
      <c r="C49" s="51">
        <f t="array" ref="C49">iferror(if(and(countif(Elims!$M$4:$M$27,$A49),Elims!$J$3="y"),-973,index(Avgs!C:C,match($A49,Avgs!$A:$A,0))), )</f>
        <v>13.33333333</v>
      </c>
      <c r="D49" s="56">
        <f t="array" ref="D49">iferror(if(and(countif(Elims!$M$4:$M$27,$A49),Elims!$J$3="y"),-973,index(Avgs!D:D,match($A49,Avgs!$A:$A,0))), )</f>
        <v>0</v>
      </c>
      <c r="E49" s="56">
        <f t="array" ref="E49">iferror(if(and(countif(Elims!$M$4:$M$27,$A49),Elims!$J$3="y"),-973,index(Avgs!E:E,match($A49,Avgs!$A:$A,0))), )</f>
        <v>0</v>
      </c>
      <c r="F49" s="56">
        <f t="array" ref="F49">iferror(if(and(countif(Elims!$M$4:$M$27,$A49),Elims!$J$3="y"),-973,index(Avgs!F:F,match($A49,Avgs!$A:$A,0))), )</f>
        <v>0</v>
      </c>
      <c r="G49" s="56">
        <f t="array" ref="G49">iferror(if(and(countif(Elims!$M$4:$M$27,$A49),Elims!$J$3="y"),-973,index(Avgs!G:G,match($A49,Avgs!$A:$A,0))), )</f>
        <v>0</v>
      </c>
      <c r="H49" s="56">
        <f t="array" ref="H49">iferror(if(and(countif(Elims!$M$4:$M$27,$A49),Elims!$J$3="y"),-973,index(Avgs!H:H,match($A49,Avgs!$A:$A,0))), )</f>
        <v>0.1428571429</v>
      </c>
      <c r="I49" s="56">
        <f t="array" ref="I49">iferror(if(and(countif(Elims!$M$4:$M$27,$A49),Elims!$J$3="y"),-973,index(Avgs!I:I,match($A49,Avgs!$A:$A,0))), )</f>
        <v>0</v>
      </c>
      <c r="J49" s="56">
        <f t="array" ref="J49">iferror(if(and(countif(Elims!$M$4:$M$27,$A49),Elims!$J$3="y"),-973,index(Avgs!J:J,match($A49,Avgs!$A:$A,0))), )</f>
        <v>0</v>
      </c>
      <c r="K49" s="51">
        <f t="array" ref="K49">iferror(if(and(countif(Elims!$M$4:$M$27,$A49),Elims!$J$3="y"),-973,index(Avgs!K:K,match($A49,Avgs!$A:$A,0))), )</f>
        <v>0.2857142857</v>
      </c>
      <c r="L49" s="51">
        <f t="array" ref="L49">iferror(if(and(countif(Elims!$M$4:$M$27,$A49),Elims!$J$3="y"),-973,index(Avgs!L:L,match($A49,Avgs!$A:$A,0))), )</f>
        <v>1</v>
      </c>
      <c r="M49" s="56">
        <f t="array" ref="M49">iferror(if(and(countif(Elims!$M$4:$M$27,$A49),Elims!$J$3="y"),-973,index(Avgs!M:M,match($A49,Avgs!$A:$A,0))), )</f>
        <v>0</v>
      </c>
      <c r="N49" s="56">
        <f t="array" ref="N49">iferror(if(and(countif(Elims!$M$4:$M$27,$A49),Elims!$J$3="y"),-973,index(Avgs!N:N,match($A49,Avgs!$A:$A,0))), )</f>
        <v>0.1428571429</v>
      </c>
      <c r="O49" s="51">
        <f t="array" ref="O49">iferror(if(and(countif(Elims!$M$4:$M$27,$A49),Elims!$J$3="y"),-973,index(Avgs!O:O,match($A49,Avgs!$A:$A,0))), )</f>
        <v>0</v>
      </c>
      <c r="P49" s="51">
        <f t="array" ref="P49">iferror(if(and(countif(Elims!$M$4:$M$27,$A49),Elims!$J$3="y"),-973,index(Avgs!P:P,match($A49,Avgs!$A:$A,0))), )</f>
        <v>0</v>
      </c>
      <c r="Q49" s="51">
        <f t="array" ref="Q49">iferror(if(and(countif(Elims!$M$4:$M$27,$A49),Elims!$J$3="y"),-973,index(Avgs!Q:Q,match($A49,Avgs!$A:$A,0))), )</f>
        <v>0.2857142857</v>
      </c>
      <c r="R49" s="58" t="str">
        <f>'Component OPR Dump'!E48</f>
        <v/>
      </c>
      <c r="S49" s="58" t="str">
        <f>'Component OPR Dump'!C48</f>
        <v/>
      </c>
      <c r="T49" s="58" t="str">
        <f>'Component OPR Dump'!H48</f>
        <v/>
      </c>
      <c r="U49" s="58" t="str">
        <f>'Component OPR Dump'!G48</f>
        <v/>
      </c>
      <c r="V49" s="58" t="str">
        <f>'Component OPR Dump'!F48</f>
        <v/>
      </c>
      <c r="W49" s="58" t="str">
        <f>'Component OPR Dump'!I48</f>
        <v/>
      </c>
      <c r="X49" s="63">
        <f>iferror(sumif('Raw Data'!$Q:$Q,$A49,'Raw Data'!L:L)/countif('Raw Data'!$Q:$Q,$A49), )</f>
        <v>0</v>
      </c>
    </row>
    <row r="50">
      <c r="A50" s="72"/>
      <c r="B50" s="51" t="str">
        <f t="array" ref="B50">iferror(if(and(countif(Elims!$M$4:$M$27,$A50),Elims!$J$3="y"),-973,index(Avgs!B:B,match($A50,Avgs!$A:$A,0))), )</f>
        <v/>
      </c>
      <c r="C50" s="51" t="str">
        <f t="array" ref="C50">iferror(if(and(countif(Elims!$M$4:$M$27,$A50),Elims!$J$3="y"),-973,index(Avgs!C:C,match($A50,Avgs!$A:$A,0))), )</f>
        <v/>
      </c>
      <c r="D50" s="56" t="str">
        <f t="array" ref="D50">iferror(if(and(countif(Elims!$M$4:$M$27,$A50),Elims!$J$3="y"),-973,index(Avgs!D:D,match($A50,Avgs!$A:$A,0))), )</f>
        <v/>
      </c>
      <c r="E50" s="56" t="str">
        <f t="array" ref="E50">iferror(if(and(countif(Elims!$M$4:$M$27,$A50),Elims!$J$3="y"),-973,index(Avgs!E:E,match($A50,Avgs!$A:$A,0))), )</f>
        <v/>
      </c>
      <c r="F50" s="56" t="str">
        <f t="array" ref="F50">iferror(if(and(countif(Elims!$M$4:$M$27,$A50),Elims!$J$3="y"),-973,index(Avgs!F:F,match($A50,Avgs!$A:$A,0))), )</f>
        <v/>
      </c>
      <c r="G50" s="56" t="str">
        <f t="array" ref="G50">iferror(if(and(countif(Elims!$M$4:$M$27,$A50),Elims!$J$3="y"),-973,index(Avgs!G:G,match($A50,Avgs!$A:$A,0))), )</f>
        <v/>
      </c>
      <c r="H50" s="56" t="str">
        <f t="array" ref="H50">iferror(if(and(countif(Elims!$M$4:$M$27,$A50),Elims!$J$3="y"),-973,index(Avgs!H:H,match($A50,Avgs!$A:$A,0))), )</f>
        <v/>
      </c>
      <c r="I50" s="56" t="str">
        <f t="array" ref="I50">iferror(if(and(countif(Elims!$M$4:$M$27,$A50),Elims!$J$3="y"),-973,index(Avgs!I:I,match($A50,Avgs!$A:$A,0))), )</f>
        <v/>
      </c>
      <c r="J50" s="56" t="str">
        <f t="array" ref="J50">iferror(if(and(countif(Elims!$M$4:$M$27,$A50),Elims!$J$3="y"),-973,index(Avgs!J:J,match($A50,Avgs!$A:$A,0))), )</f>
        <v/>
      </c>
      <c r="K50" s="51" t="str">
        <f t="array" ref="K50">iferror(if(and(countif(Elims!$M$4:$M$27,$A50),Elims!$J$3="y"),-973,index(Avgs!K:K,match($A50,Avgs!$A:$A,0))), )</f>
        <v/>
      </c>
      <c r="L50" s="51" t="str">
        <f t="array" ref="L50">iferror(if(and(countif(Elims!$M$4:$M$27,$A50),Elims!$J$3="y"),-973,index(Avgs!L:L,match($A50,Avgs!$A:$A,0))), )</f>
        <v/>
      </c>
      <c r="M50" s="56" t="str">
        <f t="array" ref="M50">iferror(if(and(countif(Elims!$M$4:$M$27,$A50),Elims!$J$3="y"),-973,index(Avgs!M:M,match($A50,Avgs!$A:$A,0))), )</f>
        <v/>
      </c>
      <c r="N50" s="56" t="str">
        <f t="array" ref="N50">iferror(if(and(countif(Elims!$M$4:$M$27,$A50),Elims!$J$3="y"),-973,index(Avgs!N:N,match($A50,Avgs!$A:$A,0))), )</f>
        <v/>
      </c>
      <c r="O50" s="51" t="str">
        <f t="array" ref="O50">iferror(if(and(countif(Elims!$M$4:$M$27,$A50),Elims!$J$3="y"),-973,index(Avgs!O:O,match($A50,Avgs!$A:$A,0))), )</f>
        <v/>
      </c>
      <c r="P50" s="51" t="str">
        <f t="array" ref="P50">iferror(if(and(countif(Elims!$M$4:$M$27,$A50),Elims!$J$3="y"),-973,index(Avgs!P:P,match($A50,Avgs!$A:$A,0))), )</f>
        <v/>
      </c>
      <c r="Q50" s="51" t="str">
        <f t="array" ref="Q50">iferror(if(and(countif(Elims!$M$4:$M$27,$A50),Elims!$J$3="y"),-973,index(Avgs!Q:Q,match($A50,Avgs!$A:$A,0))), )</f>
        <v/>
      </c>
      <c r="R50" s="58" t="str">
        <f>'Component OPR Dump'!E49</f>
        <v/>
      </c>
      <c r="S50" s="58" t="str">
        <f>'Component OPR Dump'!C49</f>
        <v/>
      </c>
      <c r="T50" s="58" t="str">
        <f>'Component OPR Dump'!H49</f>
        <v/>
      </c>
      <c r="U50" s="58" t="str">
        <f>'Component OPR Dump'!G49</f>
        <v/>
      </c>
      <c r="V50" s="58" t="str">
        <f>'Component OPR Dump'!F49</f>
        <v/>
      </c>
      <c r="W50" s="58" t="str">
        <f>'Component OPR Dump'!I49</f>
        <v/>
      </c>
      <c r="X50" s="63" t="str">
        <f>iferror(sumif('Raw Data'!$Q:$Q,$A50,'Raw Data'!L:L)/countif('Raw Data'!$Q:$Q,$A50), )</f>
        <v/>
      </c>
    </row>
    <row r="51">
      <c r="A51" s="72"/>
      <c r="B51" s="51" t="str">
        <f t="array" ref="B51">iferror(if(and(countif(Elims!$M$4:$M$27,$A51),Elims!$J$3="y"),-973,index(Avgs!B:B,match($A51,Avgs!$A:$A,0))), )</f>
        <v/>
      </c>
      <c r="C51" s="51" t="str">
        <f t="array" ref="C51">iferror(if(and(countif(Elims!$M$4:$M$27,$A51),Elims!$J$3="y"),-973,index(Avgs!C:C,match($A51,Avgs!$A:$A,0))), )</f>
        <v/>
      </c>
      <c r="D51" s="56" t="str">
        <f t="array" ref="D51">iferror(if(and(countif(Elims!$M$4:$M$27,$A51),Elims!$J$3="y"),-973,index(Avgs!D:D,match($A51,Avgs!$A:$A,0))), )</f>
        <v/>
      </c>
      <c r="E51" s="56" t="str">
        <f t="array" ref="E51">iferror(if(and(countif(Elims!$M$4:$M$27,$A51),Elims!$J$3="y"),-973,index(Avgs!E:E,match($A51,Avgs!$A:$A,0))), )</f>
        <v/>
      </c>
      <c r="F51" s="56" t="str">
        <f t="array" ref="F51">iferror(if(and(countif(Elims!$M$4:$M$27,$A51),Elims!$J$3="y"),-973,index(Avgs!F:F,match($A51,Avgs!$A:$A,0))), )</f>
        <v/>
      </c>
      <c r="G51" s="56" t="str">
        <f t="array" ref="G51">iferror(if(and(countif(Elims!$M$4:$M$27,$A51),Elims!$J$3="y"),-973,index(Avgs!G:G,match($A51,Avgs!$A:$A,0))), )</f>
        <v/>
      </c>
      <c r="H51" s="56" t="str">
        <f t="array" ref="H51">iferror(if(and(countif(Elims!$M$4:$M$27,$A51),Elims!$J$3="y"),-973,index(Avgs!H:H,match($A51,Avgs!$A:$A,0))), )</f>
        <v/>
      </c>
      <c r="I51" s="56" t="str">
        <f t="array" ref="I51">iferror(if(and(countif(Elims!$M$4:$M$27,$A51),Elims!$J$3="y"),-973,index(Avgs!I:I,match($A51,Avgs!$A:$A,0))), )</f>
        <v/>
      </c>
      <c r="J51" s="56" t="str">
        <f t="array" ref="J51">iferror(if(and(countif(Elims!$M$4:$M$27,$A51),Elims!$J$3="y"),-973,index(Avgs!J:J,match($A51,Avgs!$A:$A,0))), )</f>
        <v/>
      </c>
      <c r="K51" s="51" t="str">
        <f t="array" ref="K51">iferror(if(and(countif(Elims!$M$4:$M$27,$A51),Elims!$J$3="y"),-973,index(Avgs!K:K,match($A51,Avgs!$A:$A,0))), )</f>
        <v/>
      </c>
      <c r="L51" s="51" t="str">
        <f t="array" ref="L51">iferror(if(and(countif(Elims!$M$4:$M$27,$A51),Elims!$J$3="y"),-973,index(Avgs!L:L,match($A51,Avgs!$A:$A,0))), )</f>
        <v/>
      </c>
      <c r="M51" s="56" t="str">
        <f t="array" ref="M51">iferror(if(and(countif(Elims!$M$4:$M$27,$A51),Elims!$J$3="y"),-973,index(Avgs!M:M,match($A51,Avgs!$A:$A,0))), )</f>
        <v/>
      </c>
      <c r="N51" s="56" t="str">
        <f t="array" ref="N51">iferror(if(and(countif(Elims!$M$4:$M$27,$A51),Elims!$J$3="y"),-973,index(Avgs!N:N,match($A51,Avgs!$A:$A,0))), )</f>
        <v/>
      </c>
      <c r="O51" s="51" t="str">
        <f t="array" ref="O51">iferror(if(and(countif(Elims!$M$4:$M$27,$A51),Elims!$J$3="y"),-973,index(Avgs!O:O,match($A51,Avgs!$A:$A,0))), )</f>
        <v/>
      </c>
      <c r="P51" s="51" t="str">
        <f t="array" ref="P51">iferror(if(and(countif(Elims!$M$4:$M$27,$A51),Elims!$J$3="y"),-973,index(Avgs!P:P,match($A51,Avgs!$A:$A,0))), )</f>
        <v/>
      </c>
      <c r="Q51" s="51" t="str">
        <f t="array" ref="Q51">iferror(if(and(countif(Elims!$M$4:$M$27,$A51),Elims!$J$3="y"),-973,index(Avgs!Q:Q,match($A51,Avgs!$A:$A,0))), )</f>
        <v/>
      </c>
      <c r="R51" s="58" t="str">
        <f>'Component OPR Dump'!E50</f>
        <v/>
      </c>
      <c r="S51" s="58" t="str">
        <f>'Component OPR Dump'!C50</f>
        <v/>
      </c>
      <c r="T51" s="58" t="str">
        <f>'Component OPR Dump'!H50</f>
        <v/>
      </c>
      <c r="U51" s="58" t="str">
        <f>'Component OPR Dump'!G50</f>
        <v/>
      </c>
      <c r="V51" s="58" t="str">
        <f>'Component OPR Dump'!F50</f>
        <v/>
      </c>
      <c r="W51" s="58" t="str">
        <f>'Component OPR Dump'!I50</f>
        <v/>
      </c>
      <c r="X51" s="63" t="str">
        <f>iferror(sumif('Raw Data'!$Q:$Q,$A51,'Raw Data'!L:L)/countif('Raw Data'!$Q:$Q,$A51), )</f>
        <v/>
      </c>
    </row>
    <row r="52">
      <c r="A52" s="72"/>
      <c r="B52" s="51" t="str">
        <f t="array" ref="B52">iferror(if(and(countif(Elims!$M$4:$M$27,$A52),Elims!$J$3="y"),-973,index(Avgs!B:B,match($A52,Avgs!$A:$A,0))), )</f>
        <v/>
      </c>
      <c r="C52" s="51" t="str">
        <f t="array" ref="C52">iferror(if(and(countif(Elims!$M$4:$M$27,$A52),Elims!$J$3="y"),-973,index(Avgs!C:C,match($A52,Avgs!$A:$A,0))), )</f>
        <v/>
      </c>
      <c r="D52" s="56" t="str">
        <f t="array" ref="D52">iferror(if(and(countif(Elims!$M$4:$M$27,$A52),Elims!$J$3="y"),-973,index(Avgs!D:D,match($A52,Avgs!$A:$A,0))), )</f>
        <v/>
      </c>
      <c r="E52" s="56" t="str">
        <f t="array" ref="E52">iferror(if(and(countif(Elims!$M$4:$M$27,$A52),Elims!$J$3="y"),-973,index(Avgs!E:E,match($A52,Avgs!$A:$A,0))), )</f>
        <v/>
      </c>
      <c r="F52" s="56" t="str">
        <f t="array" ref="F52">iferror(if(and(countif(Elims!$M$4:$M$27,$A52),Elims!$J$3="y"),-973,index(Avgs!F:F,match($A52,Avgs!$A:$A,0))), )</f>
        <v/>
      </c>
      <c r="G52" s="56" t="str">
        <f t="array" ref="G52">iferror(if(and(countif(Elims!$M$4:$M$27,$A52),Elims!$J$3="y"),-973,index(Avgs!G:G,match($A52,Avgs!$A:$A,0))), )</f>
        <v/>
      </c>
      <c r="H52" s="56" t="str">
        <f t="array" ref="H52">iferror(if(and(countif(Elims!$M$4:$M$27,$A52),Elims!$J$3="y"),-973,index(Avgs!H:H,match($A52,Avgs!$A:$A,0))), )</f>
        <v/>
      </c>
      <c r="I52" s="56" t="str">
        <f t="array" ref="I52">iferror(if(and(countif(Elims!$M$4:$M$27,$A52),Elims!$J$3="y"),-973,index(Avgs!I:I,match($A52,Avgs!$A:$A,0))), )</f>
        <v/>
      </c>
      <c r="J52" s="56" t="str">
        <f t="array" ref="J52">iferror(if(and(countif(Elims!$M$4:$M$27,$A52),Elims!$J$3="y"),-973,index(Avgs!J:J,match($A52,Avgs!$A:$A,0))), )</f>
        <v/>
      </c>
      <c r="K52" s="51" t="str">
        <f t="array" ref="K52">iferror(if(and(countif(Elims!$M$4:$M$27,$A52),Elims!$J$3="y"),-973,index(Avgs!K:K,match($A52,Avgs!$A:$A,0))), )</f>
        <v/>
      </c>
      <c r="L52" s="51" t="str">
        <f t="array" ref="L52">iferror(if(and(countif(Elims!$M$4:$M$27,$A52),Elims!$J$3="y"),-973,index(Avgs!L:L,match($A52,Avgs!$A:$A,0))), )</f>
        <v/>
      </c>
      <c r="M52" s="56" t="str">
        <f t="array" ref="M52">iferror(if(and(countif(Elims!$M$4:$M$27,$A52),Elims!$J$3="y"),-973,index(Avgs!M:M,match($A52,Avgs!$A:$A,0))), )</f>
        <v/>
      </c>
      <c r="N52" s="56" t="str">
        <f t="array" ref="N52">iferror(if(and(countif(Elims!$M$4:$M$27,$A52),Elims!$J$3="y"),-973,index(Avgs!N:N,match($A52,Avgs!$A:$A,0))), )</f>
        <v/>
      </c>
      <c r="O52" s="51" t="str">
        <f t="array" ref="O52">iferror(if(and(countif(Elims!$M$4:$M$27,$A52),Elims!$J$3="y"),-973,index(Avgs!O:O,match($A52,Avgs!$A:$A,0))), )</f>
        <v/>
      </c>
      <c r="P52" s="51" t="str">
        <f t="array" ref="P52">iferror(if(and(countif(Elims!$M$4:$M$27,$A52),Elims!$J$3="y"),-973,index(Avgs!P:P,match($A52,Avgs!$A:$A,0))), )</f>
        <v/>
      </c>
      <c r="Q52" s="51" t="str">
        <f t="array" ref="Q52">iferror(if(and(countif(Elims!$M$4:$M$27,$A52),Elims!$J$3="y"),-973,index(Avgs!Q:Q,match($A52,Avgs!$A:$A,0))), )</f>
        <v/>
      </c>
      <c r="R52" s="58" t="str">
        <f>'Component OPR Dump'!E51</f>
        <v/>
      </c>
      <c r="S52" s="58" t="str">
        <f>'Component OPR Dump'!C51</f>
        <v/>
      </c>
      <c r="T52" s="58" t="str">
        <f>'Component OPR Dump'!H51</f>
        <v/>
      </c>
      <c r="U52" s="58" t="str">
        <f>'Component OPR Dump'!G51</f>
        <v/>
      </c>
      <c r="V52" s="58" t="str">
        <f>'Component OPR Dump'!F51</f>
        <v/>
      </c>
      <c r="W52" s="58" t="str">
        <f>'Component OPR Dump'!I51</f>
        <v/>
      </c>
      <c r="X52" s="63" t="str">
        <f>iferror(sumif('Raw Data'!$Q:$Q,$A52,'Raw Data'!L:L)/countif('Raw Data'!$Q:$Q,$A52), )</f>
        <v/>
      </c>
    </row>
    <row r="53">
      <c r="A53" s="72"/>
      <c r="B53" s="51" t="str">
        <f t="array" ref="B53">iferror(if(and(countif(Elims!$M$4:$M$27,$A53),Elims!$J$3="y"),-973,index(Avgs!B:B,match($A53,Avgs!$A:$A,0))), )</f>
        <v/>
      </c>
      <c r="C53" s="51" t="str">
        <f t="array" ref="C53">iferror(if(and(countif(Elims!$M$4:$M$27,$A53),Elims!$J$3="y"),-973,index(Avgs!C:C,match($A53,Avgs!$A:$A,0))), )</f>
        <v/>
      </c>
      <c r="D53" s="56" t="str">
        <f t="array" ref="D53">iferror(if(and(countif(Elims!$M$4:$M$27,$A53),Elims!$J$3="y"),-973,index(Avgs!D:D,match($A53,Avgs!$A:$A,0))), )</f>
        <v/>
      </c>
      <c r="E53" s="56" t="str">
        <f t="array" ref="E53">iferror(if(and(countif(Elims!$M$4:$M$27,$A53),Elims!$J$3="y"),-973,index(Avgs!E:E,match($A53,Avgs!$A:$A,0))), )</f>
        <v/>
      </c>
      <c r="F53" s="56" t="str">
        <f t="array" ref="F53">iferror(if(and(countif(Elims!$M$4:$M$27,$A53),Elims!$J$3="y"),-973,index(Avgs!F:F,match($A53,Avgs!$A:$A,0))), )</f>
        <v/>
      </c>
      <c r="G53" s="56" t="str">
        <f t="array" ref="G53">iferror(if(and(countif(Elims!$M$4:$M$27,$A53),Elims!$J$3="y"),-973,index(Avgs!G:G,match($A53,Avgs!$A:$A,0))), )</f>
        <v/>
      </c>
      <c r="H53" s="56" t="str">
        <f t="array" ref="H53">iferror(if(and(countif(Elims!$M$4:$M$27,$A53),Elims!$J$3="y"),-973,index(Avgs!H:H,match($A53,Avgs!$A:$A,0))), )</f>
        <v/>
      </c>
      <c r="I53" s="56" t="str">
        <f t="array" ref="I53">iferror(if(and(countif(Elims!$M$4:$M$27,$A53),Elims!$J$3="y"),-973,index(Avgs!I:I,match($A53,Avgs!$A:$A,0))), )</f>
        <v/>
      </c>
      <c r="J53" s="56" t="str">
        <f t="array" ref="J53">iferror(if(and(countif(Elims!$M$4:$M$27,$A53),Elims!$J$3="y"),-973,index(Avgs!J:J,match($A53,Avgs!$A:$A,0))), )</f>
        <v/>
      </c>
      <c r="K53" s="51" t="str">
        <f t="array" ref="K53">iferror(if(and(countif(Elims!$M$4:$M$27,$A53),Elims!$J$3="y"),-973,index(Avgs!K:K,match($A53,Avgs!$A:$A,0))), )</f>
        <v/>
      </c>
      <c r="L53" s="51" t="str">
        <f t="array" ref="L53">iferror(if(and(countif(Elims!$M$4:$M$27,$A53),Elims!$J$3="y"),-973,index(Avgs!L:L,match($A53,Avgs!$A:$A,0))), )</f>
        <v/>
      </c>
      <c r="M53" s="56" t="str">
        <f t="array" ref="M53">iferror(if(and(countif(Elims!$M$4:$M$27,$A53),Elims!$J$3="y"),-973,index(Avgs!M:M,match($A53,Avgs!$A:$A,0))), )</f>
        <v/>
      </c>
      <c r="N53" s="56" t="str">
        <f t="array" ref="N53">iferror(if(and(countif(Elims!$M$4:$M$27,$A53),Elims!$J$3="y"),-973,index(Avgs!N:N,match($A53,Avgs!$A:$A,0))), )</f>
        <v/>
      </c>
      <c r="O53" s="51" t="str">
        <f t="array" ref="O53">iferror(if(and(countif(Elims!$M$4:$M$27,$A53),Elims!$J$3="y"),-973,index(Avgs!O:O,match($A53,Avgs!$A:$A,0))), )</f>
        <v/>
      </c>
      <c r="P53" s="51" t="str">
        <f t="array" ref="P53">iferror(if(and(countif(Elims!$M$4:$M$27,$A53),Elims!$J$3="y"),-973,index(Avgs!P:P,match($A53,Avgs!$A:$A,0))), )</f>
        <v/>
      </c>
      <c r="Q53" s="51" t="str">
        <f t="array" ref="Q53">iferror(if(and(countif(Elims!$M$4:$M$27,$A53),Elims!$J$3="y"),-973,index(Avgs!Q:Q,match($A53,Avgs!$A:$A,0))), )</f>
        <v/>
      </c>
      <c r="R53" s="58" t="str">
        <f>'Component OPR Dump'!E52</f>
        <v/>
      </c>
      <c r="S53" s="58" t="str">
        <f>'Component OPR Dump'!C52</f>
        <v/>
      </c>
      <c r="T53" s="58" t="str">
        <f>'Component OPR Dump'!H52</f>
        <v/>
      </c>
      <c r="U53" s="58" t="str">
        <f>'Component OPR Dump'!G52</f>
        <v/>
      </c>
      <c r="V53" s="58" t="str">
        <f>'Component OPR Dump'!F52</f>
        <v/>
      </c>
      <c r="W53" s="58" t="str">
        <f>'Component OPR Dump'!I52</f>
        <v/>
      </c>
      <c r="X53" s="63" t="str">
        <f>iferror(sumif('Raw Data'!$Q:$Q,$A53,'Raw Data'!L:L)/countif('Raw Data'!$Q:$Q,$A53), )</f>
        <v/>
      </c>
    </row>
    <row r="54">
      <c r="A54" s="72"/>
      <c r="B54" s="51" t="str">
        <f t="array" ref="B54">iferror(if(and(countif(Elims!$M$4:$M$27,$A54),Elims!$J$3="y"),-973,index(Avgs!B:B,match($A54,Avgs!$A:$A,0))), )</f>
        <v/>
      </c>
      <c r="C54" s="51" t="str">
        <f t="array" ref="C54">iferror(if(and(countif(Elims!$M$4:$M$27,$A54),Elims!$J$3="y"),-973,index(Avgs!C:C,match($A54,Avgs!$A:$A,0))), )</f>
        <v/>
      </c>
      <c r="D54" s="56" t="str">
        <f t="array" ref="D54">iferror(if(and(countif(Elims!$M$4:$M$27,$A54),Elims!$J$3="y"),-973,index(Avgs!D:D,match($A54,Avgs!$A:$A,0))), )</f>
        <v/>
      </c>
      <c r="E54" s="56" t="str">
        <f t="array" ref="E54">iferror(if(and(countif(Elims!$M$4:$M$27,$A54),Elims!$J$3="y"),-973,index(Avgs!E:E,match($A54,Avgs!$A:$A,0))), )</f>
        <v/>
      </c>
      <c r="F54" s="56" t="str">
        <f t="array" ref="F54">iferror(if(and(countif(Elims!$M$4:$M$27,$A54),Elims!$J$3="y"),-973,index(Avgs!F:F,match($A54,Avgs!$A:$A,0))), )</f>
        <v/>
      </c>
      <c r="G54" s="56" t="str">
        <f t="array" ref="G54">iferror(if(and(countif(Elims!$M$4:$M$27,$A54),Elims!$J$3="y"),-973,index(Avgs!G:G,match($A54,Avgs!$A:$A,0))), )</f>
        <v/>
      </c>
      <c r="H54" s="56" t="str">
        <f t="array" ref="H54">iferror(if(and(countif(Elims!$M$4:$M$27,$A54),Elims!$J$3="y"),-973,index(Avgs!H:H,match($A54,Avgs!$A:$A,0))), )</f>
        <v/>
      </c>
      <c r="I54" s="56" t="str">
        <f t="array" ref="I54">iferror(if(and(countif(Elims!$M$4:$M$27,$A54),Elims!$J$3="y"),-973,index(Avgs!I:I,match($A54,Avgs!$A:$A,0))), )</f>
        <v/>
      </c>
      <c r="J54" s="56" t="str">
        <f t="array" ref="J54">iferror(if(and(countif(Elims!$M$4:$M$27,$A54),Elims!$J$3="y"),-973,index(Avgs!J:J,match($A54,Avgs!$A:$A,0))), )</f>
        <v/>
      </c>
      <c r="K54" s="51" t="str">
        <f t="array" ref="K54">iferror(if(and(countif(Elims!$M$4:$M$27,$A54),Elims!$J$3="y"),-973,index(Avgs!K:K,match($A54,Avgs!$A:$A,0))), )</f>
        <v/>
      </c>
      <c r="L54" s="51" t="str">
        <f t="array" ref="L54">iferror(if(and(countif(Elims!$M$4:$M$27,$A54),Elims!$J$3="y"),-973,index(Avgs!L:L,match($A54,Avgs!$A:$A,0))), )</f>
        <v/>
      </c>
      <c r="M54" s="56" t="str">
        <f t="array" ref="M54">iferror(if(and(countif(Elims!$M$4:$M$27,$A54),Elims!$J$3="y"),-973,index(Avgs!M:M,match($A54,Avgs!$A:$A,0))), )</f>
        <v/>
      </c>
      <c r="N54" s="56" t="str">
        <f t="array" ref="N54">iferror(if(and(countif(Elims!$M$4:$M$27,$A54),Elims!$J$3="y"),-973,index(Avgs!N:N,match($A54,Avgs!$A:$A,0))), )</f>
        <v/>
      </c>
      <c r="O54" s="51" t="str">
        <f t="array" ref="O54">iferror(if(and(countif(Elims!$M$4:$M$27,$A54),Elims!$J$3="y"),-973,index(Avgs!O:O,match($A54,Avgs!$A:$A,0))), )</f>
        <v/>
      </c>
      <c r="P54" s="51" t="str">
        <f t="array" ref="P54">iferror(if(and(countif(Elims!$M$4:$M$27,$A54),Elims!$J$3="y"),-973,index(Avgs!P:P,match($A54,Avgs!$A:$A,0))), )</f>
        <v/>
      </c>
      <c r="Q54" s="51" t="str">
        <f t="array" ref="Q54">iferror(if(and(countif(Elims!$M$4:$M$27,$A54),Elims!$J$3="y"),-973,index(Avgs!Q:Q,match($A54,Avgs!$A:$A,0))), )</f>
        <v/>
      </c>
      <c r="R54" s="58" t="str">
        <f>'Component OPR Dump'!E53</f>
        <v/>
      </c>
      <c r="S54" s="58" t="str">
        <f>'Component OPR Dump'!C53</f>
        <v/>
      </c>
      <c r="T54" s="58" t="str">
        <f>'Component OPR Dump'!H53</f>
        <v/>
      </c>
      <c r="U54" s="58" t="str">
        <f>'Component OPR Dump'!G53</f>
        <v/>
      </c>
      <c r="V54" s="58" t="str">
        <f>'Component OPR Dump'!F53</f>
        <v/>
      </c>
      <c r="W54" s="58" t="str">
        <f>'Component OPR Dump'!I53</f>
        <v/>
      </c>
      <c r="X54" s="63" t="str">
        <f>iferror(sumif('Raw Data'!$Q:$Q,$A54,'Raw Data'!L:L)/countif('Raw Data'!$Q:$Q,$A54), )</f>
        <v/>
      </c>
    </row>
    <row r="55">
      <c r="A55" s="72"/>
      <c r="B55" s="51" t="str">
        <f t="array" ref="B55">iferror(if(and(countif(Elims!$M$4:$M$27,$A55),Elims!$J$3="y"),-973,index(Avgs!B:B,match($A55,Avgs!$A:$A,0))), )</f>
        <v/>
      </c>
      <c r="C55" s="51" t="str">
        <f t="array" ref="C55">iferror(if(and(countif(Elims!$M$4:$M$27,$A55),Elims!$J$3="y"),-973,index(Avgs!C:C,match($A55,Avgs!$A:$A,0))), )</f>
        <v/>
      </c>
      <c r="D55" s="56" t="str">
        <f t="array" ref="D55">iferror(if(and(countif(Elims!$M$4:$M$27,$A55),Elims!$J$3="y"),-973,index(Avgs!D:D,match($A55,Avgs!$A:$A,0))), )</f>
        <v/>
      </c>
      <c r="E55" s="56" t="str">
        <f t="array" ref="E55">iferror(if(and(countif(Elims!$M$4:$M$27,$A55),Elims!$J$3="y"),-973,index(Avgs!E:E,match($A55,Avgs!$A:$A,0))), )</f>
        <v/>
      </c>
      <c r="F55" s="56" t="str">
        <f t="array" ref="F55">iferror(if(and(countif(Elims!$M$4:$M$27,$A55),Elims!$J$3="y"),-973,index(Avgs!F:F,match($A55,Avgs!$A:$A,0))), )</f>
        <v/>
      </c>
      <c r="G55" s="56" t="str">
        <f t="array" ref="G55">iferror(if(and(countif(Elims!$M$4:$M$27,$A55),Elims!$J$3="y"),-973,index(Avgs!G:G,match($A55,Avgs!$A:$A,0))), )</f>
        <v/>
      </c>
      <c r="H55" s="56" t="str">
        <f t="array" ref="H55">iferror(if(and(countif(Elims!$M$4:$M$27,$A55),Elims!$J$3="y"),-973,index(Avgs!H:H,match($A55,Avgs!$A:$A,0))), )</f>
        <v/>
      </c>
      <c r="I55" s="56" t="str">
        <f t="array" ref="I55">iferror(if(and(countif(Elims!$M$4:$M$27,$A55),Elims!$J$3="y"),-973,index(Avgs!I:I,match($A55,Avgs!$A:$A,0))), )</f>
        <v/>
      </c>
      <c r="J55" s="56" t="str">
        <f t="array" ref="J55">iferror(if(and(countif(Elims!$M$4:$M$27,$A55),Elims!$J$3="y"),-973,index(Avgs!J:J,match($A55,Avgs!$A:$A,0))), )</f>
        <v/>
      </c>
      <c r="K55" s="51" t="str">
        <f t="array" ref="K55">iferror(if(and(countif(Elims!$M$4:$M$27,$A55),Elims!$J$3="y"),-973,index(Avgs!K:K,match($A55,Avgs!$A:$A,0))), )</f>
        <v/>
      </c>
      <c r="L55" s="51" t="str">
        <f t="array" ref="L55">iferror(if(and(countif(Elims!$M$4:$M$27,$A55),Elims!$J$3="y"),-973,index(Avgs!L:L,match($A55,Avgs!$A:$A,0))), )</f>
        <v/>
      </c>
      <c r="M55" s="56" t="str">
        <f t="array" ref="M55">iferror(if(and(countif(Elims!$M$4:$M$27,$A55),Elims!$J$3="y"),-973,index(Avgs!M:M,match($A55,Avgs!$A:$A,0))), )</f>
        <v/>
      </c>
      <c r="N55" s="56" t="str">
        <f t="array" ref="N55">iferror(if(and(countif(Elims!$M$4:$M$27,$A55),Elims!$J$3="y"),-973,index(Avgs!N:N,match($A55,Avgs!$A:$A,0))), )</f>
        <v/>
      </c>
      <c r="O55" s="51" t="str">
        <f t="array" ref="O55">iferror(if(and(countif(Elims!$M$4:$M$27,$A55),Elims!$J$3="y"),-973,index(Avgs!O:O,match($A55,Avgs!$A:$A,0))), )</f>
        <v/>
      </c>
      <c r="P55" s="51" t="str">
        <f t="array" ref="P55">iferror(if(and(countif(Elims!$M$4:$M$27,$A55),Elims!$J$3="y"),-973,index(Avgs!P:P,match($A55,Avgs!$A:$A,0))), )</f>
        <v/>
      </c>
      <c r="Q55" s="51" t="str">
        <f t="array" ref="Q55">iferror(if(and(countif(Elims!$M$4:$M$27,$A55),Elims!$J$3="y"),-973,index(Avgs!Q:Q,match($A55,Avgs!$A:$A,0))), )</f>
        <v/>
      </c>
      <c r="R55" s="58" t="str">
        <f>'Component OPR Dump'!E54</f>
        <v/>
      </c>
      <c r="S55" s="58" t="str">
        <f>'Component OPR Dump'!C54</f>
        <v/>
      </c>
      <c r="T55" s="58" t="str">
        <f>'Component OPR Dump'!H54</f>
        <v/>
      </c>
      <c r="U55" s="58" t="str">
        <f>'Component OPR Dump'!G54</f>
        <v/>
      </c>
      <c r="V55" s="58" t="str">
        <f>'Component OPR Dump'!F54</f>
        <v/>
      </c>
      <c r="W55" s="58" t="str">
        <f>'Component OPR Dump'!I54</f>
        <v/>
      </c>
      <c r="X55" s="63" t="str">
        <f>iferror(sumif('Raw Data'!$Q:$Q,$A55,'Raw Data'!L:L)/countif('Raw Data'!$Q:$Q,$A55), )</f>
        <v/>
      </c>
    </row>
    <row r="56">
      <c r="A56" s="72"/>
      <c r="B56" s="51" t="str">
        <f t="array" ref="B56">iferror(if(and(countif(Elims!$M$4:$M$27,$A56),Elims!$J$3="y"),-973,index(Avgs!B:B,match($A56,Avgs!$A:$A,0))), )</f>
        <v/>
      </c>
      <c r="C56" s="51" t="str">
        <f t="array" ref="C56">iferror(if(and(countif(Elims!$M$4:$M$27,$A56),Elims!$J$3="y"),-973,index(Avgs!C:C,match($A56,Avgs!$A:$A,0))), )</f>
        <v/>
      </c>
      <c r="D56" s="56" t="str">
        <f t="array" ref="D56">iferror(if(and(countif(Elims!$M$4:$M$27,$A56),Elims!$J$3="y"),-973,index(Avgs!D:D,match($A56,Avgs!$A:$A,0))), )</f>
        <v/>
      </c>
      <c r="E56" s="56" t="str">
        <f t="array" ref="E56">iferror(if(and(countif(Elims!$M$4:$M$27,$A56),Elims!$J$3="y"),-973,index(Avgs!E:E,match($A56,Avgs!$A:$A,0))), )</f>
        <v/>
      </c>
      <c r="F56" s="56" t="str">
        <f t="array" ref="F56">iferror(if(and(countif(Elims!$M$4:$M$27,$A56),Elims!$J$3="y"),-973,index(Avgs!F:F,match($A56,Avgs!$A:$A,0))), )</f>
        <v/>
      </c>
      <c r="G56" s="56" t="str">
        <f t="array" ref="G56">iferror(if(and(countif(Elims!$M$4:$M$27,$A56),Elims!$J$3="y"),-973,index(Avgs!G:G,match($A56,Avgs!$A:$A,0))), )</f>
        <v/>
      </c>
      <c r="H56" s="56" t="str">
        <f t="array" ref="H56">iferror(if(and(countif(Elims!$M$4:$M$27,$A56),Elims!$J$3="y"),-973,index(Avgs!H:H,match($A56,Avgs!$A:$A,0))), )</f>
        <v/>
      </c>
      <c r="I56" s="56" t="str">
        <f t="array" ref="I56">iferror(if(and(countif(Elims!$M$4:$M$27,$A56),Elims!$J$3="y"),-973,index(Avgs!I:I,match($A56,Avgs!$A:$A,0))), )</f>
        <v/>
      </c>
      <c r="J56" s="56" t="str">
        <f t="array" ref="J56">iferror(if(and(countif(Elims!$M$4:$M$27,$A56),Elims!$J$3="y"),-973,index(Avgs!J:J,match($A56,Avgs!$A:$A,0))), )</f>
        <v/>
      </c>
      <c r="K56" s="51" t="str">
        <f t="array" ref="K56">iferror(if(and(countif(Elims!$M$4:$M$27,$A56),Elims!$J$3="y"),-973,index(Avgs!K:K,match($A56,Avgs!$A:$A,0))), )</f>
        <v/>
      </c>
      <c r="L56" s="51" t="str">
        <f t="array" ref="L56">iferror(if(and(countif(Elims!$M$4:$M$27,$A56),Elims!$J$3="y"),-973,index(Avgs!L:L,match($A56,Avgs!$A:$A,0))), )</f>
        <v/>
      </c>
      <c r="M56" s="56" t="str">
        <f t="array" ref="M56">iferror(if(and(countif(Elims!$M$4:$M$27,$A56),Elims!$J$3="y"),-973,index(Avgs!M:M,match($A56,Avgs!$A:$A,0))), )</f>
        <v/>
      </c>
      <c r="N56" s="56" t="str">
        <f t="array" ref="N56">iferror(if(and(countif(Elims!$M$4:$M$27,$A56),Elims!$J$3="y"),-973,index(Avgs!N:N,match($A56,Avgs!$A:$A,0))), )</f>
        <v/>
      </c>
      <c r="O56" s="51" t="str">
        <f t="array" ref="O56">iferror(if(and(countif(Elims!$M$4:$M$27,$A56),Elims!$J$3="y"),-973,index(Avgs!O:O,match($A56,Avgs!$A:$A,0))), )</f>
        <v/>
      </c>
      <c r="P56" s="51" t="str">
        <f t="array" ref="P56">iferror(if(and(countif(Elims!$M$4:$M$27,$A56),Elims!$J$3="y"),-973,index(Avgs!P:P,match($A56,Avgs!$A:$A,0))), )</f>
        <v/>
      </c>
      <c r="Q56" s="51" t="str">
        <f t="array" ref="Q56">iferror(if(and(countif(Elims!$M$4:$M$27,$A56),Elims!$J$3="y"),-973,index(Avgs!Q:Q,match($A56,Avgs!$A:$A,0))), )</f>
        <v/>
      </c>
      <c r="R56" s="58" t="str">
        <f>'Component OPR Dump'!E55</f>
        <v/>
      </c>
      <c r="S56" s="58" t="str">
        <f>'Component OPR Dump'!C55</f>
        <v/>
      </c>
      <c r="T56" s="58" t="str">
        <f>'Component OPR Dump'!H55</f>
        <v/>
      </c>
      <c r="U56" s="58" t="str">
        <f>'Component OPR Dump'!G55</f>
        <v/>
      </c>
      <c r="V56" s="58" t="str">
        <f>'Component OPR Dump'!F55</f>
        <v/>
      </c>
      <c r="W56" s="58" t="str">
        <f>'Component OPR Dump'!I55</f>
        <v/>
      </c>
      <c r="X56" s="63" t="str">
        <f>iferror(sumif('Raw Data'!$Q:$Q,$A56,'Raw Data'!L:L)/countif('Raw Data'!$Q:$Q,$A56), )</f>
        <v/>
      </c>
    </row>
    <row r="57">
      <c r="A57" s="72"/>
      <c r="B57" s="51" t="str">
        <f t="array" ref="B57">iferror(if(and(countif(Elims!$M$4:$M$27,$A57),Elims!$J$3="y"),-973,index(Avgs!B:B,match($A57,Avgs!$A:$A,0))), )</f>
        <v/>
      </c>
      <c r="C57" s="51" t="str">
        <f t="array" ref="C57">iferror(if(and(countif(Elims!$M$4:$M$27,$A57),Elims!$J$3="y"),-973,index(Avgs!C:C,match($A57,Avgs!$A:$A,0))), )</f>
        <v/>
      </c>
      <c r="D57" s="56" t="str">
        <f t="array" ref="D57">iferror(if(and(countif(Elims!$M$4:$M$27,$A57),Elims!$J$3="y"),-973,index(Avgs!D:D,match($A57,Avgs!$A:$A,0))), )</f>
        <v/>
      </c>
      <c r="E57" s="56" t="str">
        <f t="array" ref="E57">iferror(if(and(countif(Elims!$M$4:$M$27,$A57),Elims!$J$3="y"),-973,index(Avgs!E:E,match($A57,Avgs!$A:$A,0))), )</f>
        <v/>
      </c>
      <c r="F57" s="56" t="str">
        <f t="array" ref="F57">iferror(if(and(countif(Elims!$M$4:$M$27,$A57),Elims!$J$3="y"),-973,index(Avgs!F:F,match($A57,Avgs!$A:$A,0))), )</f>
        <v/>
      </c>
      <c r="G57" s="56" t="str">
        <f t="array" ref="G57">iferror(if(and(countif(Elims!$M$4:$M$27,$A57),Elims!$J$3="y"),-973,index(Avgs!G:G,match($A57,Avgs!$A:$A,0))), )</f>
        <v/>
      </c>
      <c r="H57" s="56" t="str">
        <f t="array" ref="H57">iferror(if(and(countif(Elims!$M$4:$M$27,$A57),Elims!$J$3="y"),-973,index(Avgs!H:H,match($A57,Avgs!$A:$A,0))), )</f>
        <v/>
      </c>
      <c r="I57" s="56" t="str">
        <f t="array" ref="I57">iferror(if(and(countif(Elims!$M$4:$M$27,$A57),Elims!$J$3="y"),-973,index(Avgs!I:I,match($A57,Avgs!$A:$A,0))), )</f>
        <v/>
      </c>
      <c r="J57" s="56" t="str">
        <f t="array" ref="J57">iferror(if(and(countif(Elims!$M$4:$M$27,$A57),Elims!$J$3="y"),-973,index(Avgs!J:J,match($A57,Avgs!$A:$A,0))), )</f>
        <v/>
      </c>
      <c r="K57" s="51" t="str">
        <f t="array" ref="K57">iferror(if(and(countif(Elims!$M$4:$M$27,$A57),Elims!$J$3="y"),-973,index(Avgs!K:K,match($A57,Avgs!$A:$A,0))), )</f>
        <v/>
      </c>
      <c r="L57" s="51" t="str">
        <f t="array" ref="L57">iferror(if(and(countif(Elims!$M$4:$M$27,$A57),Elims!$J$3="y"),-973,index(Avgs!L:L,match($A57,Avgs!$A:$A,0))), )</f>
        <v/>
      </c>
      <c r="M57" s="56" t="str">
        <f t="array" ref="M57">iferror(if(and(countif(Elims!$M$4:$M$27,$A57),Elims!$J$3="y"),-973,index(Avgs!M:M,match($A57,Avgs!$A:$A,0))), )</f>
        <v/>
      </c>
      <c r="N57" s="56" t="str">
        <f t="array" ref="N57">iferror(if(and(countif(Elims!$M$4:$M$27,$A57),Elims!$J$3="y"),-973,index(Avgs!N:N,match($A57,Avgs!$A:$A,0))), )</f>
        <v/>
      </c>
      <c r="O57" s="51" t="str">
        <f t="array" ref="O57">iferror(if(and(countif(Elims!$M$4:$M$27,$A57),Elims!$J$3="y"),-973,index(Avgs!O:O,match($A57,Avgs!$A:$A,0))), )</f>
        <v/>
      </c>
      <c r="P57" s="51" t="str">
        <f t="array" ref="P57">iferror(if(and(countif(Elims!$M$4:$M$27,$A57),Elims!$J$3="y"),-973,index(Avgs!P:P,match($A57,Avgs!$A:$A,0))), )</f>
        <v/>
      </c>
      <c r="Q57" s="51" t="str">
        <f t="array" ref="Q57">iferror(if(and(countif(Elims!$M$4:$M$27,$A57),Elims!$J$3="y"),-973,index(Avgs!Q:Q,match($A57,Avgs!$A:$A,0))), )</f>
        <v/>
      </c>
      <c r="R57" s="58" t="str">
        <f>'Component OPR Dump'!E56</f>
        <v/>
      </c>
      <c r="S57" s="58" t="str">
        <f>'Component OPR Dump'!C56</f>
        <v/>
      </c>
      <c r="T57" s="58" t="str">
        <f>'Component OPR Dump'!H56</f>
        <v/>
      </c>
      <c r="U57" s="58" t="str">
        <f>'Component OPR Dump'!G56</f>
        <v/>
      </c>
      <c r="V57" s="58" t="str">
        <f>'Component OPR Dump'!F56</f>
        <v/>
      </c>
      <c r="W57" s="58" t="str">
        <f>'Component OPR Dump'!I56</f>
        <v/>
      </c>
      <c r="X57" s="63" t="str">
        <f>iferror(sumif('Raw Data'!$Q:$Q,$A57,'Raw Data'!L:L)/countif('Raw Data'!$Q:$Q,$A57), )</f>
        <v/>
      </c>
    </row>
    <row r="58">
      <c r="A58" s="72"/>
      <c r="B58" s="51" t="str">
        <f t="array" ref="B58">iferror(if(and(countif(Elims!$M$4:$M$27,$A58),Elims!$J$3="y"),-973,index(Avgs!B:B,match($A58,Avgs!$A:$A,0))), )</f>
        <v/>
      </c>
      <c r="C58" s="51" t="str">
        <f t="array" ref="C58">iferror(if(and(countif(Elims!$M$4:$M$27,$A58),Elims!$J$3="y"),-973,index(Avgs!C:C,match($A58,Avgs!$A:$A,0))), )</f>
        <v/>
      </c>
      <c r="D58" s="56" t="str">
        <f t="array" ref="D58">iferror(if(and(countif(Elims!$M$4:$M$27,$A58),Elims!$J$3="y"),-973,index(Avgs!D:D,match($A58,Avgs!$A:$A,0))), )</f>
        <v/>
      </c>
      <c r="E58" s="56" t="str">
        <f t="array" ref="E58">iferror(if(and(countif(Elims!$M$4:$M$27,$A58),Elims!$J$3="y"),-973,index(Avgs!E:E,match($A58,Avgs!$A:$A,0))), )</f>
        <v/>
      </c>
      <c r="F58" s="56" t="str">
        <f t="array" ref="F58">iferror(if(and(countif(Elims!$M$4:$M$27,$A58),Elims!$J$3="y"),-973,index(Avgs!F:F,match($A58,Avgs!$A:$A,0))), )</f>
        <v/>
      </c>
      <c r="G58" s="56" t="str">
        <f t="array" ref="G58">iferror(if(and(countif(Elims!$M$4:$M$27,$A58),Elims!$J$3="y"),-973,index(Avgs!G:G,match($A58,Avgs!$A:$A,0))), )</f>
        <v/>
      </c>
      <c r="H58" s="56" t="str">
        <f t="array" ref="H58">iferror(if(and(countif(Elims!$M$4:$M$27,$A58),Elims!$J$3="y"),-973,index(Avgs!H:H,match($A58,Avgs!$A:$A,0))), )</f>
        <v/>
      </c>
      <c r="I58" s="56" t="str">
        <f t="array" ref="I58">iferror(if(and(countif(Elims!$M$4:$M$27,$A58),Elims!$J$3="y"),-973,index(Avgs!I:I,match($A58,Avgs!$A:$A,0))), )</f>
        <v/>
      </c>
      <c r="J58" s="56" t="str">
        <f t="array" ref="J58">iferror(if(and(countif(Elims!$M$4:$M$27,$A58),Elims!$J$3="y"),-973,index(Avgs!J:J,match($A58,Avgs!$A:$A,0))), )</f>
        <v/>
      </c>
      <c r="K58" s="51" t="str">
        <f t="array" ref="K58">iferror(if(and(countif(Elims!$M$4:$M$27,$A58),Elims!$J$3="y"),-973,index(Avgs!K:K,match($A58,Avgs!$A:$A,0))), )</f>
        <v/>
      </c>
      <c r="L58" s="51" t="str">
        <f t="array" ref="L58">iferror(if(and(countif(Elims!$M$4:$M$27,$A58),Elims!$J$3="y"),-973,index(Avgs!L:L,match($A58,Avgs!$A:$A,0))), )</f>
        <v/>
      </c>
      <c r="M58" s="56" t="str">
        <f t="array" ref="M58">iferror(if(and(countif(Elims!$M$4:$M$27,$A58),Elims!$J$3="y"),-973,index(Avgs!M:M,match($A58,Avgs!$A:$A,0))), )</f>
        <v/>
      </c>
      <c r="N58" s="56" t="str">
        <f t="array" ref="N58">iferror(if(and(countif(Elims!$M$4:$M$27,$A58),Elims!$J$3="y"),-973,index(Avgs!N:N,match($A58,Avgs!$A:$A,0))), )</f>
        <v/>
      </c>
      <c r="O58" s="51" t="str">
        <f t="array" ref="O58">iferror(if(and(countif(Elims!$M$4:$M$27,$A58),Elims!$J$3="y"),-973,index(Avgs!O:O,match($A58,Avgs!$A:$A,0))), )</f>
        <v/>
      </c>
      <c r="P58" s="51" t="str">
        <f t="array" ref="P58">iferror(if(and(countif(Elims!$M$4:$M$27,$A58),Elims!$J$3="y"),-973,index(Avgs!P:P,match($A58,Avgs!$A:$A,0))), )</f>
        <v/>
      </c>
      <c r="Q58" s="51" t="str">
        <f t="array" ref="Q58">iferror(if(and(countif(Elims!$M$4:$M$27,$A58),Elims!$J$3="y"),-973,index(Avgs!Q:Q,match($A58,Avgs!$A:$A,0))), )</f>
        <v/>
      </c>
      <c r="R58" s="58" t="str">
        <f>'Component OPR Dump'!E57</f>
        <v/>
      </c>
      <c r="S58" s="58" t="str">
        <f>'Component OPR Dump'!C57</f>
        <v/>
      </c>
      <c r="T58" s="58" t="str">
        <f>'Component OPR Dump'!H57</f>
        <v/>
      </c>
      <c r="U58" s="58" t="str">
        <f>'Component OPR Dump'!G57</f>
        <v/>
      </c>
      <c r="V58" s="58" t="str">
        <f>'Component OPR Dump'!F57</f>
        <v/>
      </c>
      <c r="W58" s="58" t="str">
        <f>'Component OPR Dump'!I57</f>
        <v/>
      </c>
      <c r="X58" s="63" t="str">
        <f>iferror(sumif('Raw Data'!$Q:$Q,$A58,'Raw Data'!L:L)/countif('Raw Data'!$Q:$Q,$A58), )</f>
        <v/>
      </c>
    </row>
    <row r="59">
      <c r="A59" s="72"/>
      <c r="B59" s="51" t="str">
        <f t="array" ref="B59">iferror(if(and(countif(Elims!$M$4:$M$27,$A59),Elims!$J$3="y"),-973,index(Avgs!B:B,match($A59,Avgs!$A:$A,0))), )</f>
        <v/>
      </c>
      <c r="C59" s="51" t="str">
        <f t="array" ref="C59">iferror(if(and(countif(Elims!$M$4:$M$27,$A59),Elims!$J$3="y"),-973,index(Avgs!C:C,match($A59,Avgs!$A:$A,0))), )</f>
        <v/>
      </c>
      <c r="D59" s="56" t="str">
        <f t="array" ref="D59">iferror(if(and(countif(Elims!$M$4:$M$27,$A59),Elims!$J$3="y"),-973,index(Avgs!D:D,match($A59,Avgs!$A:$A,0))), )</f>
        <v/>
      </c>
      <c r="E59" s="56" t="str">
        <f t="array" ref="E59">iferror(if(and(countif(Elims!$M$4:$M$27,$A59),Elims!$J$3="y"),-973,index(Avgs!E:E,match($A59,Avgs!$A:$A,0))), )</f>
        <v/>
      </c>
      <c r="F59" s="56" t="str">
        <f t="array" ref="F59">iferror(if(and(countif(Elims!$M$4:$M$27,$A59),Elims!$J$3="y"),-973,index(Avgs!F:F,match($A59,Avgs!$A:$A,0))), )</f>
        <v/>
      </c>
      <c r="G59" s="56" t="str">
        <f t="array" ref="G59">iferror(if(and(countif(Elims!$M$4:$M$27,$A59),Elims!$J$3="y"),-973,index(Avgs!G:G,match($A59,Avgs!$A:$A,0))), )</f>
        <v/>
      </c>
      <c r="H59" s="56" t="str">
        <f t="array" ref="H59">iferror(if(and(countif(Elims!$M$4:$M$27,$A59),Elims!$J$3="y"),-973,index(Avgs!H:H,match($A59,Avgs!$A:$A,0))), )</f>
        <v/>
      </c>
      <c r="I59" s="56" t="str">
        <f t="array" ref="I59">iferror(if(and(countif(Elims!$M$4:$M$27,$A59),Elims!$J$3="y"),-973,index(Avgs!I:I,match($A59,Avgs!$A:$A,0))), )</f>
        <v/>
      </c>
      <c r="J59" s="56" t="str">
        <f t="array" ref="J59">iferror(if(and(countif(Elims!$M$4:$M$27,$A59),Elims!$J$3="y"),-973,index(Avgs!J:J,match($A59,Avgs!$A:$A,0))), )</f>
        <v/>
      </c>
      <c r="K59" s="51" t="str">
        <f t="array" ref="K59">iferror(if(and(countif(Elims!$M$4:$M$27,$A59),Elims!$J$3="y"),-973,index(Avgs!K:K,match($A59,Avgs!$A:$A,0))), )</f>
        <v/>
      </c>
      <c r="L59" s="51" t="str">
        <f t="array" ref="L59">iferror(if(and(countif(Elims!$M$4:$M$27,$A59),Elims!$J$3="y"),-973,index(Avgs!L:L,match($A59,Avgs!$A:$A,0))), )</f>
        <v/>
      </c>
      <c r="M59" s="56" t="str">
        <f t="array" ref="M59">iferror(if(and(countif(Elims!$M$4:$M$27,$A59),Elims!$J$3="y"),-973,index(Avgs!M:M,match($A59,Avgs!$A:$A,0))), )</f>
        <v/>
      </c>
      <c r="N59" s="56" t="str">
        <f t="array" ref="N59">iferror(if(and(countif(Elims!$M$4:$M$27,$A59),Elims!$J$3="y"),-973,index(Avgs!N:N,match($A59,Avgs!$A:$A,0))), )</f>
        <v/>
      </c>
      <c r="O59" s="51" t="str">
        <f t="array" ref="O59">iferror(if(and(countif(Elims!$M$4:$M$27,$A59),Elims!$J$3="y"),-973,index(Avgs!O:O,match($A59,Avgs!$A:$A,0))), )</f>
        <v/>
      </c>
      <c r="P59" s="51" t="str">
        <f t="array" ref="P59">iferror(if(and(countif(Elims!$M$4:$M$27,$A59),Elims!$J$3="y"),-973,index(Avgs!P:P,match($A59,Avgs!$A:$A,0))), )</f>
        <v/>
      </c>
      <c r="Q59" s="51" t="str">
        <f t="array" ref="Q59">iferror(if(and(countif(Elims!$M$4:$M$27,$A59),Elims!$J$3="y"),-973,index(Avgs!Q:Q,match($A59,Avgs!$A:$A,0))), )</f>
        <v/>
      </c>
      <c r="R59" s="58" t="str">
        <f>'Component OPR Dump'!E58</f>
        <v/>
      </c>
      <c r="S59" s="58" t="str">
        <f>'Component OPR Dump'!C58</f>
        <v/>
      </c>
      <c r="T59" s="58" t="str">
        <f>'Component OPR Dump'!H58</f>
        <v/>
      </c>
      <c r="U59" s="58" t="str">
        <f>'Component OPR Dump'!G58</f>
        <v/>
      </c>
      <c r="V59" s="58" t="str">
        <f>'Component OPR Dump'!F58</f>
        <v/>
      </c>
      <c r="W59" s="58" t="str">
        <f>'Component OPR Dump'!I58</f>
        <v/>
      </c>
      <c r="X59" s="63" t="str">
        <f>iferror(sumif('Raw Data'!$Q:$Q,$A59,'Raw Data'!L:L)/countif('Raw Data'!$Q:$Q,$A59), )</f>
        <v/>
      </c>
    </row>
    <row r="60">
      <c r="A60" s="72"/>
      <c r="B60" s="51" t="str">
        <f t="array" ref="B60">iferror(if(and(countif(Elims!$M$4:$M$27,$A60),Elims!$J$3="y"),-973,index(Avgs!B:B,match($A60,Avgs!$A:$A,0))), )</f>
        <v/>
      </c>
      <c r="C60" s="51" t="str">
        <f t="array" ref="C60">iferror(if(and(countif(Elims!$M$4:$M$27,$A60),Elims!$J$3="y"),-973,index(Avgs!C:C,match($A60,Avgs!$A:$A,0))), )</f>
        <v/>
      </c>
      <c r="D60" s="56" t="str">
        <f t="array" ref="D60">iferror(if(and(countif(Elims!$M$4:$M$27,$A60),Elims!$J$3="y"),-973,index(Avgs!D:D,match($A60,Avgs!$A:$A,0))), )</f>
        <v/>
      </c>
      <c r="E60" s="56" t="str">
        <f t="array" ref="E60">iferror(if(and(countif(Elims!$M$4:$M$27,$A60),Elims!$J$3="y"),-973,index(Avgs!E:E,match($A60,Avgs!$A:$A,0))), )</f>
        <v/>
      </c>
      <c r="F60" s="56" t="str">
        <f t="array" ref="F60">iferror(if(and(countif(Elims!$M$4:$M$27,$A60),Elims!$J$3="y"),-973,index(Avgs!F:F,match($A60,Avgs!$A:$A,0))), )</f>
        <v/>
      </c>
      <c r="G60" s="56" t="str">
        <f t="array" ref="G60">iferror(if(and(countif(Elims!$M$4:$M$27,$A60),Elims!$J$3="y"),-973,index(Avgs!G:G,match($A60,Avgs!$A:$A,0))), )</f>
        <v/>
      </c>
      <c r="H60" s="56" t="str">
        <f t="array" ref="H60">iferror(if(and(countif(Elims!$M$4:$M$27,$A60),Elims!$J$3="y"),-973,index(Avgs!H:H,match($A60,Avgs!$A:$A,0))), )</f>
        <v/>
      </c>
      <c r="I60" s="56" t="str">
        <f t="array" ref="I60">iferror(if(and(countif(Elims!$M$4:$M$27,$A60),Elims!$J$3="y"),-973,index(Avgs!I:I,match($A60,Avgs!$A:$A,0))), )</f>
        <v/>
      </c>
      <c r="J60" s="56" t="str">
        <f t="array" ref="J60">iferror(if(and(countif(Elims!$M$4:$M$27,$A60),Elims!$J$3="y"),-973,index(Avgs!J:J,match($A60,Avgs!$A:$A,0))), )</f>
        <v/>
      </c>
      <c r="K60" s="51" t="str">
        <f t="array" ref="K60">iferror(if(and(countif(Elims!$M$4:$M$27,$A60),Elims!$J$3="y"),-973,index(Avgs!K:K,match($A60,Avgs!$A:$A,0))), )</f>
        <v/>
      </c>
      <c r="L60" s="51" t="str">
        <f t="array" ref="L60">iferror(if(and(countif(Elims!$M$4:$M$27,$A60),Elims!$J$3="y"),-973,index(Avgs!L:L,match($A60,Avgs!$A:$A,0))), )</f>
        <v/>
      </c>
      <c r="M60" s="56" t="str">
        <f t="array" ref="M60">iferror(if(and(countif(Elims!$M$4:$M$27,$A60),Elims!$J$3="y"),-973,index(Avgs!M:M,match($A60,Avgs!$A:$A,0))), )</f>
        <v/>
      </c>
      <c r="N60" s="56" t="str">
        <f t="array" ref="N60">iferror(if(and(countif(Elims!$M$4:$M$27,$A60),Elims!$J$3="y"),-973,index(Avgs!N:N,match($A60,Avgs!$A:$A,0))), )</f>
        <v/>
      </c>
      <c r="O60" s="51" t="str">
        <f t="array" ref="O60">iferror(if(and(countif(Elims!$M$4:$M$27,$A60),Elims!$J$3="y"),-973,index(Avgs!O:O,match($A60,Avgs!$A:$A,0))), )</f>
        <v/>
      </c>
      <c r="P60" s="51" t="str">
        <f t="array" ref="P60">iferror(if(and(countif(Elims!$M$4:$M$27,$A60),Elims!$J$3="y"),-973,index(Avgs!P:P,match($A60,Avgs!$A:$A,0))), )</f>
        <v/>
      </c>
      <c r="Q60" s="51" t="str">
        <f t="array" ref="Q60">iferror(if(and(countif(Elims!$M$4:$M$27,$A60),Elims!$J$3="y"),-973,index(Avgs!Q:Q,match($A60,Avgs!$A:$A,0))), )</f>
        <v/>
      </c>
      <c r="R60" s="58" t="str">
        <f>'Component OPR Dump'!E59</f>
        <v/>
      </c>
      <c r="S60" s="58" t="str">
        <f>'Component OPR Dump'!C59</f>
        <v/>
      </c>
      <c r="T60" s="58" t="str">
        <f>'Component OPR Dump'!H59</f>
        <v/>
      </c>
      <c r="U60" s="58" t="str">
        <f>'Component OPR Dump'!G59</f>
        <v/>
      </c>
      <c r="V60" s="58" t="str">
        <f>'Component OPR Dump'!F59</f>
        <v/>
      </c>
      <c r="W60" s="58" t="str">
        <f>'Component OPR Dump'!I59</f>
        <v/>
      </c>
      <c r="X60" s="63" t="str">
        <f>iferror(sumif('Raw Data'!$Q:$Q,$A60,'Raw Data'!L:L)/countif('Raw Data'!$Q:$Q,$A60), )</f>
        <v/>
      </c>
    </row>
    <row r="61">
      <c r="A61" s="72"/>
      <c r="B61" s="51" t="str">
        <f t="array" ref="B61">iferror(if(and(countif(Elims!$M$4:$M$27,$A61),Elims!$J$3="y"),-973,index(Avgs!B:B,match($A61,Avgs!$A:$A,0))), )</f>
        <v/>
      </c>
      <c r="C61" s="51" t="str">
        <f t="array" ref="C61">iferror(if(and(countif(Elims!$M$4:$M$27,$A61),Elims!$J$3="y"),-973,index(Avgs!C:C,match($A61,Avgs!$A:$A,0))), )</f>
        <v/>
      </c>
      <c r="D61" s="56" t="str">
        <f t="array" ref="D61">iferror(if(and(countif(Elims!$M$4:$M$27,$A61),Elims!$J$3="y"),-973,index(Avgs!D:D,match($A61,Avgs!$A:$A,0))), )</f>
        <v/>
      </c>
      <c r="E61" s="56" t="str">
        <f t="array" ref="E61">iferror(if(and(countif(Elims!$M$4:$M$27,$A61),Elims!$J$3="y"),-973,index(Avgs!E:E,match($A61,Avgs!$A:$A,0))), )</f>
        <v/>
      </c>
      <c r="F61" s="56" t="str">
        <f t="array" ref="F61">iferror(if(and(countif(Elims!$M$4:$M$27,$A61),Elims!$J$3="y"),-973,index(Avgs!F:F,match($A61,Avgs!$A:$A,0))), )</f>
        <v/>
      </c>
      <c r="G61" s="56" t="str">
        <f t="array" ref="G61">iferror(if(and(countif(Elims!$M$4:$M$27,$A61),Elims!$J$3="y"),-973,index(Avgs!G:G,match($A61,Avgs!$A:$A,0))), )</f>
        <v/>
      </c>
      <c r="H61" s="56" t="str">
        <f t="array" ref="H61">iferror(if(and(countif(Elims!$M$4:$M$27,$A61),Elims!$J$3="y"),-973,index(Avgs!H:H,match($A61,Avgs!$A:$A,0))), )</f>
        <v/>
      </c>
      <c r="I61" s="56" t="str">
        <f t="array" ref="I61">iferror(if(and(countif(Elims!$M$4:$M$27,$A61),Elims!$J$3="y"),-973,index(Avgs!I:I,match($A61,Avgs!$A:$A,0))), )</f>
        <v/>
      </c>
      <c r="J61" s="56" t="str">
        <f t="array" ref="J61">iferror(if(and(countif(Elims!$M$4:$M$27,$A61),Elims!$J$3="y"),-973,index(Avgs!J:J,match($A61,Avgs!$A:$A,0))), )</f>
        <v/>
      </c>
      <c r="K61" s="51" t="str">
        <f t="array" ref="K61">iferror(if(and(countif(Elims!$M$4:$M$27,$A61),Elims!$J$3="y"),-973,index(Avgs!K:K,match($A61,Avgs!$A:$A,0))), )</f>
        <v/>
      </c>
      <c r="L61" s="51" t="str">
        <f t="array" ref="L61">iferror(if(and(countif(Elims!$M$4:$M$27,$A61),Elims!$J$3="y"),-973,index(Avgs!L:L,match($A61,Avgs!$A:$A,0))), )</f>
        <v/>
      </c>
      <c r="M61" s="56" t="str">
        <f t="array" ref="M61">iferror(if(and(countif(Elims!$M$4:$M$27,$A61),Elims!$J$3="y"),-973,index(Avgs!M:M,match($A61,Avgs!$A:$A,0))), )</f>
        <v/>
      </c>
      <c r="N61" s="56" t="str">
        <f t="array" ref="N61">iferror(if(and(countif(Elims!$M$4:$M$27,$A61),Elims!$J$3="y"),-973,index(Avgs!N:N,match($A61,Avgs!$A:$A,0))), )</f>
        <v/>
      </c>
      <c r="O61" s="51" t="str">
        <f t="array" ref="O61">iferror(if(and(countif(Elims!$M$4:$M$27,$A61),Elims!$J$3="y"),-973,index(Avgs!O:O,match($A61,Avgs!$A:$A,0))), )</f>
        <v/>
      </c>
      <c r="P61" s="51" t="str">
        <f t="array" ref="P61">iferror(if(and(countif(Elims!$M$4:$M$27,$A61),Elims!$J$3="y"),-973,index(Avgs!P:P,match($A61,Avgs!$A:$A,0))), )</f>
        <v/>
      </c>
      <c r="Q61" s="51" t="str">
        <f t="array" ref="Q61">iferror(if(and(countif(Elims!$M$4:$M$27,$A61),Elims!$J$3="y"),-973,index(Avgs!Q:Q,match($A61,Avgs!$A:$A,0))), )</f>
        <v/>
      </c>
      <c r="R61" s="58" t="str">
        <f>'Component OPR Dump'!E60</f>
        <v/>
      </c>
      <c r="S61" s="58" t="str">
        <f>'Component OPR Dump'!C60</f>
        <v/>
      </c>
      <c r="T61" s="58" t="str">
        <f>'Component OPR Dump'!H60</f>
        <v/>
      </c>
      <c r="U61" s="58" t="str">
        <f>'Component OPR Dump'!G60</f>
        <v/>
      </c>
      <c r="V61" s="58" t="str">
        <f>'Component OPR Dump'!F60</f>
        <v/>
      </c>
      <c r="W61" s="58" t="str">
        <f>'Component OPR Dump'!I60</f>
        <v/>
      </c>
      <c r="X61" s="63" t="str">
        <f>iferror(sumif('Raw Data'!$Q:$Q,$A61,'Raw Data'!L:L)/countif('Raw Data'!$Q:$Q,$A61), )</f>
        <v/>
      </c>
    </row>
    <row r="62">
      <c r="A62" s="72"/>
      <c r="B62" s="51" t="str">
        <f t="array" ref="B62">iferror(if(and(countif(Elims!$M$4:$M$27,$A62),Elims!$J$3="y"),-973,index(Avgs!B:B,match($A62,Avgs!$A:$A,0))), )</f>
        <v/>
      </c>
      <c r="C62" s="51" t="str">
        <f t="array" ref="C62">iferror(if(and(countif(Elims!$M$4:$M$27,$A62),Elims!$J$3="y"),-973,index(Avgs!C:C,match($A62,Avgs!$A:$A,0))), )</f>
        <v/>
      </c>
      <c r="D62" s="56" t="str">
        <f t="array" ref="D62">iferror(if(and(countif(Elims!$M$4:$M$27,$A62),Elims!$J$3="y"),-973,index(Avgs!D:D,match($A62,Avgs!$A:$A,0))), )</f>
        <v/>
      </c>
      <c r="E62" s="56" t="str">
        <f t="array" ref="E62">iferror(if(and(countif(Elims!$M$4:$M$27,$A62),Elims!$J$3="y"),-973,index(Avgs!E:E,match($A62,Avgs!$A:$A,0))), )</f>
        <v/>
      </c>
      <c r="F62" s="56" t="str">
        <f t="array" ref="F62">iferror(if(and(countif(Elims!$M$4:$M$27,$A62),Elims!$J$3="y"),-973,index(Avgs!F:F,match($A62,Avgs!$A:$A,0))), )</f>
        <v/>
      </c>
      <c r="G62" s="56" t="str">
        <f t="array" ref="G62">iferror(if(and(countif(Elims!$M$4:$M$27,$A62),Elims!$J$3="y"),-973,index(Avgs!G:G,match($A62,Avgs!$A:$A,0))), )</f>
        <v/>
      </c>
      <c r="H62" s="56" t="str">
        <f t="array" ref="H62">iferror(if(and(countif(Elims!$M$4:$M$27,$A62),Elims!$J$3="y"),-973,index(Avgs!H:H,match($A62,Avgs!$A:$A,0))), )</f>
        <v/>
      </c>
      <c r="I62" s="56" t="str">
        <f t="array" ref="I62">iferror(if(and(countif(Elims!$M$4:$M$27,$A62),Elims!$J$3="y"),-973,index(Avgs!I:I,match($A62,Avgs!$A:$A,0))), )</f>
        <v/>
      </c>
      <c r="J62" s="56" t="str">
        <f t="array" ref="J62">iferror(if(and(countif(Elims!$M$4:$M$27,$A62),Elims!$J$3="y"),-973,index(Avgs!J:J,match($A62,Avgs!$A:$A,0))), )</f>
        <v/>
      </c>
      <c r="K62" s="51" t="str">
        <f t="array" ref="K62">iferror(if(and(countif(Elims!$M$4:$M$27,$A62),Elims!$J$3="y"),-973,index(Avgs!K:K,match($A62,Avgs!$A:$A,0))), )</f>
        <v/>
      </c>
      <c r="L62" s="51" t="str">
        <f t="array" ref="L62">iferror(if(and(countif(Elims!$M$4:$M$27,$A62),Elims!$J$3="y"),-973,index(Avgs!L:L,match($A62,Avgs!$A:$A,0))), )</f>
        <v/>
      </c>
      <c r="M62" s="56" t="str">
        <f t="array" ref="M62">iferror(if(and(countif(Elims!$M$4:$M$27,$A62),Elims!$J$3="y"),-973,index(Avgs!M:M,match($A62,Avgs!$A:$A,0))), )</f>
        <v/>
      </c>
      <c r="N62" s="56" t="str">
        <f t="array" ref="N62">iferror(if(and(countif(Elims!$M$4:$M$27,$A62),Elims!$J$3="y"),-973,index(Avgs!N:N,match($A62,Avgs!$A:$A,0))), )</f>
        <v/>
      </c>
      <c r="O62" s="51" t="str">
        <f t="array" ref="O62">iferror(if(and(countif(Elims!$M$4:$M$27,$A62),Elims!$J$3="y"),-973,index(Avgs!O:O,match($A62,Avgs!$A:$A,0))), )</f>
        <v/>
      </c>
      <c r="P62" s="51" t="str">
        <f t="array" ref="P62">iferror(if(and(countif(Elims!$M$4:$M$27,$A62),Elims!$J$3="y"),-973,index(Avgs!P:P,match($A62,Avgs!$A:$A,0))), )</f>
        <v/>
      </c>
      <c r="Q62" s="51" t="str">
        <f t="array" ref="Q62">iferror(if(and(countif(Elims!$M$4:$M$27,$A62),Elims!$J$3="y"),-973,index(Avgs!Q:Q,match($A62,Avgs!$A:$A,0))), )</f>
        <v/>
      </c>
      <c r="R62" s="58" t="str">
        <f>'Component OPR Dump'!E61</f>
        <v/>
      </c>
      <c r="S62" s="58" t="str">
        <f>'Component OPR Dump'!C61</f>
        <v/>
      </c>
      <c r="T62" s="58" t="str">
        <f>'Component OPR Dump'!H61</f>
        <v/>
      </c>
      <c r="U62" s="58" t="str">
        <f>'Component OPR Dump'!G61</f>
        <v/>
      </c>
      <c r="V62" s="58" t="str">
        <f>'Component OPR Dump'!F61</f>
        <v/>
      </c>
      <c r="W62" s="58" t="str">
        <f>'Component OPR Dump'!I61</f>
        <v/>
      </c>
      <c r="X62" s="63" t="str">
        <f>iferror(sumif('Raw Data'!$Q:$Q,$A62,'Raw Data'!L:L)/countif('Raw Data'!$Q:$Q,$A62), )</f>
        <v/>
      </c>
    </row>
    <row r="63">
      <c r="A63" s="72"/>
      <c r="B63" s="51" t="str">
        <f t="array" ref="B63">iferror(if(and(countif(Elims!$M$4:$M$27,$A63),Elims!$J$3="y"),-973,index(Avgs!B:B,match($A63,Avgs!$A:$A,0))), )</f>
        <v/>
      </c>
      <c r="C63" s="51" t="str">
        <f t="array" ref="C63">iferror(if(and(countif(Elims!$M$4:$M$27,$A63),Elims!$J$3="y"),-973,index(Avgs!C:C,match($A63,Avgs!$A:$A,0))), )</f>
        <v/>
      </c>
      <c r="D63" s="56" t="str">
        <f t="array" ref="D63">iferror(if(and(countif(Elims!$M$4:$M$27,$A63),Elims!$J$3="y"),-973,index(Avgs!D:D,match($A63,Avgs!$A:$A,0))), )</f>
        <v/>
      </c>
      <c r="E63" s="56" t="str">
        <f t="array" ref="E63">iferror(if(and(countif(Elims!$M$4:$M$27,$A63),Elims!$J$3="y"),-973,index(Avgs!E:E,match($A63,Avgs!$A:$A,0))), )</f>
        <v/>
      </c>
      <c r="F63" s="56" t="str">
        <f t="array" ref="F63">iferror(if(and(countif(Elims!$M$4:$M$27,$A63),Elims!$J$3="y"),-973,index(Avgs!F:F,match($A63,Avgs!$A:$A,0))), )</f>
        <v/>
      </c>
      <c r="G63" s="56" t="str">
        <f t="array" ref="G63">iferror(if(and(countif(Elims!$M$4:$M$27,$A63),Elims!$J$3="y"),-973,index(Avgs!G:G,match($A63,Avgs!$A:$A,0))), )</f>
        <v/>
      </c>
      <c r="H63" s="56" t="str">
        <f t="array" ref="H63">iferror(if(and(countif(Elims!$M$4:$M$27,$A63),Elims!$J$3="y"),-973,index(Avgs!H:H,match($A63,Avgs!$A:$A,0))), )</f>
        <v/>
      </c>
      <c r="I63" s="56" t="str">
        <f t="array" ref="I63">iferror(if(and(countif(Elims!$M$4:$M$27,$A63),Elims!$J$3="y"),-973,index(Avgs!I:I,match($A63,Avgs!$A:$A,0))), )</f>
        <v/>
      </c>
      <c r="J63" s="56" t="str">
        <f t="array" ref="J63">iferror(if(and(countif(Elims!$M$4:$M$27,$A63),Elims!$J$3="y"),-973,index(Avgs!J:J,match($A63,Avgs!$A:$A,0))), )</f>
        <v/>
      </c>
      <c r="K63" s="51" t="str">
        <f t="array" ref="K63">iferror(if(and(countif(Elims!$M$4:$M$27,$A63),Elims!$J$3="y"),-973,index(Avgs!K:K,match($A63,Avgs!$A:$A,0))), )</f>
        <v/>
      </c>
      <c r="L63" s="51" t="str">
        <f t="array" ref="L63">iferror(if(and(countif(Elims!$M$4:$M$27,$A63),Elims!$J$3="y"),-973,index(Avgs!L:L,match($A63,Avgs!$A:$A,0))), )</f>
        <v/>
      </c>
      <c r="M63" s="56" t="str">
        <f t="array" ref="M63">iferror(if(and(countif(Elims!$M$4:$M$27,$A63),Elims!$J$3="y"),-973,index(Avgs!M:M,match($A63,Avgs!$A:$A,0))), )</f>
        <v/>
      </c>
      <c r="N63" s="56" t="str">
        <f t="array" ref="N63">iferror(if(and(countif(Elims!$M$4:$M$27,$A63),Elims!$J$3="y"),-973,index(Avgs!N:N,match($A63,Avgs!$A:$A,0))), )</f>
        <v/>
      </c>
      <c r="O63" s="51" t="str">
        <f t="array" ref="O63">iferror(if(and(countif(Elims!$M$4:$M$27,$A63),Elims!$J$3="y"),-973,index(Avgs!O:O,match($A63,Avgs!$A:$A,0))), )</f>
        <v/>
      </c>
      <c r="P63" s="51" t="str">
        <f t="array" ref="P63">iferror(if(and(countif(Elims!$M$4:$M$27,$A63),Elims!$J$3="y"),-973,index(Avgs!P:P,match($A63,Avgs!$A:$A,0))), )</f>
        <v/>
      </c>
      <c r="Q63" s="51" t="str">
        <f t="array" ref="Q63">iferror(if(and(countif(Elims!$M$4:$M$27,$A63),Elims!$J$3="y"),-973,index(Avgs!Q:Q,match($A63,Avgs!$A:$A,0))), )</f>
        <v/>
      </c>
      <c r="R63" s="58" t="str">
        <f>'Component OPR Dump'!E62</f>
        <v/>
      </c>
      <c r="S63" s="58" t="str">
        <f>'Component OPR Dump'!C62</f>
        <v/>
      </c>
      <c r="T63" s="58" t="str">
        <f>'Component OPR Dump'!H62</f>
        <v/>
      </c>
      <c r="U63" s="58" t="str">
        <f>'Component OPR Dump'!G62</f>
        <v/>
      </c>
      <c r="V63" s="58" t="str">
        <f>'Component OPR Dump'!F62</f>
        <v/>
      </c>
      <c r="W63" s="58" t="str">
        <f>'Component OPR Dump'!I62</f>
        <v/>
      </c>
      <c r="X63" s="63" t="str">
        <f>iferror(sumif('Raw Data'!$Q:$Q,$A63,'Raw Data'!L:L)/countif('Raw Data'!$Q:$Q,$A63), )</f>
        <v/>
      </c>
    </row>
    <row r="64">
      <c r="A64" s="72"/>
      <c r="B64" s="51" t="str">
        <f t="array" ref="B64">iferror(if(and(countif(Elims!$M$4:$M$27,$A64),Elims!$J$3="y"),-973,index(Avgs!B:B,match($A64,Avgs!$A:$A,0))), )</f>
        <v/>
      </c>
      <c r="C64" s="51" t="str">
        <f t="array" ref="C64">iferror(if(and(countif(Elims!$M$4:$M$27,$A64),Elims!$J$3="y"),-973,index(Avgs!C:C,match($A64,Avgs!$A:$A,0))), )</f>
        <v/>
      </c>
      <c r="D64" s="56" t="str">
        <f t="array" ref="D64">iferror(if(and(countif(Elims!$M$4:$M$27,$A64),Elims!$J$3="y"),-973,index(Avgs!D:D,match($A64,Avgs!$A:$A,0))), )</f>
        <v/>
      </c>
      <c r="E64" s="56" t="str">
        <f t="array" ref="E64">iferror(if(and(countif(Elims!$M$4:$M$27,$A64),Elims!$J$3="y"),-973,index(Avgs!E:E,match($A64,Avgs!$A:$A,0))), )</f>
        <v/>
      </c>
      <c r="F64" s="56" t="str">
        <f t="array" ref="F64">iferror(if(and(countif(Elims!$M$4:$M$27,$A64),Elims!$J$3="y"),-973,index(Avgs!F:F,match($A64,Avgs!$A:$A,0))), )</f>
        <v/>
      </c>
      <c r="G64" s="56" t="str">
        <f t="array" ref="G64">iferror(if(and(countif(Elims!$M$4:$M$27,$A64),Elims!$J$3="y"),-973,index(Avgs!G:G,match($A64,Avgs!$A:$A,0))), )</f>
        <v/>
      </c>
      <c r="H64" s="56" t="str">
        <f t="array" ref="H64">iferror(if(and(countif(Elims!$M$4:$M$27,$A64),Elims!$J$3="y"),-973,index(Avgs!H:H,match($A64,Avgs!$A:$A,0))), )</f>
        <v/>
      </c>
      <c r="I64" s="56" t="str">
        <f t="array" ref="I64">iferror(if(and(countif(Elims!$M$4:$M$27,$A64),Elims!$J$3="y"),-973,index(Avgs!I:I,match($A64,Avgs!$A:$A,0))), )</f>
        <v/>
      </c>
      <c r="J64" s="56" t="str">
        <f t="array" ref="J64">iferror(if(and(countif(Elims!$M$4:$M$27,$A64),Elims!$J$3="y"),-973,index(Avgs!J:J,match($A64,Avgs!$A:$A,0))), )</f>
        <v/>
      </c>
      <c r="K64" s="51" t="str">
        <f t="array" ref="K64">iferror(if(and(countif(Elims!$M$4:$M$27,$A64),Elims!$J$3="y"),-973,index(Avgs!K:K,match($A64,Avgs!$A:$A,0))), )</f>
        <v/>
      </c>
      <c r="L64" s="51" t="str">
        <f t="array" ref="L64">iferror(if(and(countif(Elims!$M$4:$M$27,$A64),Elims!$J$3="y"),-973,index(Avgs!L:L,match($A64,Avgs!$A:$A,0))), )</f>
        <v/>
      </c>
      <c r="M64" s="56" t="str">
        <f t="array" ref="M64">iferror(if(and(countif(Elims!$M$4:$M$27,$A64),Elims!$J$3="y"),-973,index(Avgs!M:M,match($A64,Avgs!$A:$A,0))), )</f>
        <v/>
      </c>
      <c r="N64" s="56" t="str">
        <f t="array" ref="N64">iferror(if(and(countif(Elims!$M$4:$M$27,$A64),Elims!$J$3="y"),-973,index(Avgs!N:N,match($A64,Avgs!$A:$A,0))), )</f>
        <v/>
      </c>
      <c r="O64" s="51" t="str">
        <f t="array" ref="O64">iferror(if(and(countif(Elims!$M$4:$M$27,$A64),Elims!$J$3="y"),-973,index(Avgs!O:O,match($A64,Avgs!$A:$A,0))), )</f>
        <v/>
      </c>
      <c r="P64" s="51" t="str">
        <f t="array" ref="P64">iferror(if(and(countif(Elims!$M$4:$M$27,$A64),Elims!$J$3="y"),-973,index(Avgs!P:P,match($A64,Avgs!$A:$A,0))), )</f>
        <v/>
      </c>
      <c r="Q64" s="51" t="str">
        <f t="array" ref="Q64">iferror(if(and(countif(Elims!$M$4:$M$27,$A64),Elims!$J$3="y"),-973,index(Avgs!Q:Q,match($A64,Avgs!$A:$A,0))), )</f>
        <v/>
      </c>
      <c r="R64" s="58" t="str">
        <f>'Component OPR Dump'!E63</f>
        <v/>
      </c>
      <c r="S64" s="58" t="str">
        <f>'Component OPR Dump'!C63</f>
        <v/>
      </c>
      <c r="T64" s="58" t="str">
        <f>'Component OPR Dump'!H63</f>
        <v/>
      </c>
      <c r="U64" s="58" t="str">
        <f>'Component OPR Dump'!G63</f>
        <v/>
      </c>
      <c r="V64" s="58" t="str">
        <f>'Component OPR Dump'!F63</f>
        <v/>
      </c>
      <c r="W64" s="58" t="str">
        <f>'Component OPR Dump'!I63</f>
        <v/>
      </c>
      <c r="X64" s="63" t="str">
        <f>iferror(sumif('Raw Data'!$Q:$Q,$A64,'Raw Data'!L:L)/countif('Raw Data'!$Q:$Q,$A64), )</f>
        <v/>
      </c>
    </row>
    <row r="65">
      <c r="A65" s="72"/>
      <c r="B65" s="51" t="str">
        <f t="array" ref="B65">iferror(if(and(countif(Elims!$M$4:$M$27,$A65),Elims!$J$3="y"),-973,index(Avgs!B:B,match($A65,Avgs!$A:$A,0))), )</f>
        <v/>
      </c>
      <c r="C65" s="51" t="str">
        <f t="array" ref="C65">iferror(if(and(countif(Elims!$M$4:$M$27,$A65),Elims!$J$3="y"),-973,index(Avgs!C:C,match($A65,Avgs!$A:$A,0))), )</f>
        <v/>
      </c>
      <c r="D65" s="56" t="str">
        <f t="array" ref="D65">iferror(if(and(countif(Elims!$M$4:$M$27,$A65),Elims!$J$3="y"),-973,index(Avgs!D:D,match($A65,Avgs!$A:$A,0))), )</f>
        <v/>
      </c>
      <c r="E65" s="56" t="str">
        <f t="array" ref="E65">iferror(if(and(countif(Elims!$M$4:$M$27,$A65),Elims!$J$3="y"),-973,index(Avgs!E:E,match($A65,Avgs!$A:$A,0))), )</f>
        <v/>
      </c>
      <c r="F65" s="56" t="str">
        <f t="array" ref="F65">iferror(if(and(countif(Elims!$M$4:$M$27,$A65),Elims!$J$3="y"),-973,index(Avgs!F:F,match($A65,Avgs!$A:$A,0))), )</f>
        <v/>
      </c>
      <c r="G65" s="56" t="str">
        <f t="array" ref="G65">iferror(if(and(countif(Elims!$M$4:$M$27,$A65),Elims!$J$3="y"),-973,index(Avgs!G:G,match($A65,Avgs!$A:$A,0))), )</f>
        <v/>
      </c>
      <c r="H65" s="56" t="str">
        <f t="array" ref="H65">iferror(if(and(countif(Elims!$M$4:$M$27,$A65),Elims!$J$3="y"),-973,index(Avgs!H:H,match($A65,Avgs!$A:$A,0))), )</f>
        <v/>
      </c>
      <c r="I65" s="56" t="str">
        <f t="array" ref="I65">iferror(if(and(countif(Elims!$M$4:$M$27,$A65),Elims!$J$3="y"),-973,index(Avgs!I:I,match($A65,Avgs!$A:$A,0))), )</f>
        <v/>
      </c>
      <c r="J65" s="56" t="str">
        <f t="array" ref="J65">iferror(if(and(countif(Elims!$M$4:$M$27,$A65),Elims!$J$3="y"),-973,index(Avgs!J:J,match($A65,Avgs!$A:$A,0))), )</f>
        <v/>
      </c>
      <c r="K65" s="51" t="str">
        <f t="array" ref="K65">iferror(if(and(countif(Elims!$M$4:$M$27,$A65),Elims!$J$3="y"),-973,index(Avgs!K:K,match($A65,Avgs!$A:$A,0))), )</f>
        <v/>
      </c>
      <c r="L65" s="51" t="str">
        <f t="array" ref="L65">iferror(if(and(countif(Elims!$M$4:$M$27,$A65),Elims!$J$3="y"),-973,index(Avgs!L:L,match($A65,Avgs!$A:$A,0))), )</f>
        <v/>
      </c>
      <c r="M65" s="56" t="str">
        <f t="array" ref="M65">iferror(if(and(countif(Elims!$M$4:$M$27,$A65),Elims!$J$3="y"),-973,index(Avgs!M:M,match($A65,Avgs!$A:$A,0))), )</f>
        <v/>
      </c>
      <c r="N65" s="56" t="str">
        <f t="array" ref="N65">iferror(if(and(countif(Elims!$M$4:$M$27,$A65),Elims!$J$3="y"),-973,index(Avgs!N:N,match($A65,Avgs!$A:$A,0))), )</f>
        <v/>
      </c>
      <c r="O65" s="51" t="str">
        <f t="array" ref="O65">iferror(if(and(countif(Elims!$M$4:$M$27,$A65),Elims!$J$3="y"),-973,index(Avgs!O:O,match($A65,Avgs!$A:$A,0))), )</f>
        <v/>
      </c>
      <c r="P65" s="51" t="str">
        <f t="array" ref="P65">iferror(if(and(countif(Elims!$M$4:$M$27,$A65),Elims!$J$3="y"),-973,index(Avgs!P:P,match($A65,Avgs!$A:$A,0))), )</f>
        <v/>
      </c>
      <c r="Q65" s="51" t="str">
        <f t="array" ref="Q65">iferror(if(and(countif(Elims!$M$4:$M$27,$A65),Elims!$J$3="y"),-973,index(Avgs!Q:Q,match($A65,Avgs!$A:$A,0))), )</f>
        <v/>
      </c>
      <c r="R65" s="58" t="str">
        <f>'Component OPR Dump'!E64</f>
        <v/>
      </c>
      <c r="S65" s="58" t="str">
        <f>'Component OPR Dump'!C64</f>
        <v/>
      </c>
      <c r="T65" s="58" t="str">
        <f>'Component OPR Dump'!H64</f>
        <v/>
      </c>
      <c r="U65" s="58" t="str">
        <f>'Component OPR Dump'!G64</f>
        <v/>
      </c>
      <c r="V65" s="58" t="str">
        <f>'Component OPR Dump'!F64</f>
        <v/>
      </c>
      <c r="W65" s="58" t="str">
        <f>'Component OPR Dump'!I64</f>
        <v/>
      </c>
      <c r="X65" s="63" t="str">
        <f>iferror(sumif('Raw Data'!$Q:$Q,$A65,'Raw Data'!L:L)/countif('Raw Data'!$Q:$Q,$A65), )</f>
        <v/>
      </c>
    </row>
    <row r="66">
      <c r="A66" s="72"/>
      <c r="B66" s="51" t="str">
        <f t="array" ref="B66">iferror(if(and(countif(Elims!$M$4:$M$27,$A66),Elims!$J$3="y"),-973,index(Avgs!B:B,match($A66,Avgs!$A:$A,0))), )</f>
        <v/>
      </c>
      <c r="C66" s="51" t="str">
        <f t="array" ref="C66">iferror(if(and(countif(Elims!$M$4:$M$27,$A66),Elims!$J$3="y"),-973,index(Avgs!C:C,match($A66,Avgs!$A:$A,0))), )</f>
        <v/>
      </c>
      <c r="D66" s="56" t="str">
        <f t="array" ref="D66">iferror(if(and(countif(Elims!$M$4:$M$27,$A66),Elims!$J$3="y"),-973,index(Avgs!D:D,match($A66,Avgs!$A:$A,0))), )</f>
        <v/>
      </c>
      <c r="E66" s="56" t="str">
        <f t="array" ref="E66">iferror(if(and(countif(Elims!$M$4:$M$27,$A66),Elims!$J$3="y"),-973,index(Avgs!E:E,match($A66,Avgs!$A:$A,0))), )</f>
        <v/>
      </c>
      <c r="F66" s="56" t="str">
        <f t="array" ref="F66">iferror(if(and(countif(Elims!$M$4:$M$27,$A66),Elims!$J$3="y"),-973,index(Avgs!F:F,match($A66,Avgs!$A:$A,0))), )</f>
        <v/>
      </c>
      <c r="G66" s="56" t="str">
        <f t="array" ref="G66">iferror(if(and(countif(Elims!$M$4:$M$27,$A66),Elims!$J$3="y"),-973,index(Avgs!G:G,match($A66,Avgs!$A:$A,0))), )</f>
        <v/>
      </c>
      <c r="H66" s="56" t="str">
        <f t="array" ref="H66">iferror(if(and(countif(Elims!$M$4:$M$27,$A66),Elims!$J$3="y"),-973,index(Avgs!H:H,match($A66,Avgs!$A:$A,0))), )</f>
        <v/>
      </c>
      <c r="I66" s="56" t="str">
        <f t="array" ref="I66">iferror(if(and(countif(Elims!$M$4:$M$27,$A66),Elims!$J$3="y"),-973,index(Avgs!I:I,match($A66,Avgs!$A:$A,0))), )</f>
        <v/>
      </c>
      <c r="J66" s="56" t="str">
        <f t="array" ref="J66">iferror(if(and(countif(Elims!$M$4:$M$27,$A66),Elims!$J$3="y"),-973,index(Avgs!J:J,match($A66,Avgs!$A:$A,0))), )</f>
        <v/>
      </c>
      <c r="K66" s="51" t="str">
        <f t="array" ref="K66">iferror(if(and(countif(Elims!$M$4:$M$27,$A66),Elims!$J$3="y"),-973,index(Avgs!K:K,match($A66,Avgs!$A:$A,0))), )</f>
        <v/>
      </c>
      <c r="L66" s="51" t="str">
        <f t="array" ref="L66">iferror(if(and(countif(Elims!$M$4:$M$27,$A66),Elims!$J$3="y"),-973,index(Avgs!L:L,match($A66,Avgs!$A:$A,0))), )</f>
        <v/>
      </c>
      <c r="M66" s="56" t="str">
        <f t="array" ref="M66">iferror(if(and(countif(Elims!$M$4:$M$27,$A66),Elims!$J$3="y"),-973,index(Avgs!M:M,match($A66,Avgs!$A:$A,0))), )</f>
        <v/>
      </c>
      <c r="N66" s="56" t="str">
        <f t="array" ref="N66">iferror(if(and(countif(Elims!$M$4:$M$27,$A66),Elims!$J$3="y"),-973,index(Avgs!N:N,match($A66,Avgs!$A:$A,0))), )</f>
        <v/>
      </c>
      <c r="O66" s="51" t="str">
        <f t="array" ref="O66">iferror(if(and(countif(Elims!$M$4:$M$27,$A66),Elims!$J$3="y"),-973,index(Avgs!O:O,match($A66,Avgs!$A:$A,0))), )</f>
        <v/>
      </c>
      <c r="P66" s="51" t="str">
        <f t="array" ref="P66">iferror(if(and(countif(Elims!$M$4:$M$27,$A66),Elims!$J$3="y"),-973,index(Avgs!P:P,match($A66,Avgs!$A:$A,0))), )</f>
        <v/>
      </c>
      <c r="Q66" s="51" t="str">
        <f t="array" ref="Q66">iferror(if(and(countif(Elims!$M$4:$M$27,$A66),Elims!$J$3="y"),-973,index(Avgs!Q:Q,match($A66,Avgs!$A:$A,0))), )</f>
        <v/>
      </c>
      <c r="R66" s="58" t="str">
        <f>'Component OPR Dump'!E65</f>
        <v/>
      </c>
      <c r="S66" s="58" t="str">
        <f>'Component OPR Dump'!C65</f>
        <v/>
      </c>
      <c r="T66" s="58" t="str">
        <f>'Component OPR Dump'!H65</f>
        <v/>
      </c>
      <c r="U66" s="58" t="str">
        <f>'Component OPR Dump'!G65</f>
        <v/>
      </c>
      <c r="V66" s="58" t="str">
        <f>'Component OPR Dump'!F65</f>
        <v/>
      </c>
      <c r="W66" s="58" t="str">
        <f>'Component OPR Dump'!I65</f>
        <v/>
      </c>
      <c r="X66" s="63" t="str">
        <f>iferror(sumif('Raw Data'!$Q:$Q,$A66,'Raw Data'!L:L)/countif('Raw Data'!$Q:$Q,$A66), )</f>
        <v/>
      </c>
    </row>
    <row r="67">
      <c r="A67" s="72"/>
      <c r="B67" s="51" t="str">
        <f t="array" ref="B67">iferror(if(and(countif(Elims!$M$4:$M$27,$A67),Elims!$J$3="y"),-973,index(Avgs!B:B,match($A67,Avgs!$A:$A,0))), )</f>
        <v/>
      </c>
      <c r="C67" s="51" t="str">
        <f t="array" ref="C67">iferror(if(and(countif(Elims!$M$4:$M$27,$A67),Elims!$J$3="y"),-973,index(Avgs!C:C,match($A67,Avgs!$A:$A,0))), )</f>
        <v/>
      </c>
      <c r="D67" s="56" t="str">
        <f t="array" ref="D67">iferror(if(and(countif(Elims!$M$4:$M$27,$A67),Elims!$J$3="y"),-973,index(Avgs!D:D,match($A67,Avgs!$A:$A,0))), )</f>
        <v/>
      </c>
      <c r="E67" s="56" t="str">
        <f t="array" ref="E67">iferror(if(and(countif(Elims!$M$4:$M$27,$A67),Elims!$J$3="y"),-973,index(Avgs!E:E,match($A67,Avgs!$A:$A,0))), )</f>
        <v/>
      </c>
      <c r="F67" s="56" t="str">
        <f t="array" ref="F67">iferror(if(and(countif(Elims!$M$4:$M$27,$A67),Elims!$J$3="y"),-973,index(Avgs!F:F,match($A67,Avgs!$A:$A,0))), )</f>
        <v/>
      </c>
      <c r="G67" s="56" t="str">
        <f t="array" ref="G67">iferror(if(and(countif(Elims!$M$4:$M$27,$A67),Elims!$J$3="y"),-973,index(Avgs!G:G,match($A67,Avgs!$A:$A,0))), )</f>
        <v/>
      </c>
      <c r="H67" s="56" t="str">
        <f t="array" ref="H67">iferror(if(and(countif(Elims!$M$4:$M$27,$A67),Elims!$J$3="y"),-973,index(Avgs!H:H,match($A67,Avgs!$A:$A,0))), )</f>
        <v/>
      </c>
      <c r="I67" s="56" t="str">
        <f t="array" ref="I67">iferror(if(and(countif(Elims!$M$4:$M$27,$A67),Elims!$J$3="y"),-973,index(Avgs!I:I,match($A67,Avgs!$A:$A,0))), )</f>
        <v/>
      </c>
      <c r="J67" s="56" t="str">
        <f t="array" ref="J67">iferror(if(and(countif(Elims!$M$4:$M$27,$A67),Elims!$J$3="y"),-973,index(Avgs!J:J,match($A67,Avgs!$A:$A,0))), )</f>
        <v/>
      </c>
      <c r="K67" s="51" t="str">
        <f t="array" ref="K67">iferror(if(and(countif(Elims!$M$4:$M$27,$A67),Elims!$J$3="y"),-973,index(Avgs!K:K,match($A67,Avgs!$A:$A,0))), )</f>
        <v/>
      </c>
      <c r="L67" s="51" t="str">
        <f t="array" ref="L67">iferror(if(and(countif(Elims!$M$4:$M$27,$A67),Elims!$J$3="y"),-973,index(Avgs!L:L,match($A67,Avgs!$A:$A,0))), )</f>
        <v/>
      </c>
      <c r="M67" s="56" t="str">
        <f t="array" ref="M67">iferror(if(and(countif(Elims!$M$4:$M$27,$A67),Elims!$J$3="y"),-973,index(Avgs!M:M,match($A67,Avgs!$A:$A,0))), )</f>
        <v/>
      </c>
      <c r="N67" s="56" t="str">
        <f t="array" ref="N67">iferror(if(and(countif(Elims!$M$4:$M$27,$A67),Elims!$J$3="y"),-973,index(Avgs!N:N,match($A67,Avgs!$A:$A,0))), )</f>
        <v/>
      </c>
      <c r="O67" s="51" t="str">
        <f t="array" ref="O67">iferror(if(and(countif(Elims!$M$4:$M$27,$A67),Elims!$J$3="y"),-973,index(Avgs!O:O,match($A67,Avgs!$A:$A,0))), )</f>
        <v/>
      </c>
      <c r="P67" s="51" t="str">
        <f t="array" ref="P67">iferror(if(and(countif(Elims!$M$4:$M$27,$A67),Elims!$J$3="y"),-973,index(Avgs!P:P,match($A67,Avgs!$A:$A,0))), )</f>
        <v/>
      </c>
      <c r="Q67" s="51" t="str">
        <f t="array" ref="Q67">iferror(if(and(countif(Elims!$M$4:$M$27,$A67),Elims!$J$3="y"),-973,index(Avgs!Q:Q,match($A67,Avgs!$A:$A,0))), )</f>
        <v/>
      </c>
      <c r="R67" s="58" t="str">
        <f>'Component OPR Dump'!E66</f>
        <v/>
      </c>
      <c r="S67" s="58" t="str">
        <f>'Component OPR Dump'!C66</f>
        <v/>
      </c>
      <c r="T67" s="58" t="str">
        <f>'Component OPR Dump'!H66</f>
        <v/>
      </c>
      <c r="U67" s="58" t="str">
        <f>'Component OPR Dump'!G66</f>
        <v/>
      </c>
      <c r="V67" s="58" t="str">
        <f>'Component OPR Dump'!F66</f>
        <v/>
      </c>
      <c r="W67" s="58" t="str">
        <f>'Component OPR Dump'!I66</f>
        <v/>
      </c>
      <c r="X67" s="63" t="str">
        <f>iferror(sumif('Raw Data'!$Q:$Q,$A67,'Raw Data'!L:L)/countif('Raw Data'!$Q:$Q,$A67), )</f>
        <v/>
      </c>
    </row>
    <row r="68">
      <c r="A68" s="72"/>
      <c r="B68" s="51" t="str">
        <f t="array" ref="B68">iferror(if(and(countif(Elims!$M$4:$M$27,$A68),Elims!$J$3="y"),-973,index(Avgs!B:B,match($A68,Avgs!$A:$A,0))), )</f>
        <v/>
      </c>
      <c r="C68" s="51" t="str">
        <f t="array" ref="C68">iferror(if(and(countif(Elims!$M$4:$M$27,$A68),Elims!$J$3="y"),-973,index(Avgs!C:C,match($A68,Avgs!$A:$A,0))), )</f>
        <v/>
      </c>
      <c r="D68" s="56" t="str">
        <f t="array" ref="D68">iferror(if(and(countif(Elims!$M$4:$M$27,$A68),Elims!$J$3="y"),-973,index(Avgs!D:D,match($A68,Avgs!$A:$A,0))), )</f>
        <v/>
      </c>
      <c r="E68" s="56" t="str">
        <f t="array" ref="E68">iferror(if(and(countif(Elims!$M$4:$M$27,$A68),Elims!$J$3="y"),-973,index(Avgs!E:E,match($A68,Avgs!$A:$A,0))), )</f>
        <v/>
      </c>
      <c r="F68" s="56" t="str">
        <f t="array" ref="F68">iferror(if(and(countif(Elims!$M$4:$M$27,$A68),Elims!$J$3="y"),-973,index(Avgs!F:F,match($A68,Avgs!$A:$A,0))), )</f>
        <v/>
      </c>
      <c r="G68" s="56" t="str">
        <f t="array" ref="G68">iferror(if(and(countif(Elims!$M$4:$M$27,$A68),Elims!$J$3="y"),-973,index(Avgs!G:G,match($A68,Avgs!$A:$A,0))), )</f>
        <v/>
      </c>
      <c r="H68" s="56" t="str">
        <f t="array" ref="H68">iferror(if(and(countif(Elims!$M$4:$M$27,$A68),Elims!$J$3="y"),-973,index(Avgs!H:H,match($A68,Avgs!$A:$A,0))), )</f>
        <v/>
      </c>
      <c r="I68" s="56" t="str">
        <f t="array" ref="I68">iferror(if(and(countif(Elims!$M$4:$M$27,$A68),Elims!$J$3="y"),-973,index(Avgs!I:I,match($A68,Avgs!$A:$A,0))), )</f>
        <v/>
      </c>
      <c r="J68" s="56" t="str">
        <f t="array" ref="J68">iferror(if(and(countif(Elims!$M$4:$M$27,$A68),Elims!$J$3="y"),-973,index(Avgs!J:J,match($A68,Avgs!$A:$A,0))), )</f>
        <v/>
      </c>
      <c r="K68" s="51" t="str">
        <f t="array" ref="K68">iferror(if(and(countif(Elims!$M$4:$M$27,$A68),Elims!$J$3="y"),-973,index(Avgs!K:K,match($A68,Avgs!$A:$A,0))), )</f>
        <v/>
      </c>
      <c r="L68" s="51" t="str">
        <f t="array" ref="L68">iferror(if(and(countif(Elims!$M$4:$M$27,$A68),Elims!$J$3="y"),-973,index(Avgs!L:L,match($A68,Avgs!$A:$A,0))), )</f>
        <v/>
      </c>
      <c r="M68" s="56" t="str">
        <f t="array" ref="M68">iferror(if(and(countif(Elims!$M$4:$M$27,$A68),Elims!$J$3="y"),-973,index(Avgs!M:M,match($A68,Avgs!$A:$A,0))), )</f>
        <v/>
      </c>
      <c r="N68" s="56" t="str">
        <f t="array" ref="N68">iferror(if(and(countif(Elims!$M$4:$M$27,$A68),Elims!$J$3="y"),-973,index(Avgs!N:N,match($A68,Avgs!$A:$A,0))), )</f>
        <v/>
      </c>
      <c r="O68" s="51" t="str">
        <f t="array" ref="O68">iferror(if(and(countif(Elims!$M$4:$M$27,$A68),Elims!$J$3="y"),-973,index(Avgs!O:O,match($A68,Avgs!$A:$A,0))), )</f>
        <v/>
      </c>
      <c r="P68" s="51" t="str">
        <f t="array" ref="P68">iferror(if(and(countif(Elims!$M$4:$M$27,$A68),Elims!$J$3="y"),-973,index(Avgs!P:P,match($A68,Avgs!$A:$A,0))), )</f>
        <v/>
      </c>
      <c r="Q68" s="51" t="str">
        <f t="array" ref="Q68">iferror(if(and(countif(Elims!$M$4:$M$27,$A68),Elims!$J$3="y"),-973,index(Avgs!Q:Q,match($A68,Avgs!$A:$A,0))), )</f>
        <v/>
      </c>
      <c r="R68" s="58" t="str">
        <f>'Component OPR Dump'!E67</f>
        <v/>
      </c>
      <c r="S68" s="58" t="str">
        <f>'Component OPR Dump'!C67</f>
        <v/>
      </c>
      <c r="T68" s="58" t="str">
        <f>'Component OPR Dump'!H67</f>
        <v/>
      </c>
      <c r="U68" s="58" t="str">
        <f>'Component OPR Dump'!G67</f>
        <v/>
      </c>
      <c r="V68" s="58" t="str">
        <f>'Component OPR Dump'!F67</f>
        <v/>
      </c>
      <c r="W68" s="58" t="str">
        <f>'Component OPR Dump'!I67</f>
        <v/>
      </c>
      <c r="X68" s="63" t="str">
        <f>iferror(sumif('Raw Data'!$Q:$Q,$A68,'Raw Data'!L:L)/countif('Raw Data'!$Q:$Q,$A68), )</f>
        <v/>
      </c>
    </row>
    <row r="69">
      <c r="A69" s="72"/>
      <c r="B69" s="51" t="str">
        <f t="array" ref="B69">iferror(if(and(countif(Elims!$M$4:$M$27,$A69),Elims!$J$3="y"),-973,index(Avgs!B:B,match($A69,Avgs!$A:$A,0))), )</f>
        <v/>
      </c>
      <c r="C69" s="51" t="str">
        <f t="array" ref="C69">iferror(if(and(countif(Elims!$M$4:$M$27,$A69),Elims!$J$3="y"),-973,index(Avgs!C:C,match($A69,Avgs!$A:$A,0))), )</f>
        <v/>
      </c>
      <c r="D69" s="56" t="str">
        <f t="array" ref="D69">iferror(if(and(countif(Elims!$M$4:$M$27,$A69),Elims!$J$3="y"),-973,index(Avgs!D:D,match($A69,Avgs!$A:$A,0))), )</f>
        <v/>
      </c>
      <c r="E69" s="56" t="str">
        <f t="array" ref="E69">iferror(if(and(countif(Elims!$M$4:$M$27,$A69),Elims!$J$3="y"),-973,index(Avgs!E:E,match($A69,Avgs!$A:$A,0))), )</f>
        <v/>
      </c>
      <c r="F69" s="56" t="str">
        <f t="array" ref="F69">iferror(if(and(countif(Elims!$M$4:$M$27,$A69),Elims!$J$3="y"),-973,index(Avgs!F:F,match($A69,Avgs!$A:$A,0))), )</f>
        <v/>
      </c>
      <c r="G69" s="56" t="str">
        <f t="array" ref="G69">iferror(if(and(countif(Elims!$M$4:$M$27,$A69),Elims!$J$3="y"),-973,index(Avgs!G:G,match($A69,Avgs!$A:$A,0))), )</f>
        <v/>
      </c>
      <c r="H69" s="56" t="str">
        <f t="array" ref="H69">iferror(if(and(countif(Elims!$M$4:$M$27,$A69),Elims!$J$3="y"),-973,index(Avgs!H:H,match($A69,Avgs!$A:$A,0))), )</f>
        <v/>
      </c>
      <c r="I69" s="56" t="str">
        <f t="array" ref="I69">iferror(if(and(countif(Elims!$M$4:$M$27,$A69),Elims!$J$3="y"),-973,index(Avgs!I:I,match($A69,Avgs!$A:$A,0))), )</f>
        <v/>
      </c>
      <c r="J69" s="56" t="str">
        <f t="array" ref="J69">iferror(if(and(countif(Elims!$M$4:$M$27,$A69),Elims!$J$3="y"),-973,index(Avgs!J:J,match($A69,Avgs!$A:$A,0))), )</f>
        <v/>
      </c>
      <c r="K69" s="51" t="str">
        <f t="array" ref="K69">iferror(if(and(countif(Elims!$M$4:$M$27,$A69),Elims!$J$3="y"),-973,index(Avgs!K:K,match($A69,Avgs!$A:$A,0))), )</f>
        <v/>
      </c>
      <c r="L69" s="51" t="str">
        <f t="array" ref="L69">iferror(if(and(countif(Elims!$M$4:$M$27,$A69),Elims!$J$3="y"),-973,index(Avgs!L:L,match($A69,Avgs!$A:$A,0))), )</f>
        <v/>
      </c>
      <c r="M69" s="56" t="str">
        <f t="array" ref="M69">iferror(if(and(countif(Elims!$M$4:$M$27,$A69),Elims!$J$3="y"),-973,index(Avgs!M:M,match($A69,Avgs!$A:$A,0))), )</f>
        <v/>
      </c>
      <c r="N69" s="56" t="str">
        <f t="array" ref="N69">iferror(if(and(countif(Elims!$M$4:$M$27,$A69),Elims!$J$3="y"),-973,index(Avgs!N:N,match($A69,Avgs!$A:$A,0))), )</f>
        <v/>
      </c>
      <c r="O69" s="51" t="str">
        <f t="array" ref="O69">iferror(if(and(countif(Elims!$M$4:$M$27,$A69),Elims!$J$3="y"),-973,index(Avgs!O:O,match($A69,Avgs!$A:$A,0))), )</f>
        <v/>
      </c>
      <c r="P69" s="51" t="str">
        <f t="array" ref="P69">iferror(if(and(countif(Elims!$M$4:$M$27,$A69),Elims!$J$3="y"),-973,index(Avgs!P:P,match($A69,Avgs!$A:$A,0))), )</f>
        <v/>
      </c>
      <c r="Q69" s="51" t="str">
        <f t="array" ref="Q69">iferror(if(and(countif(Elims!$M$4:$M$27,$A69),Elims!$J$3="y"),-973,index(Avgs!Q:Q,match($A69,Avgs!$A:$A,0))), )</f>
        <v/>
      </c>
      <c r="R69" s="58" t="str">
        <f>'Component OPR Dump'!E68</f>
        <v/>
      </c>
      <c r="S69" s="58" t="str">
        <f>'Component OPR Dump'!C68</f>
        <v/>
      </c>
      <c r="T69" s="58" t="str">
        <f>'Component OPR Dump'!H68</f>
        <v/>
      </c>
      <c r="U69" s="58" t="str">
        <f>'Component OPR Dump'!G68</f>
        <v/>
      </c>
      <c r="V69" s="58" t="str">
        <f>'Component OPR Dump'!F68</f>
        <v/>
      </c>
      <c r="W69" s="58" t="str">
        <f>'Component OPR Dump'!I68</f>
        <v/>
      </c>
      <c r="X69" s="63" t="str">
        <f>iferror(sumif('Raw Data'!$Q:$Q,$A69,'Raw Data'!L:L)/countif('Raw Data'!$Q:$Q,$A69), )</f>
        <v/>
      </c>
    </row>
    <row r="70">
      <c r="A70" s="72"/>
      <c r="B70" s="51" t="str">
        <f t="array" ref="B70">iferror(if(and(countif(Elims!$M$4:$M$27,$A70),Elims!$J$3="y"),-973,index(Avgs!B:B,match($A70,Avgs!$A:$A,0))), )</f>
        <v/>
      </c>
      <c r="C70" s="51" t="str">
        <f t="array" ref="C70">iferror(if(and(countif(Elims!$M$4:$M$27,$A70),Elims!$J$3="y"),-973,index(Avgs!C:C,match($A70,Avgs!$A:$A,0))), )</f>
        <v/>
      </c>
      <c r="D70" s="56" t="str">
        <f t="array" ref="D70">iferror(if(and(countif(Elims!$M$4:$M$27,$A70),Elims!$J$3="y"),-973,index(Avgs!D:D,match($A70,Avgs!$A:$A,0))), )</f>
        <v/>
      </c>
      <c r="E70" s="56" t="str">
        <f t="array" ref="E70">iferror(if(and(countif(Elims!$M$4:$M$27,$A70),Elims!$J$3="y"),-973,index(Avgs!E:E,match($A70,Avgs!$A:$A,0))), )</f>
        <v/>
      </c>
      <c r="F70" s="56" t="str">
        <f t="array" ref="F70">iferror(if(and(countif(Elims!$M$4:$M$27,$A70),Elims!$J$3="y"),-973,index(Avgs!F:F,match($A70,Avgs!$A:$A,0))), )</f>
        <v/>
      </c>
      <c r="G70" s="56" t="str">
        <f t="array" ref="G70">iferror(if(and(countif(Elims!$M$4:$M$27,$A70),Elims!$J$3="y"),-973,index(Avgs!G:G,match($A70,Avgs!$A:$A,0))), )</f>
        <v/>
      </c>
      <c r="H70" s="56" t="str">
        <f t="array" ref="H70">iferror(if(and(countif(Elims!$M$4:$M$27,$A70),Elims!$J$3="y"),-973,index(Avgs!H:H,match($A70,Avgs!$A:$A,0))), )</f>
        <v/>
      </c>
      <c r="I70" s="56" t="str">
        <f t="array" ref="I70">iferror(if(and(countif(Elims!$M$4:$M$27,$A70),Elims!$J$3="y"),-973,index(Avgs!I:I,match($A70,Avgs!$A:$A,0))), )</f>
        <v/>
      </c>
      <c r="J70" s="56" t="str">
        <f t="array" ref="J70">iferror(if(and(countif(Elims!$M$4:$M$27,$A70),Elims!$J$3="y"),-973,index(Avgs!J:J,match($A70,Avgs!$A:$A,0))), )</f>
        <v/>
      </c>
      <c r="K70" s="51" t="str">
        <f t="array" ref="K70">iferror(if(and(countif(Elims!$M$4:$M$27,$A70),Elims!$J$3="y"),-973,index(Avgs!K:K,match($A70,Avgs!$A:$A,0))), )</f>
        <v/>
      </c>
      <c r="L70" s="51" t="str">
        <f t="array" ref="L70">iferror(if(and(countif(Elims!$M$4:$M$27,$A70),Elims!$J$3="y"),-973,index(Avgs!L:L,match($A70,Avgs!$A:$A,0))), )</f>
        <v/>
      </c>
      <c r="M70" s="56" t="str">
        <f t="array" ref="M70">iferror(if(and(countif(Elims!$M$4:$M$27,$A70),Elims!$J$3="y"),-973,index(Avgs!M:M,match($A70,Avgs!$A:$A,0))), )</f>
        <v/>
      </c>
      <c r="N70" s="56" t="str">
        <f t="array" ref="N70">iferror(if(and(countif(Elims!$M$4:$M$27,$A70),Elims!$J$3="y"),-973,index(Avgs!N:N,match($A70,Avgs!$A:$A,0))), )</f>
        <v/>
      </c>
      <c r="O70" s="51" t="str">
        <f t="array" ref="O70">iferror(if(and(countif(Elims!$M$4:$M$27,$A70),Elims!$J$3="y"),-973,index(Avgs!O:O,match($A70,Avgs!$A:$A,0))), )</f>
        <v/>
      </c>
      <c r="P70" s="51" t="str">
        <f t="array" ref="P70">iferror(if(and(countif(Elims!$M$4:$M$27,$A70),Elims!$J$3="y"),-973,index(Avgs!P:P,match($A70,Avgs!$A:$A,0))), )</f>
        <v/>
      </c>
      <c r="Q70" s="51" t="str">
        <f t="array" ref="Q70">iferror(if(and(countif(Elims!$M$4:$M$27,$A70),Elims!$J$3="y"),-973,index(Avgs!Q:Q,match($A70,Avgs!$A:$A,0))), )</f>
        <v/>
      </c>
      <c r="R70" s="58" t="str">
        <f>'Component OPR Dump'!E69</f>
        <v/>
      </c>
      <c r="S70" s="58" t="str">
        <f>'Component OPR Dump'!C69</f>
        <v/>
      </c>
      <c r="T70" s="58" t="str">
        <f>'Component OPR Dump'!H69</f>
        <v/>
      </c>
      <c r="U70" s="58" t="str">
        <f>'Component OPR Dump'!G69</f>
        <v/>
      </c>
      <c r="V70" s="58" t="str">
        <f>'Component OPR Dump'!F69</f>
        <v/>
      </c>
      <c r="W70" s="58" t="str">
        <f>'Component OPR Dump'!I69</f>
        <v/>
      </c>
      <c r="X70" s="63" t="str">
        <f>iferror(sumif('Raw Data'!$Q:$Q,$A70,'Raw Data'!L:L)/countif('Raw Data'!$Q:$Q,$A70), )</f>
        <v/>
      </c>
    </row>
    <row r="71">
      <c r="A71" s="72"/>
      <c r="B71" s="51" t="str">
        <f t="array" ref="B71">iferror(if(and(countif(Elims!$M$4:$M$27,$A71),Elims!$J$3="y"),-973,index(Avgs!B:B,match($A71,Avgs!$A:$A,0))), )</f>
        <v/>
      </c>
      <c r="C71" s="51" t="str">
        <f t="array" ref="C71">iferror(if(and(countif(Elims!$M$4:$M$27,$A71),Elims!$J$3="y"),-973,index(Avgs!C:C,match($A71,Avgs!$A:$A,0))), )</f>
        <v/>
      </c>
      <c r="D71" s="56" t="str">
        <f t="array" ref="D71">iferror(if(and(countif(Elims!$M$4:$M$27,$A71),Elims!$J$3="y"),-973,index(Avgs!D:D,match($A71,Avgs!$A:$A,0))), )</f>
        <v/>
      </c>
      <c r="E71" s="56" t="str">
        <f t="array" ref="E71">iferror(if(and(countif(Elims!$M$4:$M$27,$A71),Elims!$J$3="y"),-973,index(Avgs!E:E,match($A71,Avgs!$A:$A,0))), )</f>
        <v/>
      </c>
      <c r="F71" s="56" t="str">
        <f t="array" ref="F71">iferror(if(and(countif(Elims!$M$4:$M$27,$A71),Elims!$J$3="y"),-973,index(Avgs!F:F,match($A71,Avgs!$A:$A,0))), )</f>
        <v/>
      </c>
      <c r="G71" s="56" t="str">
        <f t="array" ref="G71">iferror(if(and(countif(Elims!$M$4:$M$27,$A71),Elims!$J$3="y"),-973,index(Avgs!G:G,match($A71,Avgs!$A:$A,0))), )</f>
        <v/>
      </c>
      <c r="H71" s="56" t="str">
        <f t="array" ref="H71">iferror(if(and(countif(Elims!$M$4:$M$27,$A71),Elims!$J$3="y"),-973,index(Avgs!H:H,match($A71,Avgs!$A:$A,0))), )</f>
        <v/>
      </c>
      <c r="I71" s="56" t="str">
        <f t="array" ref="I71">iferror(if(and(countif(Elims!$M$4:$M$27,$A71),Elims!$J$3="y"),-973,index(Avgs!I:I,match($A71,Avgs!$A:$A,0))), )</f>
        <v/>
      </c>
      <c r="J71" s="56" t="str">
        <f t="array" ref="J71">iferror(if(and(countif(Elims!$M$4:$M$27,$A71),Elims!$J$3="y"),-973,index(Avgs!J:J,match($A71,Avgs!$A:$A,0))), )</f>
        <v/>
      </c>
      <c r="K71" s="51" t="str">
        <f t="array" ref="K71">iferror(if(and(countif(Elims!$M$4:$M$27,$A71),Elims!$J$3="y"),-973,index(Avgs!K:K,match($A71,Avgs!$A:$A,0))), )</f>
        <v/>
      </c>
      <c r="L71" s="51" t="str">
        <f t="array" ref="L71">iferror(if(and(countif(Elims!$M$4:$M$27,$A71),Elims!$J$3="y"),-973,index(Avgs!L:L,match($A71,Avgs!$A:$A,0))), )</f>
        <v/>
      </c>
      <c r="M71" s="56" t="str">
        <f t="array" ref="M71">iferror(if(and(countif(Elims!$M$4:$M$27,$A71),Elims!$J$3="y"),-973,index(Avgs!M:M,match($A71,Avgs!$A:$A,0))), )</f>
        <v/>
      </c>
      <c r="N71" s="56" t="str">
        <f t="array" ref="N71">iferror(if(and(countif(Elims!$M$4:$M$27,$A71),Elims!$J$3="y"),-973,index(Avgs!N:N,match($A71,Avgs!$A:$A,0))), )</f>
        <v/>
      </c>
      <c r="O71" s="51" t="str">
        <f t="array" ref="O71">iferror(if(and(countif(Elims!$M$4:$M$27,$A71),Elims!$J$3="y"),-973,index(Avgs!O:O,match($A71,Avgs!$A:$A,0))), )</f>
        <v/>
      </c>
      <c r="P71" s="51" t="str">
        <f t="array" ref="P71">iferror(if(and(countif(Elims!$M$4:$M$27,$A71),Elims!$J$3="y"),-973,index(Avgs!P:P,match($A71,Avgs!$A:$A,0))), )</f>
        <v/>
      </c>
      <c r="Q71" s="51" t="str">
        <f t="array" ref="Q71">iferror(if(and(countif(Elims!$M$4:$M$27,$A71),Elims!$J$3="y"),-973,index(Avgs!Q:Q,match($A71,Avgs!$A:$A,0))), )</f>
        <v/>
      </c>
      <c r="R71" s="58" t="str">
        <f>'Component OPR Dump'!E70</f>
        <v/>
      </c>
      <c r="S71" s="58" t="str">
        <f>'Component OPR Dump'!C70</f>
        <v/>
      </c>
      <c r="T71" s="58" t="str">
        <f>'Component OPR Dump'!H70</f>
        <v/>
      </c>
      <c r="U71" s="58" t="str">
        <f>'Component OPR Dump'!G70</f>
        <v/>
      </c>
      <c r="V71" s="58" t="str">
        <f>'Component OPR Dump'!F70</f>
        <v/>
      </c>
      <c r="W71" s="58" t="str">
        <f>'Component OPR Dump'!I70</f>
        <v/>
      </c>
      <c r="X71" s="63" t="str">
        <f>iferror(sumif('Raw Data'!$Q:$Q,$A71,'Raw Data'!L:L)/countif('Raw Data'!$Q:$Q,$A71), )</f>
        <v/>
      </c>
    </row>
    <row r="72">
      <c r="A72" s="72"/>
      <c r="B72" s="51" t="str">
        <f t="array" ref="B72">iferror(if(and(countif(Elims!$M$4:$M$27,$A72),Elims!$J$3="y"),-973,index(Avgs!B:B,match($A72,Avgs!$A:$A,0))), )</f>
        <v/>
      </c>
      <c r="C72" s="51" t="str">
        <f t="array" ref="C72">iferror(if(and(countif(Elims!$M$4:$M$27,$A72),Elims!$J$3="y"),-973,index(Avgs!C:C,match($A72,Avgs!$A:$A,0))), )</f>
        <v/>
      </c>
      <c r="D72" s="56" t="str">
        <f t="array" ref="D72">iferror(if(and(countif(Elims!$M$4:$M$27,$A72),Elims!$J$3="y"),-973,index(Avgs!D:D,match($A72,Avgs!$A:$A,0))), )</f>
        <v/>
      </c>
      <c r="E72" s="56" t="str">
        <f t="array" ref="E72">iferror(if(and(countif(Elims!$M$4:$M$27,$A72),Elims!$J$3="y"),-973,index(Avgs!E:E,match($A72,Avgs!$A:$A,0))), )</f>
        <v/>
      </c>
      <c r="F72" s="56" t="str">
        <f t="array" ref="F72">iferror(if(and(countif(Elims!$M$4:$M$27,$A72),Elims!$J$3="y"),-973,index(Avgs!F:F,match($A72,Avgs!$A:$A,0))), )</f>
        <v/>
      </c>
      <c r="G72" s="56" t="str">
        <f t="array" ref="G72">iferror(if(and(countif(Elims!$M$4:$M$27,$A72),Elims!$J$3="y"),-973,index(Avgs!G:G,match($A72,Avgs!$A:$A,0))), )</f>
        <v/>
      </c>
      <c r="H72" s="56" t="str">
        <f t="array" ref="H72">iferror(if(and(countif(Elims!$M$4:$M$27,$A72),Elims!$J$3="y"),-973,index(Avgs!H:H,match($A72,Avgs!$A:$A,0))), )</f>
        <v/>
      </c>
      <c r="I72" s="56" t="str">
        <f t="array" ref="I72">iferror(if(and(countif(Elims!$M$4:$M$27,$A72),Elims!$J$3="y"),-973,index(Avgs!I:I,match($A72,Avgs!$A:$A,0))), )</f>
        <v/>
      </c>
      <c r="J72" s="56" t="str">
        <f t="array" ref="J72">iferror(if(and(countif(Elims!$M$4:$M$27,$A72),Elims!$J$3="y"),-973,index(Avgs!J:J,match($A72,Avgs!$A:$A,0))), )</f>
        <v/>
      </c>
      <c r="K72" s="51" t="str">
        <f t="array" ref="K72">iferror(if(and(countif(Elims!$M$4:$M$27,$A72),Elims!$J$3="y"),-973,index(Avgs!K:K,match($A72,Avgs!$A:$A,0))), )</f>
        <v/>
      </c>
      <c r="L72" s="51" t="str">
        <f t="array" ref="L72">iferror(if(and(countif(Elims!$M$4:$M$27,$A72),Elims!$J$3="y"),-973,index(Avgs!L:L,match($A72,Avgs!$A:$A,0))), )</f>
        <v/>
      </c>
      <c r="M72" s="56" t="str">
        <f t="array" ref="M72">iferror(if(and(countif(Elims!$M$4:$M$27,$A72),Elims!$J$3="y"),-973,index(Avgs!M:M,match($A72,Avgs!$A:$A,0))), )</f>
        <v/>
      </c>
      <c r="N72" s="56" t="str">
        <f t="array" ref="N72">iferror(if(and(countif(Elims!$M$4:$M$27,$A72),Elims!$J$3="y"),-973,index(Avgs!N:N,match($A72,Avgs!$A:$A,0))), )</f>
        <v/>
      </c>
      <c r="O72" s="51" t="str">
        <f t="array" ref="O72">iferror(if(and(countif(Elims!$M$4:$M$27,$A72),Elims!$J$3="y"),-973,index(Avgs!O:O,match($A72,Avgs!$A:$A,0))), )</f>
        <v/>
      </c>
      <c r="P72" s="51" t="str">
        <f t="array" ref="P72">iferror(if(and(countif(Elims!$M$4:$M$27,$A72),Elims!$J$3="y"),-973,index(Avgs!P:P,match($A72,Avgs!$A:$A,0))), )</f>
        <v/>
      </c>
      <c r="Q72" s="51" t="str">
        <f t="array" ref="Q72">iferror(if(and(countif(Elims!$M$4:$M$27,$A72),Elims!$J$3="y"),-973,index(Avgs!Q:Q,match($A72,Avgs!$A:$A,0))), )</f>
        <v/>
      </c>
      <c r="R72" s="58" t="str">
        <f>'Component OPR Dump'!E71</f>
        <v/>
      </c>
      <c r="S72" s="58" t="str">
        <f>'Component OPR Dump'!C71</f>
        <v/>
      </c>
      <c r="T72" s="58" t="str">
        <f>'Component OPR Dump'!H71</f>
        <v/>
      </c>
      <c r="U72" s="58" t="str">
        <f>'Component OPR Dump'!G71</f>
        <v/>
      </c>
      <c r="V72" s="58" t="str">
        <f>'Component OPR Dump'!F71</f>
        <v/>
      </c>
      <c r="W72" s="58" t="str">
        <f>'Component OPR Dump'!I71</f>
        <v/>
      </c>
      <c r="X72" s="63" t="str">
        <f>iferror(sumif('Raw Data'!$Q:$Q,$A72,'Raw Data'!L:L)/countif('Raw Data'!$Q:$Q,$A72), )</f>
        <v/>
      </c>
    </row>
    <row r="73">
      <c r="A73" s="72"/>
      <c r="B73" s="51" t="str">
        <f t="array" ref="B73">iferror(if(and(countif(Elims!$M$4:$M$27,$A73),Elims!$J$3="y"),-973,index(Avgs!B:B,match($A73,Avgs!$A:$A,0))), )</f>
        <v/>
      </c>
      <c r="C73" s="51" t="str">
        <f t="array" ref="C73">iferror(if(and(countif(Elims!$M$4:$M$27,$A73),Elims!$J$3="y"),-973,index(Avgs!C:C,match($A73,Avgs!$A:$A,0))), )</f>
        <v/>
      </c>
      <c r="D73" s="56" t="str">
        <f t="array" ref="D73">iferror(if(and(countif(Elims!$M$4:$M$27,$A73),Elims!$J$3="y"),-973,index(Avgs!D:D,match($A73,Avgs!$A:$A,0))), )</f>
        <v/>
      </c>
      <c r="E73" s="56" t="str">
        <f t="array" ref="E73">iferror(if(and(countif(Elims!$M$4:$M$27,$A73),Elims!$J$3="y"),-973,index(Avgs!E:E,match($A73,Avgs!$A:$A,0))), )</f>
        <v/>
      </c>
      <c r="F73" s="56" t="str">
        <f t="array" ref="F73">iferror(if(and(countif(Elims!$M$4:$M$27,$A73),Elims!$J$3="y"),-973,index(Avgs!F:F,match($A73,Avgs!$A:$A,0))), )</f>
        <v/>
      </c>
      <c r="G73" s="56" t="str">
        <f t="array" ref="G73">iferror(if(and(countif(Elims!$M$4:$M$27,$A73),Elims!$J$3="y"),-973,index(Avgs!G:G,match($A73,Avgs!$A:$A,0))), )</f>
        <v/>
      </c>
      <c r="H73" s="56" t="str">
        <f t="array" ref="H73">iferror(if(and(countif(Elims!$M$4:$M$27,$A73),Elims!$J$3="y"),-973,index(Avgs!H:H,match($A73,Avgs!$A:$A,0))), )</f>
        <v/>
      </c>
      <c r="I73" s="56" t="str">
        <f t="array" ref="I73">iferror(if(and(countif(Elims!$M$4:$M$27,$A73),Elims!$J$3="y"),-973,index(Avgs!I:I,match($A73,Avgs!$A:$A,0))), )</f>
        <v/>
      </c>
      <c r="J73" s="56" t="str">
        <f t="array" ref="J73">iferror(if(and(countif(Elims!$M$4:$M$27,$A73),Elims!$J$3="y"),-973,index(Avgs!J:J,match($A73,Avgs!$A:$A,0))), )</f>
        <v/>
      </c>
      <c r="K73" s="51" t="str">
        <f t="array" ref="K73">iferror(if(and(countif(Elims!$M$4:$M$27,$A73),Elims!$J$3="y"),-973,index(Avgs!K:K,match($A73,Avgs!$A:$A,0))), )</f>
        <v/>
      </c>
      <c r="L73" s="51" t="str">
        <f t="array" ref="L73">iferror(if(and(countif(Elims!$M$4:$M$27,$A73),Elims!$J$3="y"),-973,index(Avgs!L:L,match($A73,Avgs!$A:$A,0))), )</f>
        <v/>
      </c>
      <c r="M73" s="56" t="str">
        <f t="array" ref="M73">iferror(if(and(countif(Elims!$M$4:$M$27,$A73),Elims!$J$3="y"),-973,index(Avgs!M:M,match($A73,Avgs!$A:$A,0))), )</f>
        <v/>
      </c>
      <c r="N73" s="56" t="str">
        <f t="array" ref="N73">iferror(if(and(countif(Elims!$M$4:$M$27,$A73),Elims!$J$3="y"),-973,index(Avgs!N:N,match($A73,Avgs!$A:$A,0))), )</f>
        <v/>
      </c>
      <c r="O73" s="51" t="str">
        <f t="array" ref="O73">iferror(if(and(countif(Elims!$M$4:$M$27,$A73),Elims!$J$3="y"),-973,index(Avgs!O:O,match($A73,Avgs!$A:$A,0))), )</f>
        <v/>
      </c>
      <c r="P73" s="51" t="str">
        <f t="array" ref="P73">iferror(if(and(countif(Elims!$M$4:$M$27,$A73),Elims!$J$3="y"),-973,index(Avgs!P:P,match($A73,Avgs!$A:$A,0))), )</f>
        <v/>
      </c>
      <c r="Q73" s="51" t="str">
        <f t="array" ref="Q73">iferror(if(and(countif(Elims!$M$4:$M$27,$A73),Elims!$J$3="y"),-973,index(Avgs!Q:Q,match($A73,Avgs!$A:$A,0))), )</f>
        <v/>
      </c>
      <c r="R73" s="58" t="str">
        <f>'Component OPR Dump'!E72</f>
        <v/>
      </c>
      <c r="S73" s="58" t="str">
        <f>'Component OPR Dump'!C72</f>
        <v/>
      </c>
      <c r="T73" s="58" t="str">
        <f>'Component OPR Dump'!H72</f>
        <v/>
      </c>
      <c r="U73" s="58" t="str">
        <f>'Component OPR Dump'!G72</f>
        <v/>
      </c>
      <c r="V73" s="58" t="str">
        <f>'Component OPR Dump'!F72</f>
        <v/>
      </c>
      <c r="W73" s="58" t="str">
        <f>'Component OPR Dump'!I72</f>
        <v/>
      </c>
      <c r="X73" s="63" t="str">
        <f>iferror(sumif('Raw Data'!$Q:$Q,$A73,'Raw Data'!L:L)/countif('Raw Data'!$Q:$Q,$A73), )</f>
        <v/>
      </c>
    </row>
    <row r="74">
      <c r="A74" s="72"/>
      <c r="B74" s="51" t="str">
        <f t="array" ref="B74">iferror(if(and(countif(Elims!$M$4:$M$27,$A74),Elims!$J$3="y"),-973,index(Avgs!B:B,match($A74,Avgs!$A:$A,0))), )</f>
        <v/>
      </c>
      <c r="C74" s="51" t="str">
        <f t="array" ref="C74">iferror(if(and(countif(Elims!$M$4:$M$27,$A74),Elims!$J$3="y"),-973,index(Avgs!C:C,match($A74,Avgs!$A:$A,0))), )</f>
        <v/>
      </c>
      <c r="D74" s="56" t="str">
        <f t="array" ref="D74">iferror(if(and(countif(Elims!$M$4:$M$27,$A74),Elims!$J$3="y"),-973,index(Avgs!D:D,match($A74,Avgs!$A:$A,0))), )</f>
        <v/>
      </c>
      <c r="E74" s="56" t="str">
        <f t="array" ref="E74">iferror(if(and(countif(Elims!$M$4:$M$27,$A74),Elims!$J$3="y"),-973,index(Avgs!E:E,match($A74,Avgs!$A:$A,0))), )</f>
        <v/>
      </c>
      <c r="F74" s="56" t="str">
        <f t="array" ref="F74">iferror(if(and(countif(Elims!$M$4:$M$27,$A74),Elims!$J$3="y"),-973,index(Avgs!F:F,match($A74,Avgs!$A:$A,0))), )</f>
        <v/>
      </c>
      <c r="G74" s="56" t="str">
        <f t="array" ref="G74">iferror(if(and(countif(Elims!$M$4:$M$27,$A74),Elims!$J$3="y"),-973,index(Avgs!G:G,match($A74,Avgs!$A:$A,0))), )</f>
        <v/>
      </c>
      <c r="H74" s="56" t="str">
        <f t="array" ref="H74">iferror(if(and(countif(Elims!$M$4:$M$27,$A74),Elims!$J$3="y"),-973,index(Avgs!H:H,match($A74,Avgs!$A:$A,0))), )</f>
        <v/>
      </c>
      <c r="I74" s="56" t="str">
        <f t="array" ref="I74">iferror(if(and(countif(Elims!$M$4:$M$27,$A74),Elims!$J$3="y"),-973,index(Avgs!I:I,match($A74,Avgs!$A:$A,0))), )</f>
        <v/>
      </c>
      <c r="J74" s="56" t="str">
        <f t="array" ref="J74">iferror(if(and(countif(Elims!$M$4:$M$27,$A74),Elims!$J$3="y"),-973,index(Avgs!J:J,match($A74,Avgs!$A:$A,0))), )</f>
        <v/>
      </c>
      <c r="K74" s="51" t="str">
        <f t="array" ref="K74">iferror(if(and(countif(Elims!$M$4:$M$27,$A74),Elims!$J$3="y"),-973,index(Avgs!K:K,match($A74,Avgs!$A:$A,0))), )</f>
        <v/>
      </c>
      <c r="L74" s="51" t="str">
        <f t="array" ref="L74">iferror(if(and(countif(Elims!$M$4:$M$27,$A74),Elims!$J$3="y"),-973,index(Avgs!L:L,match($A74,Avgs!$A:$A,0))), )</f>
        <v/>
      </c>
      <c r="M74" s="56" t="str">
        <f t="array" ref="M74">iferror(if(and(countif(Elims!$M$4:$M$27,$A74),Elims!$J$3="y"),-973,index(Avgs!M:M,match($A74,Avgs!$A:$A,0))), )</f>
        <v/>
      </c>
      <c r="N74" s="56" t="str">
        <f t="array" ref="N74">iferror(if(and(countif(Elims!$M$4:$M$27,$A74),Elims!$J$3="y"),-973,index(Avgs!N:N,match($A74,Avgs!$A:$A,0))), )</f>
        <v/>
      </c>
      <c r="O74" s="51" t="str">
        <f t="array" ref="O74">iferror(if(and(countif(Elims!$M$4:$M$27,$A74),Elims!$J$3="y"),-973,index(Avgs!O:O,match($A74,Avgs!$A:$A,0))), )</f>
        <v/>
      </c>
      <c r="P74" s="51" t="str">
        <f t="array" ref="P74">iferror(if(and(countif(Elims!$M$4:$M$27,$A74),Elims!$J$3="y"),-973,index(Avgs!P:P,match($A74,Avgs!$A:$A,0))), )</f>
        <v/>
      </c>
      <c r="Q74" s="51" t="str">
        <f t="array" ref="Q74">iferror(if(and(countif(Elims!$M$4:$M$27,$A74),Elims!$J$3="y"),-973,index(Avgs!Q:Q,match($A74,Avgs!$A:$A,0))), )</f>
        <v/>
      </c>
      <c r="R74" s="58" t="str">
        <f>'Component OPR Dump'!E73</f>
        <v/>
      </c>
      <c r="S74" s="58" t="str">
        <f>'Component OPR Dump'!C73</f>
        <v/>
      </c>
      <c r="T74" s="58" t="str">
        <f>'Component OPR Dump'!H73</f>
        <v/>
      </c>
      <c r="U74" s="58" t="str">
        <f>'Component OPR Dump'!G73</f>
        <v/>
      </c>
      <c r="V74" s="58" t="str">
        <f>'Component OPR Dump'!F73</f>
        <v/>
      </c>
      <c r="W74" s="58" t="str">
        <f>'Component OPR Dump'!I73</f>
        <v/>
      </c>
      <c r="X74" s="63" t="str">
        <f>iferror(sumif('Raw Data'!$Q:$Q,$A74,'Raw Data'!L:L)/countif('Raw Data'!$Q:$Q,$A74), )</f>
        <v/>
      </c>
    </row>
    <row r="75">
      <c r="A75" s="72"/>
      <c r="B75" s="51" t="str">
        <f t="array" ref="B75">iferror(if(and(countif(Elims!$M$4:$M$27,$A75),Elims!$J$3="y"),-973,index(Avgs!B:B,match($A75,Avgs!$A:$A,0))), )</f>
        <v/>
      </c>
      <c r="C75" s="51" t="str">
        <f t="array" ref="C75">iferror(if(and(countif(Elims!$M$4:$M$27,$A75),Elims!$J$3="y"),-973,index(Avgs!C:C,match($A75,Avgs!$A:$A,0))), )</f>
        <v/>
      </c>
      <c r="D75" s="56" t="str">
        <f t="array" ref="D75">iferror(if(and(countif(Elims!$M$4:$M$27,$A75),Elims!$J$3="y"),-973,index(Avgs!D:D,match($A75,Avgs!$A:$A,0))), )</f>
        <v/>
      </c>
      <c r="E75" s="56" t="str">
        <f t="array" ref="E75">iferror(if(and(countif(Elims!$M$4:$M$27,$A75),Elims!$J$3="y"),-973,index(Avgs!E:E,match($A75,Avgs!$A:$A,0))), )</f>
        <v/>
      </c>
      <c r="F75" s="56" t="str">
        <f t="array" ref="F75">iferror(if(and(countif(Elims!$M$4:$M$27,$A75),Elims!$J$3="y"),-973,index(Avgs!F:F,match($A75,Avgs!$A:$A,0))), )</f>
        <v/>
      </c>
      <c r="G75" s="56" t="str">
        <f t="array" ref="G75">iferror(if(and(countif(Elims!$M$4:$M$27,$A75),Elims!$J$3="y"),-973,index(Avgs!G:G,match($A75,Avgs!$A:$A,0))), )</f>
        <v/>
      </c>
      <c r="H75" s="56" t="str">
        <f t="array" ref="H75">iferror(if(and(countif(Elims!$M$4:$M$27,$A75),Elims!$J$3="y"),-973,index(Avgs!H:H,match($A75,Avgs!$A:$A,0))), )</f>
        <v/>
      </c>
      <c r="I75" s="56" t="str">
        <f t="array" ref="I75">iferror(if(and(countif(Elims!$M$4:$M$27,$A75),Elims!$J$3="y"),-973,index(Avgs!I:I,match($A75,Avgs!$A:$A,0))), )</f>
        <v/>
      </c>
      <c r="J75" s="56" t="str">
        <f t="array" ref="J75">iferror(if(and(countif(Elims!$M$4:$M$27,$A75),Elims!$J$3="y"),-973,index(Avgs!J:J,match($A75,Avgs!$A:$A,0))), )</f>
        <v/>
      </c>
      <c r="K75" s="51" t="str">
        <f t="array" ref="K75">iferror(if(and(countif(Elims!$M$4:$M$27,$A75),Elims!$J$3="y"),-973,index(Avgs!K:K,match($A75,Avgs!$A:$A,0))), )</f>
        <v/>
      </c>
      <c r="L75" s="51" t="str">
        <f t="array" ref="L75">iferror(if(and(countif(Elims!$M$4:$M$27,$A75),Elims!$J$3="y"),-973,index(Avgs!L:L,match($A75,Avgs!$A:$A,0))), )</f>
        <v/>
      </c>
      <c r="M75" s="56" t="str">
        <f t="array" ref="M75">iferror(if(and(countif(Elims!$M$4:$M$27,$A75),Elims!$J$3="y"),-973,index(Avgs!M:M,match($A75,Avgs!$A:$A,0))), )</f>
        <v/>
      </c>
      <c r="N75" s="56" t="str">
        <f t="array" ref="N75">iferror(if(and(countif(Elims!$M$4:$M$27,$A75),Elims!$J$3="y"),-973,index(Avgs!N:N,match($A75,Avgs!$A:$A,0))), )</f>
        <v/>
      </c>
      <c r="O75" s="51" t="str">
        <f t="array" ref="O75">iferror(if(and(countif(Elims!$M$4:$M$27,$A75),Elims!$J$3="y"),-973,index(Avgs!O:O,match($A75,Avgs!$A:$A,0))), )</f>
        <v/>
      </c>
      <c r="P75" s="51" t="str">
        <f t="array" ref="P75">iferror(if(and(countif(Elims!$M$4:$M$27,$A75),Elims!$J$3="y"),-973,index(Avgs!P:P,match($A75,Avgs!$A:$A,0))), )</f>
        <v/>
      </c>
      <c r="Q75" s="51" t="str">
        <f t="array" ref="Q75">iferror(if(and(countif(Elims!$M$4:$M$27,$A75),Elims!$J$3="y"),-973,index(Avgs!Q:Q,match($A75,Avgs!$A:$A,0))), )</f>
        <v/>
      </c>
      <c r="R75" s="58" t="str">
        <f>'Component OPR Dump'!E74</f>
        <v/>
      </c>
      <c r="S75" s="58" t="str">
        <f>'Component OPR Dump'!C74</f>
        <v/>
      </c>
      <c r="T75" s="58" t="str">
        <f>'Component OPR Dump'!H74</f>
        <v/>
      </c>
      <c r="U75" s="58" t="str">
        <f>'Component OPR Dump'!G74</f>
        <v/>
      </c>
      <c r="V75" s="58" t="str">
        <f>'Component OPR Dump'!F74</f>
        <v/>
      </c>
      <c r="W75" s="58" t="str">
        <f>'Component OPR Dump'!I74</f>
        <v/>
      </c>
      <c r="X75" s="63" t="str">
        <f>iferror(sumif('Raw Data'!$Q:$Q,$A75,'Raw Data'!L:L)/countif('Raw Data'!$Q:$Q,$A75), )</f>
        <v/>
      </c>
    </row>
    <row r="76">
      <c r="A76" s="72"/>
      <c r="B76" s="51" t="str">
        <f t="array" ref="B76">iferror(if(and(countif(Elims!$M$4:$M$27,$A76),Elims!$J$3="y"),-973,index(Avgs!B:B,match($A76,Avgs!$A:$A,0))), )</f>
        <v/>
      </c>
      <c r="C76" s="51" t="str">
        <f t="array" ref="C76">iferror(if(and(countif(Elims!$M$4:$M$27,$A76),Elims!$J$3="y"),-973,index(Avgs!C:C,match($A76,Avgs!$A:$A,0))), )</f>
        <v/>
      </c>
      <c r="D76" s="56" t="str">
        <f t="array" ref="D76">iferror(if(and(countif(Elims!$M$4:$M$27,$A76),Elims!$J$3="y"),-973,index(Avgs!D:D,match($A76,Avgs!$A:$A,0))), )</f>
        <v/>
      </c>
      <c r="E76" s="56" t="str">
        <f t="array" ref="E76">iferror(if(and(countif(Elims!$M$4:$M$27,$A76),Elims!$J$3="y"),-973,index(Avgs!E:E,match($A76,Avgs!$A:$A,0))), )</f>
        <v/>
      </c>
      <c r="F76" s="56" t="str">
        <f t="array" ref="F76">iferror(if(and(countif(Elims!$M$4:$M$27,$A76),Elims!$J$3="y"),-973,index(Avgs!F:F,match($A76,Avgs!$A:$A,0))), )</f>
        <v/>
      </c>
      <c r="G76" s="56" t="str">
        <f t="array" ref="G76">iferror(if(and(countif(Elims!$M$4:$M$27,$A76),Elims!$J$3="y"),-973,index(Avgs!G:G,match($A76,Avgs!$A:$A,0))), )</f>
        <v/>
      </c>
      <c r="H76" s="56" t="str">
        <f t="array" ref="H76">iferror(if(and(countif(Elims!$M$4:$M$27,$A76),Elims!$J$3="y"),-973,index(Avgs!H:H,match($A76,Avgs!$A:$A,0))), )</f>
        <v/>
      </c>
      <c r="I76" s="56" t="str">
        <f t="array" ref="I76">iferror(if(and(countif(Elims!$M$4:$M$27,$A76),Elims!$J$3="y"),-973,index(Avgs!I:I,match($A76,Avgs!$A:$A,0))), )</f>
        <v/>
      </c>
      <c r="J76" s="56" t="str">
        <f t="array" ref="J76">iferror(if(and(countif(Elims!$M$4:$M$27,$A76),Elims!$J$3="y"),-973,index(Avgs!J:J,match($A76,Avgs!$A:$A,0))), )</f>
        <v/>
      </c>
      <c r="K76" s="51" t="str">
        <f t="array" ref="K76">iferror(if(and(countif(Elims!$M$4:$M$27,$A76),Elims!$J$3="y"),-973,index(Avgs!K:K,match($A76,Avgs!$A:$A,0))), )</f>
        <v/>
      </c>
      <c r="L76" s="51" t="str">
        <f t="array" ref="L76">iferror(if(and(countif(Elims!$M$4:$M$27,$A76),Elims!$J$3="y"),-973,index(Avgs!L:L,match($A76,Avgs!$A:$A,0))), )</f>
        <v/>
      </c>
      <c r="M76" s="56" t="str">
        <f t="array" ref="M76">iferror(if(and(countif(Elims!$M$4:$M$27,$A76),Elims!$J$3="y"),-973,index(Avgs!M:M,match($A76,Avgs!$A:$A,0))), )</f>
        <v/>
      </c>
      <c r="N76" s="56" t="str">
        <f t="array" ref="N76">iferror(if(and(countif(Elims!$M$4:$M$27,$A76),Elims!$J$3="y"),-973,index(Avgs!N:N,match($A76,Avgs!$A:$A,0))), )</f>
        <v/>
      </c>
      <c r="O76" s="51" t="str">
        <f t="array" ref="O76">iferror(if(and(countif(Elims!$M$4:$M$27,$A76),Elims!$J$3="y"),-973,index(Avgs!O:O,match($A76,Avgs!$A:$A,0))), )</f>
        <v/>
      </c>
      <c r="P76" s="51" t="str">
        <f t="array" ref="P76">iferror(if(and(countif(Elims!$M$4:$M$27,$A76),Elims!$J$3="y"),-973,index(Avgs!P:P,match($A76,Avgs!$A:$A,0))), )</f>
        <v/>
      </c>
      <c r="Q76" s="51" t="str">
        <f t="array" ref="Q76">iferror(if(and(countif(Elims!$M$4:$M$27,$A76),Elims!$J$3="y"),-973,index(Avgs!Q:Q,match($A76,Avgs!$A:$A,0))), )</f>
        <v/>
      </c>
      <c r="R76" s="58" t="str">
        <f>'Component OPR Dump'!E75</f>
        <v/>
      </c>
      <c r="S76" s="58" t="str">
        <f>'Component OPR Dump'!C75</f>
        <v/>
      </c>
      <c r="T76" s="58" t="str">
        <f>'Component OPR Dump'!H75</f>
        <v/>
      </c>
      <c r="U76" s="58" t="str">
        <f>'Component OPR Dump'!G75</f>
        <v/>
      </c>
      <c r="V76" s="58" t="str">
        <f>'Component OPR Dump'!F75</f>
        <v/>
      </c>
      <c r="W76" s="58" t="str">
        <f>'Component OPR Dump'!I75</f>
        <v/>
      </c>
      <c r="X76" s="63" t="str">
        <f>iferror(sumif('Raw Data'!$Q:$Q,$A76,'Raw Data'!L:L)/countif('Raw Data'!$Q:$Q,$A76), )</f>
        <v/>
      </c>
    </row>
    <row r="77">
      <c r="A77" s="72"/>
      <c r="B77" s="51" t="str">
        <f t="array" ref="B77">iferror(if(and(countif(Elims!$M$4:$M$27,$A77),Elims!$J$3="y"),-973,index(Avgs!B:B,match($A77,Avgs!$A:$A,0))), )</f>
        <v/>
      </c>
      <c r="C77" s="51" t="str">
        <f t="array" ref="C77">iferror(if(and(countif(Elims!$M$4:$M$27,$A77),Elims!$J$3="y"),-973,index(Avgs!C:C,match($A77,Avgs!$A:$A,0))), )</f>
        <v/>
      </c>
      <c r="D77" s="56" t="str">
        <f t="array" ref="D77">iferror(if(and(countif(Elims!$M$4:$M$27,$A77),Elims!$J$3="y"),-973,index(Avgs!D:D,match($A77,Avgs!$A:$A,0))), )</f>
        <v/>
      </c>
      <c r="E77" s="56" t="str">
        <f t="array" ref="E77">iferror(if(and(countif(Elims!$M$4:$M$27,$A77),Elims!$J$3="y"),-973,index(Avgs!E:E,match($A77,Avgs!$A:$A,0))), )</f>
        <v/>
      </c>
      <c r="F77" s="56" t="str">
        <f t="array" ref="F77">iferror(if(and(countif(Elims!$M$4:$M$27,$A77),Elims!$J$3="y"),-973,index(Avgs!F:F,match($A77,Avgs!$A:$A,0))), )</f>
        <v/>
      </c>
      <c r="G77" s="56" t="str">
        <f t="array" ref="G77">iferror(if(and(countif(Elims!$M$4:$M$27,$A77),Elims!$J$3="y"),-973,index(Avgs!G:G,match($A77,Avgs!$A:$A,0))), )</f>
        <v/>
      </c>
      <c r="H77" s="56" t="str">
        <f t="array" ref="H77">iferror(if(and(countif(Elims!$M$4:$M$27,$A77),Elims!$J$3="y"),-973,index(Avgs!H:H,match($A77,Avgs!$A:$A,0))), )</f>
        <v/>
      </c>
      <c r="I77" s="56" t="str">
        <f t="array" ref="I77">iferror(if(and(countif(Elims!$M$4:$M$27,$A77),Elims!$J$3="y"),-973,index(Avgs!I:I,match($A77,Avgs!$A:$A,0))), )</f>
        <v/>
      </c>
      <c r="J77" s="56" t="str">
        <f t="array" ref="J77">iferror(if(and(countif(Elims!$M$4:$M$27,$A77),Elims!$J$3="y"),-973,index(Avgs!J:J,match($A77,Avgs!$A:$A,0))), )</f>
        <v/>
      </c>
      <c r="K77" s="51" t="str">
        <f t="array" ref="K77">iferror(if(and(countif(Elims!$M$4:$M$27,$A77),Elims!$J$3="y"),-973,index(Avgs!K:K,match($A77,Avgs!$A:$A,0))), )</f>
        <v/>
      </c>
      <c r="L77" s="51" t="str">
        <f t="array" ref="L77">iferror(if(and(countif(Elims!$M$4:$M$27,$A77),Elims!$J$3="y"),-973,index(Avgs!L:L,match($A77,Avgs!$A:$A,0))), )</f>
        <v/>
      </c>
      <c r="M77" s="56" t="str">
        <f t="array" ref="M77">iferror(if(and(countif(Elims!$M$4:$M$27,$A77),Elims!$J$3="y"),-973,index(Avgs!M:M,match($A77,Avgs!$A:$A,0))), )</f>
        <v/>
      </c>
      <c r="N77" s="56" t="str">
        <f t="array" ref="N77">iferror(if(and(countif(Elims!$M$4:$M$27,$A77),Elims!$J$3="y"),-973,index(Avgs!N:N,match($A77,Avgs!$A:$A,0))), )</f>
        <v/>
      </c>
      <c r="O77" s="51" t="str">
        <f t="array" ref="O77">iferror(if(and(countif(Elims!$M$4:$M$27,$A77),Elims!$J$3="y"),-973,index(Avgs!O:O,match($A77,Avgs!$A:$A,0))), )</f>
        <v/>
      </c>
      <c r="P77" s="51" t="str">
        <f t="array" ref="P77">iferror(if(and(countif(Elims!$M$4:$M$27,$A77),Elims!$J$3="y"),-973,index(Avgs!P:P,match($A77,Avgs!$A:$A,0))), )</f>
        <v/>
      </c>
      <c r="Q77" s="51" t="str">
        <f t="array" ref="Q77">iferror(if(and(countif(Elims!$M$4:$M$27,$A77),Elims!$J$3="y"),-973,index(Avgs!Q:Q,match($A77,Avgs!$A:$A,0))), )</f>
        <v/>
      </c>
      <c r="R77" s="58" t="str">
        <f>'Component OPR Dump'!E76</f>
        <v/>
      </c>
      <c r="S77" s="58" t="str">
        <f>'Component OPR Dump'!C76</f>
        <v/>
      </c>
      <c r="T77" s="58" t="str">
        <f>'Component OPR Dump'!H76</f>
        <v/>
      </c>
      <c r="U77" s="58" t="str">
        <f>'Component OPR Dump'!G76</f>
        <v/>
      </c>
      <c r="V77" s="58" t="str">
        <f>'Component OPR Dump'!F76</f>
        <v/>
      </c>
      <c r="W77" s="58" t="str">
        <f>'Component OPR Dump'!I76</f>
        <v/>
      </c>
      <c r="X77" s="63" t="str">
        <f>iferror(sumif('Raw Data'!$Q:$Q,$A77,'Raw Data'!L:L)/countif('Raw Data'!$Q:$Q,$A77), )</f>
        <v/>
      </c>
    </row>
  </sheetData>
  <mergeCells count="12">
    <mergeCell ref="R1:W1"/>
    <mergeCell ref="X1:X2"/>
    <mergeCell ref="D1:E1"/>
    <mergeCell ref="F1:G1"/>
    <mergeCell ref="B1:C1"/>
    <mergeCell ref="O1:Q1"/>
    <mergeCell ref="K1:L1"/>
    <mergeCell ref="I1:J1"/>
    <mergeCell ref="M1:M2"/>
    <mergeCell ref="N1:N2"/>
    <mergeCell ref="A1:A2"/>
    <mergeCell ref="H1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0" width="5.86"/>
    <col customWidth="1" min="11" max="11" width="3.0"/>
    <col customWidth="1" min="12" max="15" width="5.86"/>
    <col customWidth="1" min="16" max="16" width="3.0"/>
    <col customWidth="1" min="17" max="17" width="11.57"/>
  </cols>
  <sheetData>
    <row r="1">
      <c r="A1" s="73" t="s">
        <v>45</v>
      </c>
      <c r="B1" s="74"/>
      <c r="C1" s="74"/>
      <c r="D1" s="74"/>
      <c r="E1" s="74"/>
      <c r="F1" s="74"/>
      <c r="G1" s="74"/>
      <c r="H1" s="74"/>
      <c r="I1" s="74"/>
      <c r="J1" s="74"/>
      <c r="K1" s="75"/>
      <c r="L1" s="76" t="s">
        <v>46</v>
      </c>
      <c r="M1" s="12"/>
      <c r="N1" s="12"/>
      <c r="O1" s="7"/>
      <c r="P1" s="77"/>
      <c r="Q1" s="78" t="s">
        <v>47</v>
      </c>
    </row>
    <row r="2">
      <c r="A2" s="49" t="s">
        <v>48</v>
      </c>
      <c r="B2" s="49" t="s">
        <v>1</v>
      </c>
      <c r="C2" s="79" t="s">
        <v>49</v>
      </c>
      <c r="D2" s="79" t="s">
        <v>50</v>
      </c>
      <c r="E2" s="79" t="s">
        <v>51</v>
      </c>
      <c r="F2" s="79" t="s">
        <v>52</v>
      </c>
      <c r="G2" s="79" t="s">
        <v>53</v>
      </c>
      <c r="H2" s="80" t="s">
        <v>54</v>
      </c>
      <c r="I2" s="79" t="s">
        <v>55</v>
      </c>
      <c r="J2" s="79" t="s">
        <v>56</v>
      </c>
      <c r="K2" s="77"/>
      <c r="L2" s="81" t="s">
        <v>48</v>
      </c>
      <c r="M2" s="81" t="s">
        <v>1</v>
      </c>
      <c r="N2" s="82" t="s">
        <v>52</v>
      </c>
      <c r="O2" s="82" t="s">
        <v>50</v>
      </c>
      <c r="P2" s="77"/>
      <c r="Q2" s="83">
        <f>sum(J3:J102)/6</f>
        <v>35.5</v>
      </c>
    </row>
    <row r="3">
      <c r="A3" s="83">
        <v>1.0</v>
      </c>
      <c r="B3" s="83">
        <v>1671.0</v>
      </c>
      <c r="C3" s="83">
        <v>8.0</v>
      </c>
      <c r="D3" s="83">
        <v>642.0</v>
      </c>
      <c r="E3" s="83">
        <v>71.0</v>
      </c>
      <c r="F3" s="83">
        <v>360.0</v>
      </c>
      <c r="G3" s="83">
        <v>200.0</v>
      </c>
      <c r="H3" s="80" t="s">
        <v>57</v>
      </c>
      <c r="I3" s="83" t="s">
        <v>58</v>
      </c>
      <c r="J3" s="83">
        <v>4.0</v>
      </c>
      <c r="K3" s="77"/>
      <c r="L3" s="81">
        <v>1.0</v>
      </c>
      <c r="M3" s="84">
        <f t="array" ref="M3">if($Q$6="n",0,index('Match Sched'!AJ$3:AJ102,match($L3,'Match Sched'!$AI$3:$AI102,0)))</f>
        <v>0</v>
      </c>
      <c r="N3" s="84">
        <f t="array" ref="N3">if($Q$6="n",0,index('Match Sched'!AK$3:AK102,match($L3,'Match Sched'!$AI$3:$AI102,0)))</f>
        <v>0</v>
      </c>
      <c r="O3" s="84">
        <f t="array" ref="O3">if($Q$6="n",0,ROUND(index('Match Sched'!AL$3:AL102,match($L3,'Match Sched'!$AI$3:$AI102,0)),1))</f>
        <v>0</v>
      </c>
      <c r="P3" s="85"/>
      <c r="Q3" s="86"/>
    </row>
    <row r="4">
      <c r="A4" s="83">
        <v>2.0</v>
      </c>
      <c r="B4" s="83">
        <v>4276.0</v>
      </c>
      <c r="C4" s="79">
        <v>8.0</v>
      </c>
      <c r="D4" s="79">
        <v>837.0</v>
      </c>
      <c r="E4" s="79">
        <v>40.0</v>
      </c>
      <c r="F4" s="79">
        <v>360.0</v>
      </c>
      <c r="G4" s="79">
        <v>400.0</v>
      </c>
      <c r="H4" s="80" t="s">
        <v>59</v>
      </c>
      <c r="I4" s="79" t="s">
        <v>60</v>
      </c>
      <c r="J4" s="79">
        <v>5.0</v>
      </c>
      <c r="K4" s="77"/>
      <c r="L4" s="81">
        <v>2.0</v>
      </c>
      <c r="M4" s="84">
        <f t="array" ref="M4">if($Q$6="n",0,index('Match Sched'!AJ$3:AJ102,match($L4,'Match Sched'!$AI$3:$AI102,0)))</f>
        <v>0</v>
      </c>
      <c r="N4" s="84">
        <f t="array" ref="N4">if($Q$6="n",0,index('Match Sched'!AK$3:AK102,match($L4,'Match Sched'!$AI$3:$AI102,0)))</f>
        <v>0</v>
      </c>
      <c r="O4" s="84">
        <f t="array" ref="O4">if($Q$6="n",0,ROUND(index('Match Sched'!AL$3:AL102,match($L4,'Match Sched'!$AI$3:$AI102,0)),1))</f>
        <v>0</v>
      </c>
      <c r="P4" s="77"/>
      <c r="Q4" s="87" t="s">
        <v>61</v>
      </c>
    </row>
    <row r="5">
      <c r="A5" s="83">
        <v>3.0</v>
      </c>
      <c r="B5" s="83">
        <v>3256.0</v>
      </c>
      <c r="C5" s="79">
        <v>8.0</v>
      </c>
      <c r="D5" s="79">
        <v>778.0</v>
      </c>
      <c r="E5" s="79">
        <v>180.0</v>
      </c>
      <c r="F5" s="79">
        <v>360.0</v>
      </c>
      <c r="G5" s="79">
        <v>300.0</v>
      </c>
      <c r="H5" s="80" t="s">
        <v>62</v>
      </c>
      <c r="I5" s="79" t="s">
        <v>60</v>
      </c>
      <c r="J5" s="79">
        <v>5.0</v>
      </c>
      <c r="K5" s="77"/>
      <c r="L5" s="81">
        <v>3.0</v>
      </c>
      <c r="M5" s="84">
        <f t="array" ref="M5">if($Q$6="n",0,index('Match Sched'!AJ$3:AJ102,match($L5,'Match Sched'!$AI$3:$AI102,0)))</f>
        <v>0</v>
      </c>
      <c r="N5" s="84">
        <f t="array" ref="N5">if($Q$6="n",0,index('Match Sched'!AK$3:AK102,match($L5,'Match Sched'!$AI$3:$AI102,0)))</f>
        <v>0</v>
      </c>
      <c r="O5" s="84">
        <f t="array" ref="O5">if($Q$6="n",0,ROUND(index('Match Sched'!AL$3:AL102,match($L5,'Match Sched'!$AI$3:$AI102,0)),1))</f>
        <v>0</v>
      </c>
      <c r="P5" s="77"/>
      <c r="Q5" s="28"/>
    </row>
    <row r="6">
      <c r="A6" s="83">
        <v>4.0</v>
      </c>
      <c r="B6" s="83">
        <v>6699.0</v>
      </c>
      <c r="C6" s="79">
        <v>8.0</v>
      </c>
      <c r="D6" s="79">
        <v>707.0</v>
      </c>
      <c r="E6" s="79">
        <v>120.0</v>
      </c>
      <c r="F6" s="79">
        <v>420.0</v>
      </c>
      <c r="G6" s="79">
        <v>200.0</v>
      </c>
      <c r="H6" s="80" t="s">
        <v>63</v>
      </c>
      <c r="I6" s="79" t="s">
        <v>60</v>
      </c>
      <c r="J6" s="79">
        <v>5.0</v>
      </c>
      <c r="K6" s="77"/>
      <c r="L6" s="81">
        <v>4.0</v>
      </c>
      <c r="M6" s="84">
        <f t="array" ref="M6">if($Q$6="n",0,index('Match Sched'!AJ$3:AJ102,match($L6,'Match Sched'!$AI$3:$AI102,0)))</f>
        <v>0</v>
      </c>
      <c r="N6" s="84">
        <f t="array" ref="N6">if($Q$6="n",0,index('Match Sched'!AK$3:AK102,match($L6,'Match Sched'!$AI$3:$AI102,0)))</f>
        <v>0</v>
      </c>
      <c r="O6" s="84">
        <f t="array" ref="O6">if($Q$6="n",0,ROUND(index('Match Sched'!AL$3:AL102,match($L6,'Match Sched'!$AI$3:$AI102,0)),1))</f>
        <v>0</v>
      </c>
      <c r="P6" s="77"/>
      <c r="Q6" s="83" t="s">
        <v>64</v>
      </c>
    </row>
    <row r="7">
      <c r="A7" s="83">
        <v>5.0</v>
      </c>
      <c r="B7" s="83">
        <v>5104.0</v>
      </c>
      <c r="C7" s="79">
        <v>6.0</v>
      </c>
      <c r="D7" s="79">
        <v>650.0</v>
      </c>
      <c r="E7" s="79">
        <v>125.0</v>
      </c>
      <c r="F7" s="79">
        <v>340.0</v>
      </c>
      <c r="G7" s="79">
        <v>200.0</v>
      </c>
      <c r="H7" s="80" t="s">
        <v>65</v>
      </c>
      <c r="I7" s="79" t="s">
        <v>58</v>
      </c>
      <c r="J7" s="79">
        <v>5.0</v>
      </c>
      <c r="K7" s="77"/>
      <c r="L7" s="81">
        <v>5.0</v>
      </c>
      <c r="M7" s="84">
        <f t="array" ref="M7">if($Q$6="n",0,index('Match Sched'!AJ$3:AJ102,match($L7,'Match Sched'!$AI$3:$AI102,0)))</f>
        <v>0</v>
      </c>
      <c r="N7" s="84">
        <f t="array" ref="N7">if($Q$6="n",0,index('Match Sched'!AK$3:AK102,match($L7,'Match Sched'!$AI$3:$AI102,0)))</f>
        <v>0</v>
      </c>
      <c r="O7" s="84">
        <f t="array" ref="O7">if($Q$6="n",0,ROUND(index('Match Sched'!AL$3:AL102,match($L7,'Match Sched'!$AI$3:$AI102,0)),1))</f>
        <v>0</v>
      </c>
      <c r="P7" s="85"/>
      <c r="Q7" s="88"/>
    </row>
    <row r="8">
      <c r="A8" s="83">
        <v>6.0</v>
      </c>
      <c r="B8" s="83">
        <v>973.0</v>
      </c>
      <c r="C8" s="79">
        <v>6.0</v>
      </c>
      <c r="D8" s="79">
        <v>822.0</v>
      </c>
      <c r="E8" s="79">
        <v>144.0</v>
      </c>
      <c r="F8" s="79">
        <v>380.0</v>
      </c>
      <c r="G8" s="79">
        <v>300.0</v>
      </c>
      <c r="H8" s="80" t="s">
        <v>66</v>
      </c>
      <c r="I8" s="79" t="s">
        <v>67</v>
      </c>
      <c r="J8" s="79">
        <v>4.0</v>
      </c>
      <c r="K8" s="77"/>
      <c r="L8" s="81">
        <v>6.0</v>
      </c>
      <c r="M8" s="84">
        <f t="array" ref="M8">if($Q$6="n",0,index('Match Sched'!AJ$3:AJ102,match($L8,'Match Sched'!$AI$3:$AI102,0)))</f>
        <v>0</v>
      </c>
      <c r="N8" s="84">
        <f t="array" ref="N8">if($Q$6="n",0,index('Match Sched'!AK$3:AK102,match($L8,'Match Sched'!$AI$3:$AI102,0)))</f>
        <v>0</v>
      </c>
      <c r="O8" s="84">
        <f t="array" ref="O8">if($Q$6="n",0,ROUND(index('Match Sched'!AL$3:AL102,match($L8,'Match Sched'!$AI$3:$AI102,0)),1))</f>
        <v>0</v>
      </c>
      <c r="P8" s="85"/>
      <c r="Q8" s="89"/>
    </row>
    <row r="9">
      <c r="A9" s="83">
        <v>7.0</v>
      </c>
      <c r="B9" s="83">
        <v>1678.0</v>
      </c>
      <c r="C9" s="79">
        <v>6.0</v>
      </c>
      <c r="D9" s="79">
        <v>740.0</v>
      </c>
      <c r="E9" s="79">
        <v>122.0</v>
      </c>
      <c r="F9" s="79">
        <v>360.0</v>
      </c>
      <c r="G9" s="79">
        <v>200.0</v>
      </c>
      <c r="H9" s="80" t="s">
        <v>68</v>
      </c>
      <c r="I9" s="79" t="s">
        <v>69</v>
      </c>
      <c r="J9" s="79">
        <v>4.0</v>
      </c>
      <c r="K9" s="77"/>
      <c r="L9" s="81">
        <v>7.0</v>
      </c>
      <c r="M9" s="84">
        <f t="array" ref="M9">if($Q$6="n",0,index('Match Sched'!AJ$3:AJ102,match($L9,'Match Sched'!$AI$3:$AI102,0)))</f>
        <v>0</v>
      </c>
      <c r="N9" s="84">
        <f t="array" ref="N9">if($Q$6="n",0,index('Match Sched'!AK$3:AK102,match($L9,'Match Sched'!$AI$3:$AI102,0)))</f>
        <v>0</v>
      </c>
      <c r="O9" s="84">
        <f t="array" ref="O9">if($Q$6="n",0,ROUND(index('Match Sched'!AL$3:AL102,match($L9,'Match Sched'!$AI$3:$AI102,0)),1))</f>
        <v>0</v>
      </c>
      <c r="P9" s="85"/>
    </row>
    <row r="10">
      <c r="A10" s="83">
        <v>8.0</v>
      </c>
      <c r="B10" s="83">
        <v>1662.0</v>
      </c>
      <c r="C10" s="79">
        <v>6.0</v>
      </c>
      <c r="D10" s="79">
        <v>710.0</v>
      </c>
      <c r="E10" s="79">
        <v>100.0</v>
      </c>
      <c r="F10" s="79">
        <v>340.0</v>
      </c>
      <c r="G10" s="79">
        <v>250.0</v>
      </c>
      <c r="H10" s="80" t="s">
        <v>70</v>
      </c>
      <c r="I10" s="79" t="s">
        <v>69</v>
      </c>
      <c r="J10" s="79">
        <v>4.0</v>
      </c>
      <c r="K10" s="77"/>
      <c r="L10" s="81">
        <v>8.0</v>
      </c>
      <c r="M10" s="84">
        <f t="array" ref="M10">if($Q$6="n",0,index('Match Sched'!AJ$3:AJ102,match($L10,'Match Sched'!$AI$3:$AI102,0)))</f>
        <v>0</v>
      </c>
      <c r="N10" s="84">
        <f t="array" ref="N10">if($Q$6="n",0,index('Match Sched'!AK$3:AK102,match($L10,'Match Sched'!$AI$3:$AI102,0)))</f>
        <v>0</v>
      </c>
      <c r="O10" s="84">
        <f t="array" ref="O10">if($Q$6="n",0,ROUND(index('Match Sched'!AL$3:AL102,match($L10,'Match Sched'!$AI$3:$AI102,0)),1))</f>
        <v>0</v>
      </c>
      <c r="P10" s="85"/>
    </row>
    <row r="11">
      <c r="A11" s="83">
        <v>9.0</v>
      </c>
      <c r="B11" s="83">
        <v>3303.0</v>
      </c>
      <c r="C11" s="79">
        <v>6.0</v>
      </c>
      <c r="D11" s="79">
        <v>620.0</v>
      </c>
      <c r="E11" s="79">
        <v>40.0</v>
      </c>
      <c r="F11" s="79">
        <v>280.0</v>
      </c>
      <c r="G11" s="79">
        <v>250.0</v>
      </c>
      <c r="H11" s="80" t="s">
        <v>70</v>
      </c>
      <c r="I11" s="79" t="s">
        <v>69</v>
      </c>
      <c r="J11" s="79">
        <v>4.0</v>
      </c>
      <c r="K11" s="77"/>
      <c r="L11" s="81">
        <v>9.0</v>
      </c>
      <c r="M11" s="84">
        <f t="array" ref="M11">if($Q$6="n",0,index('Match Sched'!AJ$3:AJ102,match($L11,'Match Sched'!$AI$3:$AI102,0)))</f>
        <v>0</v>
      </c>
      <c r="N11" s="84">
        <f t="array" ref="N11">if($Q$6="n",0,index('Match Sched'!AK$3:AK102,match($L11,'Match Sched'!$AI$3:$AI102,0)))</f>
        <v>0</v>
      </c>
      <c r="O11" s="84">
        <f t="array" ref="O11">if($Q$6="n",0,ROUND(index('Match Sched'!AL$3:AL102,match($L11,'Match Sched'!$AI$3:$AI102,0)),1))</f>
        <v>0</v>
      </c>
      <c r="P11" s="85"/>
      <c r="Q11" s="90"/>
    </row>
    <row r="12">
      <c r="A12" s="83">
        <v>10.0</v>
      </c>
      <c r="B12" s="83">
        <v>5852.0</v>
      </c>
      <c r="C12" s="79">
        <v>6.0</v>
      </c>
      <c r="D12" s="79">
        <v>555.0</v>
      </c>
      <c r="E12" s="79">
        <v>30.0</v>
      </c>
      <c r="F12" s="79">
        <v>240.0</v>
      </c>
      <c r="G12" s="79">
        <v>250.0</v>
      </c>
      <c r="H12" s="80" t="s">
        <v>71</v>
      </c>
      <c r="I12" s="79" t="s">
        <v>69</v>
      </c>
      <c r="J12" s="79">
        <v>4.0</v>
      </c>
      <c r="K12" s="77"/>
      <c r="L12" s="81">
        <v>10.0</v>
      </c>
      <c r="M12" s="84">
        <f t="array" ref="M12">if($Q$6="n",0,index('Match Sched'!AJ$3:AJ102,match($L12,'Match Sched'!$AI$3:$AI102,0)))</f>
        <v>0</v>
      </c>
      <c r="N12" s="84">
        <f t="array" ref="N12">if($Q$6="n",0,index('Match Sched'!AK$3:AK102,match($L12,'Match Sched'!$AI$3:$AI102,0)))</f>
        <v>0</v>
      </c>
      <c r="O12" s="84">
        <f t="array" ref="O12">if($Q$6="n",0,ROUND(index('Match Sched'!AL$3:AL102,match($L12,'Match Sched'!$AI$3:$AI102,0)),1))</f>
        <v>0</v>
      </c>
      <c r="P12" s="85"/>
      <c r="Q12" s="90"/>
    </row>
    <row r="13">
      <c r="A13" s="83">
        <v>11.0</v>
      </c>
      <c r="B13" s="83">
        <v>2085.0</v>
      </c>
      <c r="C13" s="79">
        <v>6.0</v>
      </c>
      <c r="D13" s="79">
        <v>523.0</v>
      </c>
      <c r="E13" s="79">
        <v>35.0</v>
      </c>
      <c r="F13" s="79">
        <v>280.0</v>
      </c>
      <c r="G13" s="79">
        <v>200.0</v>
      </c>
      <c r="H13" s="80" t="s">
        <v>72</v>
      </c>
      <c r="I13" s="79" t="s">
        <v>69</v>
      </c>
      <c r="J13" s="79">
        <v>4.0</v>
      </c>
      <c r="K13" s="77"/>
      <c r="L13" s="81">
        <v>11.0</v>
      </c>
      <c r="M13" s="84">
        <f t="array" ref="M13">if($Q$6="n",0,index('Match Sched'!AJ$3:AJ102,match($L13,'Match Sched'!$AI$3:$AI102,0)))</f>
        <v>0</v>
      </c>
      <c r="N13" s="84">
        <f t="array" ref="N13">if($Q$6="n",0,index('Match Sched'!AK$3:AK102,match($L13,'Match Sched'!$AI$3:$AI102,0)))</f>
        <v>0</v>
      </c>
      <c r="O13" s="84">
        <f t="array" ref="O13">if($Q$6="n",0,ROUND(index('Match Sched'!AL$3:AL102,match($L13,'Match Sched'!$AI$3:$AI102,0)),1))</f>
        <v>0</v>
      </c>
      <c r="P13" s="85"/>
      <c r="Q13" s="90"/>
    </row>
    <row r="14">
      <c r="A14" s="83">
        <v>12.0</v>
      </c>
      <c r="B14" s="83">
        <v>2761.0</v>
      </c>
      <c r="C14" s="79">
        <v>6.0</v>
      </c>
      <c r="D14" s="79">
        <v>510.0</v>
      </c>
      <c r="E14" s="79">
        <v>85.0</v>
      </c>
      <c r="F14" s="79">
        <v>300.0</v>
      </c>
      <c r="G14" s="79">
        <v>150.0</v>
      </c>
      <c r="H14" s="80" t="s">
        <v>70</v>
      </c>
      <c r="I14" s="79" t="s">
        <v>69</v>
      </c>
      <c r="J14" s="79">
        <v>4.0</v>
      </c>
      <c r="K14" s="77"/>
      <c r="L14" s="81">
        <v>12.0</v>
      </c>
      <c r="M14" s="84">
        <f t="array" ref="M14">if($Q$6="n",0,index('Match Sched'!AJ$3:AJ102,match($L14,'Match Sched'!$AI$3:$AI102,0)))</f>
        <v>0</v>
      </c>
      <c r="N14" s="84">
        <f t="array" ref="N14">if($Q$6="n",0,index('Match Sched'!AK$3:AK102,match($L14,'Match Sched'!$AI$3:$AI102,0)))</f>
        <v>0</v>
      </c>
      <c r="O14" s="84">
        <f t="array" ref="O14">if($Q$6="n",0,ROUND(index('Match Sched'!AL$3:AL102,match($L14,'Match Sched'!$AI$3:$AI102,0)),1))</f>
        <v>0</v>
      </c>
      <c r="P14" s="85"/>
      <c r="Q14" s="90"/>
    </row>
    <row r="15">
      <c r="A15" s="83">
        <v>13.0</v>
      </c>
      <c r="B15" s="83">
        <v>751.0</v>
      </c>
      <c r="C15" s="79">
        <v>6.0</v>
      </c>
      <c r="D15" s="79">
        <v>998.0</v>
      </c>
      <c r="E15" s="79">
        <v>190.0</v>
      </c>
      <c r="F15" s="79">
        <v>480.0</v>
      </c>
      <c r="G15" s="79">
        <v>400.0</v>
      </c>
      <c r="H15" s="80" t="s">
        <v>73</v>
      </c>
      <c r="I15" s="79" t="s">
        <v>74</v>
      </c>
      <c r="J15" s="79">
        <v>5.0</v>
      </c>
      <c r="K15" s="77"/>
      <c r="L15" s="81">
        <v>13.0</v>
      </c>
      <c r="M15" s="84">
        <f t="array" ref="M15">if($Q$6="n",0,index('Match Sched'!AJ$3:AJ102,match($L15,'Match Sched'!$AI$3:$AI102,0)))</f>
        <v>0</v>
      </c>
      <c r="N15" s="84">
        <f t="array" ref="N15">if($Q$6="n",0,index('Match Sched'!AK$3:AK102,match($L15,'Match Sched'!$AI$3:$AI102,0)))</f>
        <v>0</v>
      </c>
      <c r="O15" s="84">
        <f t="array" ref="O15">if($Q$6="n",0,ROUND(index('Match Sched'!AL$3:AL102,match($L15,'Match Sched'!$AI$3:$AI102,0)),1))</f>
        <v>0</v>
      </c>
      <c r="P15" s="85"/>
      <c r="Q15" s="90"/>
    </row>
    <row r="16">
      <c r="A16" s="83">
        <v>14.0</v>
      </c>
      <c r="B16" s="83">
        <v>2643.0</v>
      </c>
      <c r="C16" s="79">
        <v>4.0</v>
      </c>
      <c r="D16" s="79">
        <v>386.0</v>
      </c>
      <c r="E16" s="79">
        <v>35.0</v>
      </c>
      <c r="F16" s="79">
        <v>200.0</v>
      </c>
      <c r="G16" s="79">
        <v>100.0</v>
      </c>
      <c r="H16" s="80" t="s">
        <v>75</v>
      </c>
      <c r="I16" s="79" t="s">
        <v>76</v>
      </c>
      <c r="J16" s="79">
        <v>3.0</v>
      </c>
      <c r="K16" s="77"/>
      <c r="L16" s="81">
        <v>14.0</v>
      </c>
      <c r="M16" s="84">
        <f t="array" ref="M16">if($Q$6="n",0,index('Match Sched'!AJ$3:AJ102,match($L16,'Match Sched'!$AI$3:$AI102,0)))</f>
        <v>0</v>
      </c>
      <c r="N16" s="84">
        <f t="array" ref="N16">if($Q$6="n",0,index('Match Sched'!AK$3:AK102,match($L16,'Match Sched'!$AI$3:$AI102,0)))</f>
        <v>0</v>
      </c>
      <c r="O16" s="84">
        <f t="array" ref="O16">if($Q$6="n",0,ROUND(index('Match Sched'!AL$3:AL102,match($L16,'Match Sched'!$AI$3:$AI102,0)),1))</f>
        <v>0</v>
      </c>
      <c r="P16" s="85"/>
      <c r="Q16" s="91"/>
    </row>
    <row r="17">
      <c r="A17" s="83">
        <v>15.0</v>
      </c>
      <c r="B17" s="83">
        <v>6305.0</v>
      </c>
      <c r="C17" s="79">
        <v>6.0</v>
      </c>
      <c r="D17" s="79">
        <v>887.0</v>
      </c>
      <c r="E17" s="79">
        <v>105.0</v>
      </c>
      <c r="F17" s="79">
        <v>460.0</v>
      </c>
      <c r="G17" s="79">
        <v>300.0</v>
      </c>
      <c r="H17" s="80" t="s">
        <v>57</v>
      </c>
      <c r="I17" s="79" t="s">
        <v>77</v>
      </c>
      <c r="J17" s="79">
        <v>5.0</v>
      </c>
      <c r="K17" s="77"/>
      <c r="L17" s="81">
        <v>15.0</v>
      </c>
      <c r="M17" s="84">
        <f t="array" ref="M17">if($Q$6="n",0,index('Match Sched'!AJ$3:AJ102,match($L17,'Match Sched'!$AI$3:$AI102,0)))</f>
        <v>0</v>
      </c>
      <c r="N17" s="84">
        <f t="array" ref="N17">if($Q$6="n",0,index('Match Sched'!AK$3:AK102,match($L17,'Match Sched'!$AI$3:$AI102,0)))</f>
        <v>0</v>
      </c>
      <c r="O17" s="84">
        <f t="array" ref="O17">if($Q$6="n",0,ROUND(index('Match Sched'!AL$3:AL102,match($L17,'Match Sched'!$AI$3:$AI102,0)),1))</f>
        <v>0</v>
      </c>
      <c r="P17" s="85"/>
    </row>
    <row r="18">
      <c r="A18" s="83">
        <v>16.0</v>
      </c>
      <c r="B18" s="83">
        <v>4643.0</v>
      </c>
      <c r="C18" s="79">
        <v>6.0</v>
      </c>
      <c r="D18" s="79">
        <v>833.0</v>
      </c>
      <c r="E18" s="79">
        <v>137.0</v>
      </c>
      <c r="F18" s="79">
        <v>460.0</v>
      </c>
      <c r="G18" s="79">
        <v>200.0</v>
      </c>
      <c r="H18" s="80" t="s">
        <v>73</v>
      </c>
      <c r="I18" s="79" t="s">
        <v>77</v>
      </c>
      <c r="J18" s="79">
        <v>5.0</v>
      </c>
      <c r="K18" s="77"/>
      <c r="L18" s="81">
        <v>16.0</v>
      </c>
      <c r="M18" s="84">
        <f t="array" ref="M18">if($Q$6="n",0,index('Match Sched'!AJ$3:AJ102,match($L18,'Match Sched'!$AI$3:$AI102,0)))</f>
        <v>0</v>
      </c>
      <c r="N18" s="84">
        <f t="array" ref="N18">if($Q$6="n",0,index('Match Sched'!AK$3:AK102,match($L18,'Match Sched'!$AI$3:$AI102,0)))</f>
        <v>0</v>
      </c>
      <c r="O18" s="84">
        <f t="array" ref="O18">if($Q$6="n",0,ROUND(index('Match Sched'!AL$3:AL102,match($L18,'Match Sched'!$AI$3:$AI102,0)),1))</f>
        <v>0</v>
      </c>
      <c r="P18" s="85"/>
      <c r="Q18" s="88"/>
    </row>
    <row r="19">
      <c r="A19" s="83">
        <v>17.0</v>
      </c>
      <c r="B19" s="83">
        <v>1323.0</v>
      </c>
      <c r="C19" s="79">
        <v>6.0</v>
      </c>
      <c r="D19" s="79">
        <v>822.0</v>
      </c>
      <c r="E19" s="79">
        <v>121.0</v>
      </c>
      <c r="F19" s="79">
        <v>520.0</v>
      </c>
      <c r="G19" s="79">
        <v>150.0</v>
      </c>
      <c r="H19" s="80" t="s">
        <v>78</v>
      </c>
      <c r="I19" s="79" t="s">
        <v>77</v>
      </c>
      <c r="J19" s="79">
        <v>5.0</v>
      </c>
      <c r="K19" s="77"/>
      <c r="L19" s="81">
        <v>17.0</v>
      </c>
      <c r="M19" s="84">
        <f t="array" ref="M19">if($Q$6="n",0,index('Match Sched'!AJ$3:AJ102,match($L19,'Match Sched'!$AI$3:$AI102,0)))</f>
        <v>0</v>
      </c>
      <c r="N19" s="84">
        <f t="array" ref="N19">if($Q$6="n",0,index('Match Sched'!AK$3:AK102,match($L19,'Match Sched'!$AI$3:$AI102,0)))</f>
        <v>0</v>
      </c>
      <c r="O19" s="84">
        <f t="array" ref="O19">if($Q$6="n",0,ROUND(index('Match Sched'!AL$3:AL102,match($L19,'Match Sched'!$AI$3:$AI102,0)),1))</f>
        <v>0</v>
      </c>
      <c r="P19" s="85"/>
      <c r="Q19" s="92"/>
    </row>
    <row r="20">
      <c r="A20" s="83">
        <v>18.0</v>
      </c>
      <c r="B20" s="83">
        <v>5134.0</v>
      </c>
      <c r="C20" s="79">
        <v>6.0</v>
      </c>
      <c r="D20" s="79">
        <v>670.0</v>
      </c>
      <c r="E20" s="79">
        <v>40.0</v>
      </c>
      <c r="F20" s="79">
        <v>360.0</v>
      </c>
      <c r="G20" s="79">
        <v>200.0</v>
      </c>
      <c r="H20" s="80" t="s">
        <v>79</v>
      </c>
      <c r="I20" s="79" t="s">
        <v>77</v>
      </c>
      <c r="J20" s="79">
        <v>5.0</v>
      </c>
      <c r="K20" s="77"/>
      <c r="L20" s="81">
        <v>18.0</v>
      </c>
      <c r="M20" s="84">
        <f t="array" ref="M20">if($Q$6="n",0,index('Match Sched'!AJ$3:AJ102,match($L20,'Match Sched'!$AI$3:$AI102,0)))</f>
        <v>0</v>
      </c>
      <c r="N20" s="84">
        <f t="array" ref="N20">if($Q$6="n",0,index('Match Sched'!AK$3:AK102,match($L20,'Match Sched'!$AI$3:$AI102,0)))</f>
        <v>0</v>
      </c>
      <c r="O20" s="84">
        <f t="array" ref="O20">if($Q$6="n",0,ROUND(index('Match Sched'!AL$3:AL102,match($L20,'Match Sched'!$AI$3:$AI102,0)),1))</f>
        <v>0</v>
      </c>
      <c r="P20" s="85"/>
      <c r="Q20" s="88"/>
    </row>
    <row r="21">
      <c r="A21" s="83">
        <v>19.0</v>
      </c>
      <c r="B21" s="83">
        <v>3189.0</v>
      </c>
      <c r="C21" s="79">
        <v>6.0</v>
      </c>
      <c r="D21" s="79">
        <v>638.0</v>
      </c>
      <c r="E21" s="79">
        <v>175.0</v>
      </c>
      <c r="F21" s="79">
        <v>400.0</v>
      </c>
      <c r="G21" s="79">
        <v>150.0</v>
      </c>
      <c r="H21" s="80" t="s">
        <v>80</v>
      </c>
      <c r="I21" s="79" t="s">
        <v>77</v>
      </c>
      <c r="J21" s="79">
        <v>5.0</v>
      </c>
      <c r="K21" s="77"/>
      <c r="L21" s="81">
        <v>19.0</v>
      </c>
      <c r="M21" s="84">
        <f t="array" ref="M21">if($Q$6="n",0,index('Match Sched'!AJ$3:AJ102,match($L21,'Match Sched'!$AI$3:$AI102,0)))</f>
        <v>0</v>
      </c>
      <c r="N21" s="84">
        <f t="array" ref="N21">if($Q$6="n",0,index('Match Sched'!AK$3:AK102,match($L21,'Match Sched'!$AI$3:$AI102,0)))</f>
        <v>0</v>
      </c>
      <c r="O21" s="84">
        <f t="array" ref="O21">if($Q$6="n",0,ROUND(index('Match Sched'!AL$3:AL102,match($L21,'Match Sched'!$AI$3:$AI102,0)),1))</f>
        <v>0</v>
      </c>
      <c r="P21" s="85"/>
      <c r="Q21" s="88"/>
    </row>
    <row r="22">
      <c r="A22" s="83">
        <v>20.0</v>
      </c>
      <c r="B22" s="83">
        <v>1072.0</v>
      </c>
      <c r="C22" s="79">
        <v>4.0</v>
      </c>
      <c r="D22" s="79">
        <v>762.0</v>
      </c>
      <c r="E22" s="79">
        <v>225.0</v>
      </c>
      <c r="F22" s="79">
        <v>340.0</v>
      </c>
      <c r="G22" s="79">
        <v>350.0</v>
      </c>
      <c r="H22" s="80" t="s">
        <v>63</v>
      </c>
      <c r="I22" s="79" t="s">
        <v>81</v>
      </c>
      <c r="J22" s="79">
        <v>4.0</v>
      </c>
      <c r="K22" s="77"/>
      <c r="L22" s="81">
        <v>20.0</v>
      </c>
      <c r="M22" s="84">
        <f t="array" ref="M22">if($Q$6="n",0,index('Match Sched'!AJ$3:AJ102,match($L22,'Match Sched'!$AI$3:$AI102,0)))</f>
        <v>0</v>
      </c>
      <c r="N22" s="84">
        <f t="array" ref="N22">if($Q$6="n",0,index('Match Sched'!AK$3:AK102,match($L22,'Match Sched'!$AI$3:$AI102,0)))</f>
        <v>0</v>
      </c>
      <c r="O22" s="84">
        <f t="array" ref="O22">if($Q$6="n",0,ROUND(index('Match Sched'!AL$3:AL102,match($L22,'Match Sched'!$AI$3:$AI102,0)),1))</f>
        <v>0</v>
      </c>
      <c r="P22" s="85"/>
      <c r="Q22" s="88"/>
    </row>
    <row r="23">
      <c r="A23" s="83">
        <v>21.0</v>
      </c>
      <c r="B23" s="83">
        <v>4415.0</v>
      </c>
      <c r="C23" s="79">
        <v>5.0</v>
      </c>
      <c r="D23" s="79">
        <v>731.0</v>
      </c>
      <c r="E23" s="79">
        <v>55.0</v>
      </c>
      <c r="F23" s="79">
        <v>480.0</v>
      </c>
      <c r="G23" s="79">
        <v>150.0</v>
      </c>
      <c r="H23" s="80" t="s">
        <v>75</v>
      </c>
      <c r="I23" s="79" t="s">
        <v>82</v>
      </c>
      <c r="J23" s="79">
        <v>5.0</v>
      </c>
      <c r="K23" s="77"/>
      <c r="L23" s="81">
        <v>21.0</v>
      </c>
      <c r="M23" s="84">
        <f t="array" ref="M23">if($Q$6="n",0,index('Match Sched'!AJ$3:AJ102,match($L23,'Match Sched'!$AI$3:$AI102,0)))</f>
        <v>0</v>
      </c>
      <c r="N23" s="84">
        <f t="array" ref="N23">if($Q$6="n",0,index('Match Sched'!AK$3:AK102,match($L23,'Match Sched'!$AI$3:$AI102,0)))</f>
        <v>0</v>
      </c>
      <c r="O23" s="84">
        <f t="array" ref="O23">if($Q$6="n",0,ROUND(index('Match Sched'!AL$3:AL102,match($L23,'Match Sched'!$AI$3:$AI102,0)),1))</f>
        <v>0</v>
      </c>
      <c r="P23" s="85"/>
      <c r="Q23" s="88"/>
    </row>
    <row r="24">
      <c r="A24" s="83">
        <v>22.0</v>
      </c>
      <c r="B24" s="83">
        <v>852.0</v>
      </c>
      <c r="C24" s="79">
        <v>4.0</v>
      </c>
      <c r="D24" s="79">
        <v>660.0</v>
      </c>
      <c r="E24" s="79">
        <v>105.0</v>
      </c>
      <c r="F24" s="79">
        <v>340.0</v>
      </c>
      <c r="G24" s="79">
        <v>250.0</v>
      </c>
      <c r="H24" s="80" t="s">
        <v>70</v>
      </c>
      <c r="I24" s="79" t="s">
        <v>81</v>
      </c>
      <c r="J24" s="79">
        <v>4.0</v>
      </c>
      <c r="K24" s="77"/>
      <c r="L24" s="81">
        <v>22.0</v>
      </c>
      <c r="M24" s="84">
        <f t="array" ref="M24">if($Q$6="n",0,index('Match Sched'!AJ$3:AJ102,match($L24,'Match Sched'!$AI$3:$AI102,0)))</f>
        <v>0</v>
      </c>
      <c r="N24" s="84">
        <f t="array" ref="N24">if($Q$6="n",0,index('Match Sched'!AK$3:AK102,match($L24,'Match Sched'!$AI$3:$AI102,0)))</f>
        <v>0</v>
      </c>
      <c r="O24" s="84">
        <f t="array" ref="O24">if($Q$6="n",0,ROUND(index('Match Sched'!AL$3:AL102,match($L24,'Match Sched'!$AI$3:$AI102,0)),1))</f>
        <v>0</v>
      </c>
      <c r="P24" s="85"/>
      <c r="Q24" s="88"/>
    </row>
    <row r="25">
      <c r="A25" s="83">
        <v>23.0</v>
      </c>
      <c r="B25" s="83">
        <v>972.0</v>
      </c>
      <c r="C25" s="79">
        <v>4.0</v>
      </c>
      <c r="D25" s="79">
        <v>641.0</v>
      </c>
      <c r="E25" s="79">
        <v>59.0</v>
      </c>
      <c r="F25" s="79">
        <v>360.0</v>
      </c>
      <c r="G25" s="79">
        <v>200.0</v>
      </c>
      <c r="H25" s="80" t="s">
        <v>83</v>
      </c>
      <c r="I25" s="79" t="s">
        <v>81</v>
      </c>
      <c r="J25" s="79">
        <v>4.0</v>
      </c>
      <c r="K25" s="77"/>
      <c r="L25" s="81">
        <v>23.0</v>
      </c>
      <c r="M25" s="84">
        <f t="array" ref="M25">if($Q$6="n",0,index('Match Sched'!AJ$3:AJ102,match($L25,'Match Sched'!$AI$3:$AI102,0)))</f>
        <v>0</v>
      </c>
      <c r="N25" s="84">
        <f t="array" ref="N25">if($Q$6="n",0,index('Match Sched'!AK$3:AK102,match($L25,'Match Sched'!$AI$3:$AI102,0)))</f>
        <v>0</v>
      </c>
      <c r="O25" s="84">
        <f t="array" ref="O25">if($Q$6="n",0,ROUND(index('Match Sched'!AL$3:AL102,match($L25,'Match Sched'!$AI$3:$AI102,0)),1))</f>
        <v>0</v>
      </c>
      <c r="P25" s="85"/>
      <c r="Q25" s="88"/>
    </row>
    <row r="26">
      <c r="A26" s="83">
        <v>24.0</v>
      </c>
      <c r="B26" s="83">
        <v>1388.0</v>
      </c>
      <c r="C26" s="79">
        <v>4.0</v>
      </c>
      <c r="D26" s="79">
        <v>494.0</v>
      </c>
      <c r="E26" s="79">
        <v>20.0</v>
      </c>
      <c r="F26" s="79">
        <v>240.0</v>
      </c>
      <c r="G26" s="79">
        <v>200.0</v>
      </c>
      <c r="H26" s="80" t="s">
        <v>84</v>
      </c>
      <c r="I26" s="79" t="s">
        <v>81</v>
      </c>
      <c r="J26" s="79">
        <v>4.0</v>
      </c>
      <c r="K26" s="77"/>
      <c r="L26" s="81">
        <v>24.0</v>
      </c>
      <c r="M26" s="84">
        <f t="array" ref="M26">if($Q$6="n",0,index('Match Sched'!AJ$3:AJ102,match($L26,'Match Sched'!$AI$3:$AI102,0)))</f>
        <v>0</v>
      </c>
      <c r="N26" s="84">
        <f t="array" ref="N26">if($Q$6="n",0,index('Match Sched'!AK$3:AK102,match($L26,'Match Sched'!$AI$3:$AI102,0)))</f>
        <v>0</v>
      </c>
      <c r="O26" s="84">
        <f t="array" ref="O26">if($Q$6="n",0,ROUND(index('Match Sched'!AL$3:AL102,match($L26,'Match Sched'!$AI$3:$AI102,0)),1))</f>
        <v>0</v>
      </c>
      <c r="P26" s="85"/>
      <c r="Q26" s="88"/>
    </row>
    <row r="27">
      <c r="A27" s="83">
        <v>25.0</v>
      </c>
      <c r="B27" s="83">
        <v>6650.0</v>
      </c>
      <c r="C27" s="79">
        <v>3.0</v>
      </c>
      <c r="D27" s="79">
        <v>491.0</v>
      </c>
      <c r="E27" s="79">
        <v>110.0</v>
      </c>
      <c r="F27" s="79">
        <v>260.0</v>
      </c>
      <c r="G27" s="79">
        <v>150.0</v>
      </c>
      <c r="H27" s="80" t="s">
        <v>85</v>
      </c>
      <c r="I27" s="79" t="s">
        <v>86</v>
      </c>
      <c r="J27" s="79">
        <v>4.0</v>
      </c>
      <c r="K27" s="77"/>
      <c r="L27" s="81">
        <v>25.0</v>
      </c>
      <c r="M27" s="84">
        <f t="array" ref="M27">if($Q$6="n",0,index('Match Sched'!AJ$3:AJ102,match($L27,'Match Sched'!$AI$3:$AI102,0)))</f>
        <v>0</v>
      </c>
      <c r="N27" s="84">
        <f t="array" ref="N27">if($Q$6="n",0,index('Match Sched'!AK$3:AK102,match($L27,'Match Sched'!$AI$3:$AI102,0)))</f>
        <v>0</v>
      </c>
      <c r="O27" s="84">
        <f t="array" ref="O27">if($Q$6="n",0,ROUND(index('Match Sched'!AL$3:AL102,match($L27,'Match Sched'!$AI$3:$AI102,0)),1))</f>
        <v>0</v>
      </c>
      <c r="P27" s="85"/>
      <c r="Q27" s="88"/>
    </row>
    <row r="28">
      <c r="A28" s="83">
        <v>26.0</v>
      </c>
      <c r="B28" s="83">
        <v>2135.0</v>
      </c>
      <c r="C28" s="79">
        <v>4.0</v>
      </c>
      <c r="D28" s="79">
        <v>465.0</v>
      </c>
      <c r="E28" s="79">
        <v>25.0</v>
      </c>
      <c r="F28" s="79">
        <v>240.0</v>
      </c>
      <c r="G28" s="79">
        <v>200.0</v>
      </c>
      <c r="H28" s="80" t="s">
        <v>70</v>
      </c>
      <c r="I28" s="79" t="s">
        <v>76</v>
      </c>
      <c r="J28" s="79">
        <v>4.0</v>
      </c>
      <c r="K28" s="77"/>
      <c r="L28" s="81">
        <v>26.0</v>
      </c>
      <c r="M28" s="84">
        <f t="array" ref="M28">if($Q$6="n",0,index('Match Sched'!AJ$3:AJ102,match($L28,'Match Sched'!$AI$3:$AI102,0)))</f>
        <v>0</v>
      </c>
      <c r="N28" s="84">
        <f t="array" ref="N28">if($Q$6="n",0,index('Match Sched'!AK$3:AK102,match($L28,'Match Sched'!$AI$3:$AI102,0)))</f>
        <v>0</v>
      </c>
      <c r="O28" s="84">
        <f t="array" ref="O28">if($Q$6="n",0,ROUND(index('Match Sched'!AL$3:AL102,match($L28,'Match Sched'!$AI$3:$AI102,0)),1))</f>
        <v>0</v>
      </c>
      <c r="P28" s="85"/>
      <c r="Q28" s="88"/>
    </row>
    <row r="29">
      <c r="A29" s="83">
        <v>27.0</v>
      </c>
      <c r="B29" s="93">
        <v>6711.0</v>
      </c>
      <c r="C29" s="79">
        <v>4.0</v>
      </c>
      <c r="D29" s="79">
        <v>407.0</v>
      </c>
      <c r="E29" s="79">
        <v>85.0</v>
      </c>
      <c r="F29" s="79">
        <v>220.0</v>
      </c>
      <c r="G29" s="79">
        <v>150.0</v>
      </c>
      <c r="H29" s="80" t="s">
        <v>63</v>
      </c>
      <c r="I29" s="79" t="s">
        <v>76</v>
      </c>
      <c r="J29" s="79">
        <v>4.0</v>
      </c>
      <c r="K29" s="77"/>
      <c r="L29" s="81">
        <v>27.0</v>
      </c>
      <c r="M29" s="84">
        <f t="array" ref="M29">if($Q$6="n",0,index('Match Sched'!AJ$3:AJ102,match($L29,'Match Sched'!$AI$3:$AI102,0)))</f>
        <v>0</v>
      </c>
      <c r="N29" s="84">
        <f t="array" ref="N29">if($Q$6="n",0,index('Match Sched'!AK$3:AK102,match($L29,'Match Sched'!$AI$3:$AI102,0)))</f>
        <v>0</v>
      </c>
      <c r="O29" s="84">
        <f t="array" ref="O29">if($Q$6="n",0,ROUND(index('Match Sched'!AL$3:AL102,match($L29,'Match Sched'!$AI$3:$AI102,0)),1))</f>
        <v>0</v>
      </c>
      <c r="P29" s="85"/>
      <c r="Q29" s="88"/>
    </row>
    <row r="30">
      <c r="A30" s="83">
        <v>28.0</v>
      </c>
      <c r="B30" s="93">
        <v>6619.0</v>
      </c>
      <c r="C30" s="79">
        <v>4.0</v>
      </c>
      <c r="D30" s="79">
        <v>405.0</v>
      </c>
      <c r="E30" s="79">
        <v>30.0</v>
      </c>
      <c r="F30" s="79">
        <v>280.0</v>
      </c>
      <c r="G30" s="79">
        <v>50.0</v>
      </c>
      <c r="H30" s="80" t="s">
        <v>70</v>
      </c>
      <c r="I30" s="79" t="s">
        <v>81</v>
      </c>
      <c r="J30" s="79">
        <v>4.0</v>
      </c>
      <c r="K30" s="77"/>
      <c r="L30" s="81">
        <v>28.0</v>
      </c>
      <c r="M30" s="84">
        <f t="array" ref="M30">if($Q$6="n",0,index('Match Sched'!AJ$3:AJ102,match($L30,'Match Sched'!$AI$3:$AI102,0)))</f>
        <v>0</v>
      </c>
      <c r="N30" s="84">
        <f t="array" ref="N30">if($Q$6="n",0,index('Match Sched'!AK$3:AK102,match($L30,'Match Sched'!$AI$3:$AI102,0)))</f>
        <v>0</v>
      </c>
      <c r="O30" s="84">
        <f t="array" ref="O30">if($Q$6="n",0,ROUND(index('Match Sched'!AL$3:AL102,match($L30,'Match Sched'!$AI$3:$AI102,0)),1))</f>
        <v>0</v>
      </c>
      <c r="P30" s="85"/>
      <c r="Q30" s="88"/>
    </row>
    <row r="31">
      <c r="A31" s="83">
        <v>29.0</v>
      </c>
      <c r="B31" s="93">
        <v>1868.0</v>
      </c>
      <c r="C31" s="79">
        <v>4.0</v>
      </c>
      <c r="D31" s="79">
        <v>828.0</v>
      </c>
      <c r="E31" s="79">
        <v>150.0</v>
      </c>
      <c r="F31" s="79">
        <v>380.0</v>
      </c>
      <c r="G31" s="79">
        <v>300.0</v>
      </c>
      <c r="H31" s="80" t="s">
        <v>87</v>
      </c>
      <c r="I31" s="79" t="s">
        <v>88</v>
      </c>
      <c r="J31" s="79">
        <v>5.0</v>
      </c>
      <c r="K31" s="77"/>
      <c r="L31" s="81">
        <v>29.0</v>
      </c>
      <c r="M31" s="84">
        <f t="array" ref="M31">if($Q$6="n",0,index('Match Sched'!AJ$3:AJ102,match($L31,'Match Sched'!$AI$3:$AI102,0)))</f>
        <v>0</v>
      </c>
      <c r="N31" s="84">
        <f t="array" ref="N31">if($Q$6="n",0,index('Match Sched'!AK$3:AK102,match($L31,'Match Sched'!$AI$3:$AI102,0)))</f>
        <v>0</v>
      </c>
      <c r="O31" s="84">
        <f t="array" ref="O31">if($Q$6="n",0,ROUND(index('Match Sched'!AL$3:AL102,match($L31,'Match Sched'!$AI$3:$AI102,0)),1))</f>
        <v>0</v>
      </c>
      <c r="P31" s="85"/>
      <c r="Q31" s="88"/>
    </row>
    <row r="32">
      <c r="A32" s="83">
        <v>30.0</v>
      </c>
      <c r="B32" s="93">
        <v>3501.0</v>
      </c>
      <c r="C32" s="79">
        <v>4.0</v>
      </c>
      <c r="D32" s="79">
        <v>747.0</v>
      </c>
      <c r="E32" s="79">
        <v>112.0</v>
      </c>
      <c r="F32" s="79">
        <v>460.0</v>
      </c>
      <c r="G32" s="79">
        <v>200.0</v>
      </c>
      <c r="H32" s="80" t="s">
        <v>89</v>
      </c>
      <c r="I32" s="79" t="s">
        <v>88</v>
      </c>
      <c r="J32" s="79">
        <v>5.0</v>
      </c>
      <c r="K32" s="77"/>
      <c r="L32" s="81">
        <v>30.0</v>
      </c>
      <c r="M32" s="84">
        <f t="array" ref="M32">if($Q$6="n",0,index('Match Sched'!AJ$3:AJ102,match($L32,'Match Sched'!$AI$3:$AI102,0)))</f>
        <v>0</v>
      </c>
      <c r="N32" s="84">
        <f t="array" ref="N32">if($Q$6="n",0,index('Match Sched'!AK$3:AK102,match($L32,'Match Sched'!$AI$3:$AI102,0)))</f>
        <v>0</v>
      </c>
      <c r="O32" s="84">
        <f t="array" ref="O32">if($Q$6="n",0,ROUND(index('Match Sched'!AL$3:AL102,match($L32,'Match Sched'!$AI$3:$AI102,0)),1))</f>
        <v>0</v>
      </c>
      <c r="P32" s="85"/>
      <c r="Q32" s="88"/>
    </row>
    <row r="33">
      <c r="A33" s="83">
        <v>31.0</v>
      </c>
      <c r="B33" s="93">
        <v>2493.0</v>
      </c>
      <c r="C33" s="79">
        <v>4.0</v>
      </c>
      <c r="D33" s="79">
        <v>694.0</v>
      </c>
      <c r="E33" s="79">
        <v>45.0</v>
      </c>
      <c r="F33" s="79">
        <v>360.0</v>
      </c>
      <c r="G33" s="79">
        <v>250.0</v>
      </c>
      <c r="H33" s="80" t="s">
        <v>84</v>
      </c>
      <c r="I33" s="79" t="s">
        <v>88</v>
      </c>
      <c r="J33" s="79">
        <v>5.0</v>
      </c>
      <c r="K33" s="77"/>
      <c r="L33" s="81">
        <v>31.0</v>
      </c>
      <c r="M33" s="84">
        <f t="array" ref="M33">if($Q$6="n",0,index('Match Sched'!AJ$3:AJ102,match($L33,'Match Sched'!$AI$3:$AI102,0)))</f>
        <v>0</v>
      </c>
      <c r="N33" s="84">
        <f t="array" ref="N33">if($Q$6="n",0,index('Match Sched'!AK$3:AK102,match($L33,'Match Sched'!$AI$3:$AI102,0)))</f>
        <v>0</v>
      </c>
      <c r="O33" s="84">
        <f t="array" ref="O33">if($Q$6="n",0,ROUND(index('Match Sched'!AL$3:AL102,match($L33,'Match Sched'!$AI$3:$AI102,0)),1))</f>
        <v>0</v>
      </c>
      <c r="P33" s="85"/>
      <c r="Q33" s="88"/>
    </row>
    <row r="34">
      <c r="A34" s="83">
        <v>32.0</v>
      </c>
      <c r="B34" s="93">
        <v>687.0</v>
      </c>
      <c r="C34" s="79">
        <v>4.0</v>
      </c>
      <c r="D34" s="79">
        <v>676.0</v>
      </c>
      <c r="E34" s="79">
        <v>65.0</v>
      </c>
      <c r="F34" s="79">
        <v>400.0</v>
      </c>
      <c r="G34" s="79">
        <v>150.0</v>
      </c>
      <c r="H34" s="80" t="s">
        <v>90</v>
      </c>
      <c r="I34" s="79" t="s">
        <v>88</v>
      </c>
      <c r="J34" s="79">
        <v>5.0</v>
      </c>
      <c r="K34" s="77"/>
      <c r="L34" s="81">
        <v>32.0</v>
      </c>
      <c r="M34" s="84">
        <f t="array" ref="M34">if($Q$6="n",0,index('Match Sched'!AJ$3:AJ102,match($L34,'Match Sched'!$AI$3:$AI102,0)))</f>
        <v>0</v>
      </c>
      <c r="N34" s="84">
        <f t="array" ref="N34">if($Q$6="n",0,index('Match Sched'!AK$3:AK102,match($L34,'Match Sched'!$AI$3:$AI102,0)))</f>
        <v>0</v>
      </c>
      <c r="O34" s="84">
        <f t="array" ref="O34">if($Q$6="n",0,ROUND(index('Match Sched'!AL$3:AL102,match($L34,'Match Sched'!$AI$3:$AI102,0)),1))</f>
        <v>0</v>
      </c>
      <c r="P34" s="85"/>
      <c r="Q34" s="88"/>
    </row>
    <row r="35">
      <c r="A35" s="83">
        <v>33.0</v>
      </c>
      <c r="B35" s="93">
        <v>2813.0</v>
      </c>
      <c r="C35" s="79">
        <v>4.0</v>
      </c>
      <c r="D35" s="79">
        <v>631.0</v>
      </c>
      <c r="E35" s="79">
        <v>119.0</v>
      </c>
      <c r="F35" s="79">
        <v>380.0</v>
      </c>
      <c r="G35" s="79">
        <v>150.0</v>
      </c>
      <c r="H35" s="80" t="s">
        <v>91</v>
      </c>
      <c r="I35" s="79" t="s">
        <v>88</v>
      </c>
      <c r="J35" s="79">
        <v>5.0</v>
      </c>
      <c r="K35" s="77"/>
      <c r="L35" s="81">
        <v>33.0</v>
      </c>
      <c r="M35" s="84">
        <f t="array" ref="M35">if($Q$6="n",0,index('Match Sched'!AJ$3:AJ102,match($L35,'Match Sched'!$AI$3:$AI102,0)))</f>
        <v>0</v>
      </c>
      <c r="N35" s="84">
        <f t="array" ref="N35">if($Q$6="n",0,index('Match Sched'!AK$3:AK102,match($L35,'Match Sched'!$AI$3:$AI102,0)))</f>
        <v>0</v>
      </c>
      <c r="O35" s="84">
        <f t="array" ref="O35">if($Q$6="n",0,ROUND(index('Match Sched'!AL$3:AL102,match($L35,'Match Sched'!$AI$3:$AI102,0)),1))</f>
        <v>0</v>
      </c>
      <c r="P35" s="85"/>
      <c r="Q35" s="88"/>
    </row>
    <row r="36">
      <c r="A36" s="83">
        <v>34.0</v>
      </c>
      <c r="B36" s="93">
        <v>5677.0</v>
      </c>
      <c r="C36" s="79">
        <v>4.0</v>
      </c>
      <c r="D36" s="79">
        <v>576.0</v>
      </c>
      <c r="E36" s="79">
        <v>56.0</v>
      </c>
      <c r="F36" s="79">
        <v>280.0</v>
      </c>
      <c r="G36" s="79">
        <v>200.0</v>
      </c>
      <c r="H36" s="80" t="s">
        <v>92</v>
      </c>
      <c r="I36" s="79" t="s">
        <v>88</v>
      </c>
      <c r="J36" s="79">
        <v>5.0</v>
      </c>
      <c r="K36" s="77"/>
      <c r="L36" s="81">
        <v>34.0</v>
      </c>
      <c r="M36" s="84">
        <f t="array" ref="M36">if($Q$6="n",0,index('Match Sched'!AJ$3:AJ102,match($L36,'Match Sched'!$AI$3:$AI102,0)))</f>
        <v>0</v>
      </c>
      <c r="N36" s="84">
        <f t="array" ref="N36">if($Q$6="n",0,index('Match Sched'!AK$3:AK102,match($L36,'Match Sched'!$AI$3:$AI102,0)))</f>
        <v>0</v>
      </c>
      <c r="O36" s="84">
        <f t="array" ref="O36">if($Q$6="n",0,ROUND(index('Match Sched'!AL$3:AL102,match($L36,'Match Sched'!$AI$3:$AI102,0)),1))</f>
        <v>0</v>
      </c>
      <c r="P36" s="85"/>
      <c r="Q36" s="88"/>
    </row>
    <row r="37">
      <c r="A37" s="83">
        <v>35.0</v>
      </c>
      <c r="B37" s="93">
        <v>670.0</v>
      </c>
      <c r="C37" s="79">
        <v>4.0</v>
      </c>
      <c r="D37" s="79">
        <v>567.0</v>
      </c>
      <c r="E37" s="79">
        <v>110.0</v>
      </c>
      <c r="F37" s="79">
        <v>380.0</v>
      </c>
      <c r="G37" s="79">
        <v>100.0</v>
      </c>
      <c r="H37" s="80" t="s">
        <v>59</v>
      </c>
      <c r="I37" s="79" t="s">
        <v>88</v>
      </c>
      <c r="J37" s="79">
        <v>5.0</v>
      </c>
      <c r="K37" s="77"/>
      <c r="L37" s="81">
        <v>35.0</v>
      </c>
      <c r="M37" s="84">
        <f t="array" ref="M37">if($Q$6="n",0,index('Match Sched'!AJ$3:AJ102,match($L37,'Match Sched'!$AI$3:$AI102,0)))</f>
        <v>0</v>
      </c>
      <c r="N37" s="84">
        <f t="array" ref="N37">if($Q$6="n",0,index('Match Sched'!AK$3:AK102,match($L37,'Match Sched'!$AI$3:$AI102,0)))</f>
        <v>0</v>
      </c>
      <c r="O37" s="84">
        <f t="array" ref="O37">if($Q$6="n",0,ROUND(index('Match Sched'!AL$3:AL102,match($L37,'Match Sched'!$AI$3:$AI102,0)),1))</f>
        <v>0</v>
      </c>
      <c r="P37" s="85"/>
      <c r="Q37" s="88"/>
    </row>
    <row r="38">
      <c r="A38" s="83">
        <v>36.0</v>
      </c>
      <c r="B38" s="93">
        <v>1422.0</v>
      </c>
      <c r="C38" s="79">
        <v>4.0</v>
      </c>
      <c r="D38" s="79">
        <v>561.0</v>
      </c>
      <c r="E38" s="79">
        <v>35.0</v>
      </c>
      <c r="F38" s="79">
        <v>320.0</v>
      </c>
      <c r="G38" s="79">
        <v>200.0</v>
      </c>
      <c r="H38" s="80" t="s">
        <v>93</v>
      </c>
      <c r="I38" s="79" t="s">
        <v>81</v>
      </c>
      <c r="J38" s="79">
        <v>5.0</v>
      </c>
      <c r="K38" s="77"/>
      <c r="L38" s="81">
        <v>36.0</v>
      </c>
      <c r="M38" s="84">
        <f t="array" ref="M38">if($Q$6="n",0,index('Match Sched'!AJ$3:AJ102,match($L38,'Match Sched'!$AI$3:$AI102,0)))</f>
        <v>0</v>
      </c>
      <c r="N38" s="84">
        <f t="array" ref="N38">if($Q$6="n",0,index('Match Sched'!AK$3:AK102,match($L38,'Match Sched'!$AI$3:$AI102,0)))</f>
        <v>0</v>
      </c>
      <c r="O38" s="84">
        <f t="array" ref="O38">if($Q$6="n",0,ROUND(index('Match Sched'!AL$3:AL102,match($L38,'Match Sched'!$AI$3:$AI102,0)),1))</f>
        <v>0</v>
      </c>
      <c r="P38" s="85"/>
      <c r="Q38" s="88"/>
    </row>
    <row r="39">
      <c r="A39" s="83">
        <v>37.0</v>
      </c>
      <c r="B39" s="93">
        <v>294.0</v>
      </c>
      <c r="C39" s="79">
        <v>3.0</v>
      </c>
      <c r="D39" s="79">
        <v>622.0</v>
      </c>
      <c r="E39" s="79">
        <v>105.0</v>
      </c>
      <c r="F39" s="79">
        <v>420.0</v>
      </c>
      <c r="G39" s="79">
        <v>150.0</v>
      </c>
      <c r="H39" s="80" t="s">
        <v>63</v>
      </c>
      <c r="I39" s="79" t="s">
        <v>94</v>
      </c>
      <c r="J39" s="79">
        <v>5.0</v>
      </c>
      <c r="K39" s="77"/>
      <c r="L39" s="81">
        <v>37.0</v>
      </c>
      <c r="M39" s="84">
        <f t="array" ref="M39">if($Q$6="n",0,index('Match Sched'!AJ$3:AJ102,match($L39,'Match Sched'!$AI$3:$AI102,0)))</f>
        <v>0</v>
      </c>
      <c r="N39" s="84">
        <f t="array" ref="N39">if($Q$6="n",0,index('Match Sched'!AK$3:AK102,match($L39,'Match Sched'!$AI$3:$AI102,0)))</f>
        <v>0</v>
      </c>
      <c r="O39" s="84">
        <f t="array" ref="O39">if($Q$6="n",0,ROUND(index('Match Sched'!AL$3:AL102,match($L39,'Match Sched'!$AI$3:$AI102,0)),1))</f>
        <v>0</v>
      </c>
      <c r="P39" s="85"/>
      <c r="Q39" s="88"/>
    </row>
    <row r="40">
      <c r="A40" s="83">
        <v>38.0</v>
      </c>
      <c r="B40" s="93">
        <v>5817.0</v>
      </c>
      <c r="C40" s="79">
        <v>2.0</v>
      </c>
      <c r="D40" s="79">
        <v>709.0</v>
      </c>
      <c r="E40" s="79">
        <v>100.0</v>
      </c>
      <c r="F40" s="79">
        <v>380.0</v>
      </c>
      <c r="G40" s="79">
        <v>250.0</v>
      </c>
      <c r="H40" s="80" t="s">
        <v>84</v>
      </c>
      <c r="I40" s="79" t="s">
        <v>95</v>
      </c>
      <c r="J40" s="79">
        <v>4.0</v>
      </c>
      <c r="K40" s="77"/>
      <c r="L40" s="81">
        <v>38.0</v>
      </c>
      <c r="M40" s="84">
        <f t="array" ref="M40">if($Q$6="n",0,index('Match Sched'!AJ$3:AJ102,match($L40,'Match Sched'!$AI$3:$AI102,0)))</f>
        <v>0</v>
      </c>
      <c r="N40" s="84">
        <f t="array" ref="N40">if($Q$6="n",0,index('Match Sched'!AK$3:AK102,match($L40,'Match Sched'!$AI$3:$AI102,0)))</f>
        <v>0</v>
      </c>
      <c r="O40" s="84">
        <f t="array" ref="O40">if($Q$6="n",0,ROUND(index('Match Sched'!AL$3:AL102,match($L40,'Match Sched'!$AI$3:$AI102,0)),1))</f>
        <v>0</v>
      </c>
      <c r="P40" s="85"/>
      <c r="Q40" s="88"/>
    </row>
    <row r="41">
      <c r="A41" s="83">
        <v>39.0</v>
      </c>
      <c r="B41" s="93">
        <v>980.0</v>
      </c>
      <c r="C41" s="79">
        <v>2.0</v>
      </c>
      <c r="D41" s="79">
        <v>446.0</v>
      </c>
      <c r="E41" s="79">
        <v>57.0</v>
      </c>
      <c r="F41" s="79">
        <v>320.0</v>
      </c>
      <c r="G41" s="79">
        <v>50.0</v>
      </c>
      <c r="H41" s="80" t="s">
        <v>83</v>
      </c>
      <c r="I41" s="79" t="s">
        <v>95</v>
      </c>
      <c r="J41" s="79">
        <v>4.0</v>
      </c>
      <c r="K41" s="77"/>
      <c r="L41" s="81">
        <v>39.0</v>
      </c>
      <c r="M41" s="84">
        <f t="array" ref="M41">if($Q$6="n",0,index('Match Sched'!AJ$3:AJ102,match($L41,'Match Sched'!$AI$3:$AI102,0)))</f>
        <v>0</v>
      </c>
      <c r="N41" s="84">
        <f t="array" ref="N41">if($Q$6="n",0,index('Match Sched'!AK$3:AK102,match($L41,'Match Sched'!$AI$3:$AI102,0)))</f>
        <v>0</v>
      </c>
      <c r="O41" s="84">
        <f t="array" ref="O41">if($Q$6="n",0,ROUND(index('Match Sched'!AL$3:AL102,match($L41,'Match Sched'!$AI$3:$AI102,0)),1))</f>
        <v>0</v>
      </c>
      <c r="P41" s="85"/>
      <c r="Q41" s="88"/>
    </row>
    <row r="42">
      <c r="A42" s="83">
        <v>40.0</v>
      </c>
      <c r="B42" s="93">
        <v>3045.0</v>
      </c>
      <c r="C42" s="79">
        <v>2.0</v>
      </c>
      <c r="D42" s="79">
        <v>348.0</v>
      </c>
      <c r="E42" s="79">
        <v>60.0</v>
      </c>
      <c r="F42" s="79">
        <v>200.0</v>
      </c>
      <c r="G42" s="79">
        <v>50.0</v>
      </c>
      <c r="H42" s="80" t="s">
        <v>87</v>
      </c>
      <c r="I42" s="79" t="s">
        <v>96</v>
      </c>
      <c r="J42" s="79">
        <v>4.0</v>
      </c>
      <c r="K42" s="77"/>
      <c r="L42" s="81">
        <v>40.0</v>
      </c>
      <c r="M42" s="84">
        <f t="array" ref="M42">if($Q$6="n",0,index('Match Sched'!AJ$3:AJ102,match($L42,'Match Sched'!$AI$3:$AI102,0)))</f>
        <v>0</v>
      </c>
      <c r="N42" s="84">
        <f t="array" ref="N42">if($Q$6="n",0,index('Match Sched'!AK$3:AK102,match($L42,'Match Sched'!$AI$3:$AI102,0)))</f>
        <v>0</v>
      </c>
      <c r="O42" s="84">
        <f t="array" ref="O42">if($Q$6="n",0,ROUND(index('Match Sched'!AL$3:AL102,match($L42,'Match Sched'!$AI$3:$AI102,0)),1))</f>
        <v>0</v>
      </c>
      <c r="P42" s="85"/>
      <c r="Q42" s="88"/>
    </row>
    <row r="43">
      <c r="A43" s="83">
        <v>41.0</v>
      </c>
      <c r="B43" s="93">
        <v>3970.0</v>
      </c>
      <c r="C43" s="79">
        <v>1.0</v>
      </c>
      <c r="D43" s="79">
        <v>771.0</v>
      </c>
      <c r="E43" s="79">
        <v>60.0</v>
      </c>
      <c r="F43" s="79">
        <v>400.0</v>
      </c>
      <c r="G43" s="79">
        <v>200.0</v>
      </c>
      <c r="H43" s="80" t="s">
        <v>85</v>
      </c>
      <c r="I43" s="79" t="s">
        <v>97</v>
      </c>
      <c r="J43" s="79">
        <v>5.0</v>
      </c>
      <c r="K43" s="77"/>
      <c r="L43" s="81">
        <v>41.0</v>
      </c>
      <c r="M43" s="84">
        <f t="array" ref="M43">if($Q$6="n",0,index('Match Sched'!AJ$3:AJ102,match($L43,'Match Sched'!$AI$3:$AI102,0)))</f>
        <v>0</v>
      </c>
      <c r="N43" s="84">
        <f t="array" ref="N43">if($Q$6="n",0,index('Match Sched'!AK$3:AK102,match($L43,'Match Sched'!$AI$3:$AI102,0)))</f>
        <v>0</v>
      </c>
      <c r="O43" s="84">
        <f t="array" ref="O43">if($Q$6="n",0,ROUND(index('Match Sched'!AL$3:AL102,match($L43,'Match Sched'!$AI$3:$AI102,0)),1))</f>
        <v>0</v>
      </c>
      <c r="P43" s="85"/>
      <c r="Q43" s="88"/>
    </row>
    <row r="44">
      <c r="A44" s="83">
        <v>42.0</v>
      </c>
      <c r="B44" s="93">
        <v>6059.0</v>
      </c>
      <c r="C44" s="79">
        <v>2.0</v>
      </c>
      <c r="D44" s="79">
        <v>565.0</v>
      </c>
      <c r="E44" s="79">
        <v>90.0</v>
      </c>
      <c r="F44" s="79">
        <v>380.0</v>
      </c>
      <c r="G44" s="79">
        <v>150.0</v>
      </c>
      <c r="H44" s="80" t="s">
        <v>70</v>
      </c>
      <c r="I44" s="79" t="s">
        <v>98</v>
      </c>
      <c r="J44" s="79">
        <v>5.0</v>
      </c>
      <c r="K44" s="77"/>
      <c r="L44" s="81">
        <v>42.0</v>
      </c>
      <c r="M44" s="84">
        <f t="array" ref="M44">if($Q$6="n",0,index('Match Sched'!AJ$3:AJ102,match($L44,'Match Sched'!$AI$3:$AI102,0)))</f>
        <v>0</v>
      </c>
      <c r="N44" s="84">
        <f t="array" ref="N44">if($Q$6="n",0,index('Match Sched'!AK$3:AK102,match($L44,'Match Sched'!$AI$3:$AI102,0)))</f>
        <v>0</v>
      </c>
      <c r="O44" s="84">
        <f t="array" ref="O44">if($Q$6="n",0,ROUND(index('Match Sched'!AL$3:AL102,match($L44,'Match Sched'!$AI$3:$AI102,0)),1))</f>
        <v>0</v>
      </c>
      <c r="P44" s="85"/>
      <c r="Q44" s="88"/>
    </row>
    <row r="45">
      <c r="A45" s="83">
        <v>43.0</v>
      </c>
      <c r="B45" s="93">
        <v>6657.0</v>
      </c>
      <c r="C45" s="79">
        <v>2.0</v>
      </c>
      <c r="D45" s="79">
        <v>529.0</v>
      </c>
      <c r="E45" s="79">
        <v>40.0</v>
      </c>
      <c r="F45" s="79">
        <v>320.0</v>
      </c>
      <c r="G45" s="79">
        <v>150.0</v>
      </c>
      <c r="H45" s="80" t="s">
        <v>84</v>
      </c>
      <c r="I45" s="79" t="s">
        <v>98</v>
      </c>
      <c r="J45" s="79">
        <v>5.0</v>
      </c>
      <c r="K45" s="77"/>
      <c r="L45" s="81">
        <v>43.0</v>
      </c>
      <c r="M45" s="84">
        <f t="array" ref="M45">if($Q$6="n",0,index('Match Sched'!AJ$3:AJ102,match($L45,'Match Sched'!$AI$3:$AI102,0)))</f>
        <v>0</v>
      </c>
      <c r="N45" s="84">
        <f t="array" ref="N45">if($Q$6="n",0,index('Match Sched'!AK$3:AK102,match($L45,'Match Sched'!$AI$3:$AI102,0)))</f>
        <v>0</v>
      </c>
      <c r="O45" s="84">
        <f t="array" ref="O45">if($Q$6="n",0,ROUND(index('Match Sched'!AL$3:AL102,match($L45,'Match Sched'!$AI$3:$AI102,0)),1))</f>
        <v>0</v>
      </c>
      <c r="P45" s="85"/>
      <c r="Q45" s="88"/>
    </row>
    <row r="46">
      <c r="A46" s="83">
        <v>44.0</v>
      </c>
      <c r="B46" s="93">
        <v>2367.0</v>
      </c>
      <c r="C46" s="79">
        <v>0.4</v>
      </c>
      <c r="D46" s="79">
        <v>420.0</v>
      </c>
      <c r="E46" s="79">
        <v>40.0</v>
      </c>
      <c r="F46" s="79">
        <v>280.0</v>
      </c>
      <c r="G46" s="79">
        <v>100.0</v>
      </c>
      <c r="H46" s="80" t="s">
        <v>70</v>
      </c>
      <c r="I46" s="79" t="s">
        <v>95</v>
      </c>
      <c r="J46" s="79">
        <v>5.0</v>
      </c>
      <c r="K46" s="77"/>
      <c r="L46" s="81">
        <v>44.0</v>
      </c>
      <c r="M46" s="84">
        <f t="array" ref="M46">if($Q$6="n",0,index('Match Sched'!AJ$3:AJ102,match($L46,'Match Sched'!$AI$3:$AI102,0)))</f>
        <v>0</v>
      </c>
      <c r="N46" s="84">
        <f t="array" ref="N46">if($Q$6="n",0,index('Match Sched'!AK$3:AK102,match($L46,'Match Sched'!$AI$3:$AI102,0)))</f>
        <v>0</v>
      </c>
      <c r="O46" s="84">
        <f t="array" ref="O46">if($Q$6="n",0,ROUND(index('Match Sched'!AL$3:AL102,match($L46,'Match Sched'!$AI$3:$AI102,0)),1))</f>
        <v>0</v>
      </c>
      <c r="P46" s="85"/>
      <c r="Q46" s="88"/>
    </row>
    <row r="47">
      <c r="A47" s="83">
        <v>45.0</v>
      </c>
      <c r="B47" s="93">
        <v>4543.0</v>
      </c>
      <c r="C47" s="79">
        <v>0.0</v>
      </c>
      <c r="D47" s="79">
        <v>559.0</v>
      </c>
      <c r="E47" s="79">
        <v>51.0</v>
      </c>
      <c r="F47" s="79">
        <v>400.0</v>
      </c>
      <c r="G47" s="79">
        <v>100.0</v>
      </c>
      <c r="H47" s="80" t="s">
        <v>99</v>
      </c>
      <c r="I47" s="79" t="s">
        <v>100</v>
      </c>
      <c r="J47" s="79">
        <v>5.0</v>
      </c>
      <c r="K47" s="77"/>
      <c r="L47" s="81">
        <v>45.0</v>
      </c>
      <c r="M47" s="84">
        <f t="array" ref="M47">if($Q$6="n",0,index('Match Sched'!AJ$3:AJ102,match($L47,'Match Sched'!$AI$3:$AI102,0)))</f>
        <v>0</v>
      </c>
      <c r="N47" s="84">
        <f t="array" ref="N47">if($Q$6="n",0,index('Match Sched'!AK$3:AK102,match($L47,'Match Sched'!$AI$3:$AI102,0)))</f>
        <v>0</v>
      </c>
      <c r="O47" s="84">
        <f t="array" ref="O47">if($Q$6="n",0,ROUND(index('Match Sched'!AL$3:AL102,match($L47,'Match Sched'!$AI$3:$AI102,0)),1))</f>
        <v>0</v>
      </c>
      <c r="P47" s="85"/>
      <c r="Q47" s="88"/>
    </row>
    <row r="48">
      <c r="A48" s="83">
        <v>46.0</v>
      </c>
      <c r="B48" s="93">
        <v>4255.0</v>
      </c>
      <c r="C48" s="79">
        <v>0.0</v>
      </c>
      <c r="D48" s="79">
        <v>525.0</v>
      </c>
      <c r="E48" s="79">
        <v>165.0</v>
      </c>
      <c r="F48" s="79">
        <v>400.0</v>
      </c>
      <c r="G48" s="79">
        <v>50.0</v>
      </c>
      <c r="H48" s="80" t="s">
        <v>70</v>
      </c>
      <c r="I48" s="79" t="s">
        <v>101</v>
      </c>
      <c r="J48" s="79">
        <v>4.0</v>
      </c>
      <c r="K48" s="77"/>
      <c r="L48" s="81">
        <v>46.0</v>
      </c>
      <c r="M48" s="84">
        <f t="array" ref="M48">if($Q$6="n",0,index('Match Sched'!AJ$3:AJ102,match($L48,'Match Sched'!$AI$3:$AI102,0)))</f>
        <v>0</v>
      </c>
      <c r="N48" s="84">
        <f t="array" ref="N48">if($Q$6="n",0,index('Match Sched'!AK$3:AK102,match($L48,'Match Sched'!$AI$3:$AI102,0)))</f>
        <v>0</v>
      </c>
      <c r="O48" s="84">
        <f t="array" ref="O48">if($Q$6="n",0,ROUND(index('Match Sched'!AL$3:AL102,match($L48,'Match Sched'!$AI$3:$AI102,0)),1))</f>
        <v>0</v>
      </c>
      <c r="P48" s="85"/>
      <c r="Q48" s="88"/>
    </row>
    <row r="49">
      <c r="A49" s="83">
        <v>47.0</v>
      </c>
      <c r="B49" s="93">
        <v>3495.0</v>
      </c>
      <c r="C49" s="79">
        <v>0.0</v>
      </c>
      <c r="D49" s="79">
        <v>503.0</v>
      </c>
      <c r="E49" s="79">
        <v>30.0</v>
      </c>
      <c r="F49" s="79">
        <v>320.0</v>
      </c>
      <c r="G49" s="79">
        <v>100.0</v>
      </c>
      <c r="H49" s="80" t="s">
        <v>80</v>
      </c>
      <c r="I49" s="79" t="s">
        <v>101</v>
      </c>
      <c r="J49" s="79">
        <v>5.0</v>
      </c>
      <c r="K49" s="77"/>
      <c r="L49" s="81">
        <v>47.0</v>
      </c>
      <c r="M49" s="84">
        <f t="array" ref="M49">if($Q$6="n",0,index('Match Sched'!AJ$3:AJ102,match($L49,'Match Sched'!$AI$3:$AI102,0)))</f>
        <v>0</v>
      </c>
      <c r="N49" s="84">
        <f t="array" ref="N49">if($Q$6="n",0,index('Match Sched'!AK$3:AK102,match($L49,'Match Sched'!$AI$3:$AI102,0)))</f>
        <v>0</v>
      </c>
      <c r="O49" s="84">
        <f t="array" ref="O49">if($Q$6="n",0,ROUND(index('Match Sched'!AL$3:AL102,match($L49,'Match Sched'!$AI$3:$AI102,0)),1))</f>
        <v>0</v>
      </c>
      <c r="P49" s="85"/>
      <c r="Q49" s="88"/>
    </row>
    <row r="50">
      <c r="A50" s="49"/>
      <c r="B50" s="50"/>
      <c r="C50" s="79"/>
      <c r="D50" s="79"/>
      <c r="E50" s="79"/>
      <c r="F50" s="79"/>
      <c r="G50" s="79"/>
      <c r="H50" s="80"/>
      <c r="I50" s="79"/>
      <c r="J50" s="79"/>
      <c r="K50" s="77"/>
      <c r="L50" s="81">
        <v>48.0</v>
      </c>
      <c r="M50" s="84">
        <f t="array" ref="M50">if($Q$6="n",0,index('Match Sched'!AJ$3:AJ102,match($L50,'Match Sched'!$AI$3:$AI102,0)))</f>
        <v>0</v>
      </c>
      <c r="N50" s="84">
        <f t="array" ref="N50">if($Q$6="n",0,index('Match Sched'!AK$3:AK102,match($L50,'Match Sched'!$AI$3:$AI102,0)))</f>
        <v>0</v>
      </c>
      <c r="O50" s="84">
        <f t="array" ref="O50">if($Q$6="n",0,ROUND(index('Match Sched'!AL$3:AL102,match($L50,'Match Sched'!$AI$3:$AI102,0)),1))</f>
        <v>0</v>
      </c>
      <c r="P50" s="85"/>
      <c r="Q50" s="88"/>
    </row>
    <row r="51">
      <c r="A51" s="49"/>
      <c r="B51" s="50"/>
      <c r="C51" s="79"/>
      <c r="D51" s="79"/>
      <c r="E51" s="79"/>
      <c r="F51" s="79"/>
      <c r="G51" s="79"/>
      <c r="H51" s="80"/>
      <c r="I51" s="79"/>
      <c r="J51" s="79"/>
      <c r="K51" s="77"/>
      <c r="L51" s="81">
        <v>49.0</v>
      </c>
      <c r="M51" s="84">
        <f t="array" ref="M51">if($Q$6="n",0,index('Match Sched'!AJ$3:AJ102,match($L51,'Match Sched'!$AI$3:$AI102,0)))</f>
        <v>0</v>
      </c>
      <c r="N51" s="84">
        <f t="array" ref="N51">if($Q$6="n",0,index('Match Sched'!AK$3:AK102,match($L51,'Match Sched'!$AI$3:$AI102,0)))</f>
        <v>0</v>
      </c>
      <c r="O51" s="84">
        <f t="array" ref="O51">if($Q$6="n",0,ROUND(index('Match Sched'!AL$3:AL102,match($L51,'Match Sched'!$AI$3:$AI102,0)),1))</f>
        <v>0</v>
      </c>
      <c r="P51" s="85"/>
      <c r="Q51" s="88"/>
    </row>
    <row r="52">
      <c r="A52" s="49"/>
      <c r="B52" s="50"/>
      <c r="C52" s="79"/>
      <c r="D52" s="79"/>
      <c r="E52" s="79"/>
      <c r="F52" s="79"/>
      <c r="G52" s="79"/>
      <c r="H52" s="80"/>
      <c r="I52" s="79"/>
      <c r="J52" s="79"/>
      <c r="K52" s="77"/>
      <c r="L52" s="81">
        <v>50.0</v>
      </c>
      <c r="M52" s="84">
        <f t="array" ref="M52">if($Q$6="n",0,index('Match Sched'!AJ$3:AJ102,match($L52,'Match Sched'!$AI$3:$AI102,0)))</f>
        <v>0</v>
      </c>
      <c r="N52" s="84">
        <f t="array" ref="N52">if($Q$6="n",0,index('Match Sched'!AK$3:AK102,match($L52,'Match Sched'!$AI$3:$AI102,0)))</f>
        <v>0</v>
      </c>
      <c r="O52" s="84">
        <f t="array" ref="O52">if($Q$6="n",0,ROUND(index('Match Sched'!AL$3:AL102,match($L52,'Match Sched'!$AI$3:$AI102,0)),1))</f>
        <v>0</v>
      </c>
      <c r="P52" s="85"/>
      <c r="Q52" s="88"/>
    </row>
    <row r="53">
      <c r="A53" s="49"/>
      <c r="B53" s="50"/>
      <c r="C53" s="79"/>
      <c r="D53" s="79"/>
      <c r="E53" s="79"/>
      <c r="F53" s="79"/>
      <c r="G53" s="79"/>
      <c r="H53" s="80"/>
      <c r="I53" s="79"/>
      <c r="J53" s="79"/>
      <c r="K53" s="77"/>
      <c r="L53" s="81">
        <v>51.0</v>
      </c>
      <c r="M53" s="84">
        <f t="array" ref="M53">if($Q$6="n",0,index('Match Sched'!AJ$3:AJ102,match($L53,'Match Sched'!$AI$3:$AI102,0)))</f>
        <v>0</v>
      </c>
      <c r="N53" s="84">
        <f t="array" ref="N53">if($Q$6="n",0,index('Match Sched'!AK$3:AK102,match($L53,'Match Sched'!$AI$3:$AI102,0)))</f>
        <v>0</v>
      </c>
      <c r="O53" s="84">
        <f t="array" ref="O53">if($Q$6="n",0,ROUND(index('Match Sched'!AL$3:AL102,match($L53,'Match Sched'!$AI$3:$AI102,0)),1))</f>
        <v>0</v>
      </c>
      <c r="P53" s="85"/>
      <c r="Q53" s="88"/>
    </row>
    <row r="54">
      <c r="A54" s="49"/>
      <c r="B54" s="50"/>
      <c r="C54" s="79"/>
      <c r="D54" s="79"/>
      <c r="E54" s="79"/>
      <c r="F54" s="79"/>
      <c r="G54" s="79"/>
      <c r="H54" s="80"/>
      <c r="I54" s="79"/>
      <c r="J54" s="79"/>
      <c r="K54" s="77"/>
      <c r="L54" s="81">
        <v>52.0</v>
      </c>
      <c r="M54" s="84">
        <f t="array" ref="M54">if($Q$6="n",0,index('Match Sched'!AJ$3:AJ102,match($L54,'Match Sched'!$AI$3:$AI102,0)))</f>
        <v>0</v>
      </c>
      <c r="N54" s="84">
        <f t="array" ref="N54">if($Q$6="n",0,index('Match Sched'!AK$3:AK102,match($L54,'Match Sched'!$AI$3:$AI102,0)))</f>
        <v>0</v>
      </c>
      <c r="O54" s="84">
        <f t="array" ref="O54">if($Q$6="n",0,ROUND(index('Match Sched'!AL$3:AL102,match($L54,'Match Sched'!$AI$3:$AI102,0)),1))</f>
        <v>0</v>
      </c>
      <c r="P54" s="85"/>
      <c r="Q54" s="88"/>
    </row>
    <row r="55">
      <c r="A55" s="49"/>
      <c r="B55" s="50"/>
      <c r="C55" s="79"/>
      <c r="D55" s="79"/>
      <c r="E55" s="79"/>
      <c r="F55" s="79"/>
      <c r="G55" s="79"/>
      <c r="H55" s="80"/>
      <c r="I55" s="79"/>
      <c r="J55" s="79"/>
      <c r="K55" s="77"/>
      <c r="L55" s="81">
        <v>53.0</v>
      </c>
      <c r="M55" s="84">
        <f t="array" ref="M55">if($Q$6="n",0,index('Match Sched'!AJ$3:AJ102,match($L55,'Match Sched'!$AI$3:$AI102,0)))</f>
        <v>0</v>
      </c>
      <c r="N55" s="84">
        <f t="array" ref="N55">if($Q$6="n",0,index('Match Sched'!AK$3:AK102,match($L55,'Match Sched'!$AI$3:$AI102,0)))</f>
        <v>0</v>
      </c>
      <c r="O55" s="84">
        <f t="array" ref="O55">if($Q$6="n",0,ROUND(index('Match Sched'!AL$3:AL102,match($L55,'Match Sched'!$AI$3:$AI102,0)),1))</f>
        <v>0</v>
      </c>
      <c r="P55" s="85"/>
      <c r="Q55" s="88"/>
    </row>
    <row r="56">
      <c r="A56" s="49"/>
      <c r="B56" s="50"/>
      <c r="C56" s="79"/>
      <c r="D56" s="79"/>
      <c r="E56" s="79"/>
      <c r="F56" s="79"/>
      <c r="G56" s="79"/>
      <c r="H56" s="80"/>
      <c r="I56" s="79"/>
      <c r="J56" s="79"/>
      <c r="K56" s="77"/>
      <c r="L56" s="81">
        <v>54.0</v>
      </c>
      <c r="M56" s="84">
        <f t="array" ref="M56">if($Q$6="n",0,index('Match Sched'!AJ$3:AJ102,match($L56,'Match Sched'!$AI$3:$AI102,0)))</f>
        <v>0</v>
      </c>
      <c r="N56" s="84">
        <f t="array" ref="N56">if($Q$6="n",0,index('Match Sched'!AK$3:AK102,match($L56,'Match Sched'!$AI$3:$AI102,0)))</f>
        <v>0</v>
      </c>
      <c r="O56" s="84">
        <f t="array" ref="O56">if($Q$6="n",0,ROUND(index('Match Sched'!AL$3:AL102,match($L56,'Match Sched'!$AI$3:$AI102,0)),1))</f>
        <v>0</v>
      </c>
      <c r="P56" s="85"/>
      <c r="Q56" s="88"/>
    </row>
    <row r="57">
      <c r="A57" s="49"/>
      <c r="B57" s="50"/>
      <c r="C57" s="79"/>
      <c r="D57" s="79"/>
      <c r="E57" s="79"/>
      <c r="F57" s="79"/>
      <c r="G57" s="79"/>
      <c r="H57" s="80"/>
      <c r="I57" s="79"/>
      <c r="J57" s="79"/>
      <c r="K57" s="77"/>
      <c r="L57" s="81">
        <v>55.0</v>
      </c>
      <c r="M57" s="84">
        <f t="array" ref="M57">if($Q$6="n",0,index('Match Sched'!AJ$3:AJ102,match($L57,'Match Sched'!$AI$3:$AI102,0)))</f>
        <v>0</v>
      </c>
      <c r="N57" s="84">
        <f t="array" ref="N57">if($Q$6="n",0,index('Match Sched'!AK$3:AK102,match($L57,'Match Sched'!$AI$3:$AI102,0)))</f>
        <v>0</v>
      </c>
      <c r="O57" s="84">
        <f t="array" ref="O57">if($Q$6="n",0,ROUND(index('Match Sched'!AL$3:AL102,match($L57,'Match Sched'!$AI$3:$AI102,0)),1))</f>
        <v>0</v>
      </c>
      <c r="P57" s="85"/>
      <c r="Q57" s="88"/>
    </row>
    <row r="58">
      <c r="A58" s="49"/>
      <c r="B58" s="50"/>
      <c r="C58" s="79"/>
      <c r="D58" s="79"/>
      <c r="E58" s="79"/>
      <c r="F58" s="79"/>
      <c r="G58" s="79"/>
      <c r="H58" s="80"/>
      <c r="I58" s="79"/>
      <c r="J58" s="79"/>
      <c r="K58" s="77"/>
      <c r="L58" s="81">
        <v>56.0</v>
      </c>
      <c r="M58" s="84">
        <f t="array" ref="M58">if($Q$6="n",0,index('Match Sched'!AJ$3:AJ102,match($L58,'Match Sched'!$AI$3:$AI102,0)))</f>
        <v>0</v>
      </c>
      <c r="N58" s="84">
        <f t="array" ref="N58">if($Q$6="n",0,index('Match Sched'!AK$3:AK102,match($L58,'Match Sched'!$AI$3:$AI102,0)))</f>
        <v>0</v>
      </c>
      <c r="O58" s="84">
        <f t="array" ref="O58">if($Q$6="n",0,ROUND(index('Match Sched'!AL$3:AL102,match($L58,'Match Sched'!$AI$3:$AI102,0)),1))</f>
        <v>0</v>
      </c>
      <c r="P58" s="85"/>
      <c r="Q58" s="88"/>
    </row>
    <row r="59">
      <c r="A59" s="49"/>
      <c r="B59" s="50"/>
      <c r="C59" s="79"/>
      <c r="D59" s="79"/>
      <c r="E59" s="79"/>
      <c r="F59" s="79"/>
      <c r="G59" s="79"/>
      <c r="H59" s="80"/>
      <c r="I59" s="79"/>
      <c r="J59" s="79"/>
      <c r="K59" s="77"/>
      <c r="L59" s="81">
        <v>57.0</v>
      </c>
      <c r="M59" s="84">
        <f t="array" ref="M59">if($Q$6="n",0,index('Match Sched'!AJ$3:AJ102,match($L59,'Match Sched'!$AI$3:$AI102,0)))</f>
        <v>0</v>
      </c>
      <c r="N59" s="84">
        <f t="array" ref="N59">if($Q$6="n",0,index('Match Sched'!AK$3:AK102,match($L59,'Match Sched'!$AI$3:$AI102,0)))</f>
        <v>0</v>
      </c>
      <c r="O59" s="84">
        <f t="array" ref="O59">if($Q$6="n",0,ROUND(index('Match Sched'!AL$3:AL102,match($L59,'Match Sched'!$AI$3:$AI102,0)),1))</f>
        <v>0</v>
      </c>
      <c r="P59" s="85"/>
      <c r="Q59" s="88"/>
    </row>
    <row r="60">
      <c r="A60" s="49"/>
      <c r="B60" s="50"/>
      <c r="C60" s="79"/>
      <c r="D60" s="79"/>
      <c r="E60" s="79"/>
      <c r="F60" s="79"/>
      <c r="G60" s="79"/>
      <c r="H60" s="80"/>
      <c r="I60" s="79"/>
      <c r="J60" s="79"/>
      <c r="K60" s="77"/>
      <c r="L60" s="81">
        <v>58.0</v>
      </c>
      <c r="M60" s="84">
        <f t="array" ref="M60">if($Q$6="n",0,index('Match Sched'!AJ$3:AJ102,match($L60,'Match Sched'!$AI$3:$AI102,0)))</f>
        <v>0</v>
      </c>
      <c r="N60" s="84">
        <f t="array" ref="N60">if($Q$6="n",0,index('Match Sched'!AK$3:AK102,match($L60,'Match Sched'!$AI$3:$AI102,0)))</f>
        <v>0</v>
      </c>
      <c r="O60" s="84">
        <f t="array" ref="O60">if($Q$6="n",0,ROUND(index('Match Sched'!AL$3:AL102,match($L60,'Match Sched'!$AI$3:$AI102,0)),1))</f>
        <v>0</v>
      </c>
      <c r="P60" s="85"/>
      <c r="Q60" s="88"/>
    </row>
    <row r="61">
      <c r="A61" s="49"/>
      <c r="B61" s="50"/>
      <c r="C61" s="79"/>
      <c r="D61" s="79"/>
      <c r="E61" s="79"/>
      <c r="F61" s="79"/>
      <c r="G61" s="79"/>
      <c r="H61" s="80"/>
      <c r="I61" s="79"/>
      <c r="J61" s="79"/>
      <c r="K61" s="77"/>
      <c r="L61" s="81">
        <v>59.0</v>
      </c>
      <c r="M61" s="84">
        <f t="array" ref="M61">if($Q$6="n",0,index('Match Sched'!AJ$3:AJ102,match($L61,'Match Sched'!$AI$3:$AI102,0)))</f>
        <v>0</v>
      </c>
      <c r="N61" s="84">
        <f t="array" ref="N61">if($Q$6="n",0,index('Match Sched'!AK$3:AK102,match($L61,'Match Sched'!$AI$3:$AI102,0)))</f>
        <v>0</v>
      </c>
      <c r="O61" s="84">
        <f t="array" ref="O61">if($Q$6="n",0,ROUND(index('Match Sched'!AL$3:AL102,match($L61,'Match Sched'!$AI$3:$AI102,0)),1))</f>
        <v>0</v>
      </c>
      <c r="P61" s="85"/>
      <c r="Q61" s="88"/>
    </row>
    <row r="62">
      <c r="A62" s="49"/>
      <c r="B62" s="50"/>
      <c r="C62" s="79"/>
      <c r="D62" s="79"/>
      <c r="E62" s="79"/>
      <c r="F62" s="79"/>
      <c r="G62" s="79"/>
      <c r="H62" s="80"/>
      <c r="I62" s="79"/>
      <c r="J62" s="79"/>
      <c r="K62" s="77"/>
      <c r="L62" s="81">
        <v>60.0</v>
      </c>
      <c r="M62" s="84">
        <f t="array" ref="M62">if($Q$6="n",0,index('Match Sched'!AJ$3:AJ102,match($L62,'Match Sched'!$AI$3:$AI102,0)))</f>
        <v>0</v>
      </c>
      <c r="N62" s="84">
        <f t="array" ref="N62">if($Q$6="n",0,index('Match Sched'!AK$3:AK102,match($L62,'Match Sched'!$AI$3:$AI102,0)))</f>
        <v>0</v>
      </c>
      <c r="O62" s="84">
        <f t="array" ref="O62">if($Q$6="n",0,ROUND(index('Match Sched'!AL$3:AL102,match($L62,'Match Sched'!$AI$3:$AI102,0)),1))</f>
        <v>0</v>
      </c>
      <c r="P62" s="85"/>
      <c r="Q62" s="88"/>
    </row>
    <row r="63">
      <c r="A63" s="49"/>
      <c r="B63" s="50"/>
      <c r="C63" s="79"/>
      <c r="D63" s="79"/>
      <c r="E63" s="79"/>
      <c r="F63" s="79"/>
      <c r="G63" s="79"/>
      <c r="H63" s="80"/>
      <c r="I63" s="79"/>
      <c r="J63" s="79"/>
      <c r="K63" s="77"/>
      <c r="L63" s="81">
        <v>61.0</v>
      </c>
      <c r="M63" s="84">
        <f t="array" ref="M63">if($Q$6="n",0,index('Match Sched'!AJ$3:AJ102,match($L63,'Match Sched'!$AI$3:$AI102,0)))</f>
        <v>0</v>
      </c>
      <c r="N63" s="84">
        <f t="array" ref="N63">if($Q$6="n",0,index('Match Sched'!AK$3:AK102,match($L63,'Match Sched'!$AI$3:$AI102,0)))</f>
        <v>0</v>
      </c>
      <c r="O63" s="84">
        <f t="array" ref="O63">if($Q$6="n",0,ROUND(index('Match Sched'!AL$3:AL102,match($L63,'Match Sched'!$AI$3:$AI102,0)),1))</f>
        <v>0</v>
      </c>
      <c r="P63" s="85"/>
      <c r="Q63" s="88"/>
    </row>
    <row r="64">
      <c r="A64" s="49"/>
      <c r="B64" s="50"/>
      <c r="C64" s="79"/>
      <c r="D64" s="79"/>
      <c r="E64" s="79"/>
      <c r="F64" s="79"/>
      <c r="G64" s="79"/>
      <c r="H64" s="80"/>
      <c r="I64" s="79"/>
      <c r="J64" s="79"/>
      <c r="K64" s="77"/>
      <c r="L64" s="81">
        <v>62.0</v>
      </c>
      <c r="M64" s="84">
        <f t="array" ref="M64">if($Q$6="n",0,index('Match Sched'!AJ$3:AJ102,match($L64,'Match Sched'!$AI$3:$AI102,0)))</f>
        <v>0</v>
      </c>
      <c r="N64" s="84">
        <f t="array" ref="N64">if($Q$6="n",0,index('Match Sched'!AK$3:AK102,match($L64,'Match Sched'!$AI$3:$AI102,0)))</f>
        <v>0</v>
      </c>
      <c r="O64" s="84">
        <f t="array" ref="O64">if($Q$6="n",0,ROUND(index('Match Sched'!AL$3:AL102,match($L64,'Match Sched'!$AI$3:$AI102,0)),1))</f>
        <v>0</v>
      </c>
      <c r="P64" s="85"/>
      <c r="Q64" s="88"/>
    </row>
    <row r="65">
      <c r="A65" s="49"/>
      <c r="B65" s="50"/>
      <c r="C65" s="79"/>
      <c r="D65" s="79"/>
      <c r="E65" s="79"/>
      <c r="F65" s="79"/>
      <c r="G65" s="79"/>
      <c r="H65" s="80"/>
      <c r="I65" s="79"/>
      <c r="J65" s="79"/>
      <c r="K65" s="77"/>
      <c r="L65" s="81">
        <v>63.0</v>
      </c>
      <c r="M65" s="84">
        <f t="array" ref="M65">if($Q$6="n",0,index('Match Sched'!AJ$3:AJ102,match($L65,'Match Sched'!$AI$3:$AI102,0)))</f>
        <v>0</v>
      </c>
      <c r="N65" s="84">
        <f t="array" ref="N65">if($Q$6="n",0,index('Match Sched'!AK$3:AK102,match($L65,'Match Sched'!$AI$3:$AI102,0)))</f>
        <v>0</v>
      </c>
      <c r="O65" s="84">
        <f t="array" ref="O65">if($Q$6="n",0,ROUND(index('Match Sched'!AL$3:AL102,match($L65,'Match Sched'!$AI$3:$AI102,0)),1))</f>
        <v>0</v>
      </c>
      <c r="P65" s="85"/>
      <c r="Q65" s="88"/>
    </row>
    <row r="66">
      <c r="A66" s="49"/>
      <c r="B66" s="50"/>
      <c r="C66" s="79"/>
      <c r="D66" s="79"/>
      <c r="E66" s="79"/>
      <c r="F66" s="79"/>
      <c r="G66" s="79"/>
      <c r="H66" s="80"/>
      <c r="I66" s="79"/>
      <c r="J66" s="79"/>
      <c r="K66" s="77"/>
      <c r="L66" s="81">
        <v>64.0</v>
      </c>
      <c r="M66" s="84">
        <f t="array" ref="M66">if($Q$6="n",0,index('Match Sched'!AJ$3:AJ102,match($L66,'Match Sched'!$AI$3:$AI102,0)))</f>
        <v>0</v>
      </c>
      <c r="N66" s="84">
        <f t="array" ref="N66">if($Q$6="n",0,index('Match Sched'!AK$3:AK102,match($L66,'Match Sched'!$AI$3:$AI102,0)))</f>
        <v>0</v>
      </c>
      <c r="O66" s="84">
        <f t="array" ref="O66">if($Q$6="n",0,ROUND(index('Match Sched'!AL$3:AL102,match($L66,'Match Sched'!$AI$3:$AI102,0)),1))</f>
        <v>0</v>
      </c>
      <c r="P66" s="85"/>
      <c r="Q66" s="88"/>
    </row>
    <row r="67">
      <c r="A67" s="49"/>
      <c r="B67" s="50"/>
      <c r="C67" s="79"/>
      <c r="D67" s="79"/>
      <c r="E67" s="79"/>
      <c r="F67" s="79"/>
      <c r="G67" s="79"/>
      <c r="H67" s="80"/>
      <c r="I67" s="79"/>
      <c r="J67" s="79"/>
      <c r="K67" s="77"/>
      <c r="L67" s="81">
        <v>65.0</v>
      </c>
      <c r="M67" s="84">
        <f t="array" ref="M67">if($Q$6="n",0,index('Match Sched'!AJ$3:AJ102,match($L67,'Match Sched'!$AI$3:$AI102,0)))</f>
        <v>0</v>
      </c>
      <c r="N67" s="84">
        <f t="array" ref="N67">if($Q$6="n",0,index('Match Sched'!AK$3:AK102,match($L67,'Match Sched'!$AI$3:$AI102,0)))</f>
        <v>0</v>
      </c>
      <c r="O67" s="84">
        <f t="array" ref="O67">if($Q$6="n",0,ROUND(index('Match Sched'!AL$3:AL102,match($L67,'Match Sched'!$AI$3:$AI102,0)),1))</f>
        <v>0</v>
      </c>
      <c r="P67" s="85"/>
      <c r="Q67" s="88"/>
    </row>
    <row r="68">
      <c r="A68" s="49"/>
      <c r="B68" s="50"/>
      <c r="C68" s="79"/>
      <c r="D68" s="79"/>
      <c r="E68" s="79"/>
      <c r="F68" s="79"/>
      <c r="G68" s="79"/>
      <c r="H68" s="80"/>
      <c r="I68" s="79"/>
      <c r="J68" s="79"/>
      <c r="K68" s="77"/>
      <c r="L68" s="81">
        <v>66.0</v>
      </c>
      <c r="M68" s="84">
        <f t="array" ref="M68">if($Q$6="n",0,index('Match Sched'!AJ$3:AJ102,match($L68,'Match Sched'!$AI$3:$AI102,0)))</f>
        <v>0</v>
      </c>
      <c r="N68" s="84">
        <f t="array" ref="N68">if($Q$6="n",0,index('Match Sched'!AK$3:AK102,match($L68,'Match Sched'!$AI$3:$AI102,0)))</f>
        <v>0</v>
      </c>
      <c r="O68" s="84">
        <f t="array" ref="O68">if($Q$6="n",0,ROUND(index('Match Sched'!AL$3:AL102,match($L68,'Match Sched'!$AI$3:$AI102,0)),1))</f>
        <v>0</v>
      </c>
      <c r="P68" s="85"/>
      <c r="Q68" s="88"/>
    </row>
    <row r="69">
      <c r="A69" s="49"/>
      <c r="B69" s="50"/>
      <c r="C69" s="79"/>
      <c r="D69" s="79"/>
      <c r="E69" s="79"/>
      <c r="F69" s="79"/>
      <c r="G69" s="79"/>
      <c r="H69" s="80"/>
      <c r="I69" s="79"/>
      <c r="J69" s="79"/>
      <c r="K69" s="77"/>
      <c r="L69" s="81">
        <v>67.0</v>
      </c>
      <c r="M69" s="84">
        <f t="array" ref="M69">if($Q$6="n",0,index('Match Sched'!AJ$3:AJ102,match($L69,'Match Sched'!$AI$3:$AI102,0)))</f>
        <v>0</v>
      </c>
      <c r="N69" s="84">
        <f t="array" ref="N69">if($Q$6="n",0,index('Match Sched'!AK$3:AK102,match($L69,'Match Sched'!$AI$3:$AI102,0)))</f>
        <v>0</v>
      </c>
      <c r="O69" s="84">
        <f t="array" ref="O69">if($Q$6="n",0,ROUND(index('Match Sched'!AL$3:AL102,match($L69,'Match Sched'!$AI$3:$AI102,0)),1))</f>
        <v>0</v>
      </c>
      <c r="P69" s="85"/>
      <c r="Q69" s="88"/>
    </row>
    <row r="70">
      <c r="A70" s="49"/>
      <c r="B70" s="50"/>
      <c r="C70" s="79"/>
      <c r="D70" s="79"/>
      <c r="E70" s="79"/>
      <c r="F70" s="79"/>
      <c r="G70" s="79"/>
      <c r="H70" s="80"/>
      <c r="I70" s="79"/>
      <c r="J70" s="79"/>
      <c r="K70" s="77"/>
      <c r="L70" s="81">
        <v>68.0</v>
      </c>
      <c r="M70" s="84">
        <f t="array" ref="M70">if($Q$6="n",0,index('Match Sched'!AJ$3:AJ102,match($L70,'Match Sched'!$AI$3:$AI102,0)))</f>
        <v>0</v>
      </c>
      <c r="N70" s="84">
        <f t="array" ref="N70">if($Q$6="n",0,index('Match Sched'!AK$3:AK102,match($L70,'Match Sched'!$AI$3:$AI102,0)))</f>
        <v>0</v>
      </c>
      <c r="O70" s="84">
        <f t="array" ref="O70">if($Q$6="n",0,ROUND(index('Match Sched'!AL$3:AL102,match($L70,'Match Sched'!$AI$3:$AI102,0)),1))</f>
        <v>0</v>
      </c>
      <c r="P70" s="85"/>
      <c r="Q70" s="88"/>
    </row>
    <row r="71">
      <c r="A71" s="49"/>
      <c r="B71" s="50"/>
      <c r="C71" s="79"/>
      <c r="D71" s="79"/>
      <c r="E71" s="79"/>
      <c r="F71" s="79"/>
      <c r="G71" s="79"/>
      <c r="H71" s="80"/>
      <c r="I71" s="79"/>
      <c r="J71" s="79"/>
      <c r="K71" s="77"/>
      <c r="L71" s="81">
        <v>69.0</v>
      </c>
      <c r="M71" s="84">
        <f t="array" ref="M71">if($Q$6="n",0,index('Match Sched'!AJ$3:AJ102,match($L71,'Match Sched'!$AI$3:$AI102,0)))</f>
        <v>0</v>
      </c>
      <c r="N71" s="84">
        <f t="array" ref="N71">if($Q$6="n",0,index('Match Sched'!AK$3:AK102,match($L71,'Match Sched'!$AI$3:$AI102,0)))</f>
        <v>0</v>
      </c>
      <c r="O71" s="84">
        <f t="array" ref="O71">if($Q$6="n",0,ROUND(index('Match Sched'!AL$3:AL102,match($L71,'Match Sched'!$AI$3:$AI102,0)),1))</f>
        <v>0</v>
      </c>
      <c r="P71" s="85"/>
      <c r="Q71" s="88"/>
    </row>
    <row r="72">
      <c r="A72" s="49"/>
      <c r="B72" s="50"/>
      <c r="C72" s="79"/>
      <c r="D72" s="79"/>
      <c r="E72" s="79"/>
      <c r="F72" s="79"/>
      <c r="G72" s="79"/>
      <c r="H72" s="80"/>
      <c r="I72" s="79"/>
      <c r="J72" s="79"/>
      <c r="K72" s="77"/>
      <c r="L72" s="81">
        <v>70.0</v>
      </c>
      <c r="M72" s="84">
        <f t="array" ref="M72">if($Q$6="n",0,index('Match Sched'!AJ$3:AJ102,match($L72,'Match Sched'!$AI$3:$AI102,0)))</f>
        <v>0</v>
      </c>
      <c r="N72" s="84">
        <f t="array" ref="N72">if($Q$6="n",0,index('Match Sched'!AK$3:AK102,match($L72,'Match Sched'!$AI$3:$AI102,0)))</f>
        <v>0</v>
      </c>
      <c r="O72" s="84">
        <f t="array" ref="O72">if($Q$6="n",0,ROUND(index('Match Sched'!AL$3:AL102,match($L72,'Match Sched'!$AI$3:$AI102,0)),1))</f>
        <v>0</v>
      </c>
      <c r="P72" s="85"/>
      <c r="Q72" s="88"/>
    </row>
    <row r="73">
      <c r="A73" s="49"/>
      <c r="B73" s="50"/>
      <c r="C73" s="79"/>
      <c r="D73" s="79"/>
      <c r="E73" s="79"/>
      <c r="F73" s="79"/>
      <c r="G73" s="79"/>
      <c r="H73" s="80"/>
      <c r="I73" s="79"/>
      <c r="J73" s="79"/>
      <c r="K73" s="77"/>
      <c r="L73" s="81">
        <v>71.0</v>
      </c>
      <c r="M73" s="84">
        <f t="array" ref="M73">if($Q$6="n",0,index('Match Sched'!AJ$3:AJ102,match($L73,'Match Sched'!$AI$3:$AI102,0)))</f>
        <v>0</v>
      </c>
      <c r="N73" s="84">
        <f t="array" ref="N73">if($Q$6="n",0,index('Match Sched'!AK$3:AK102,match($L73,'Match Sched'!$AI$3:$AI102,0)))</f>
        <v>0</v>
      </c>
      <c r="O73" s="84">
        <f t="array" ref="O73">if($Q$6="n",0,ROUND(index('Match Sched'!AL$3:AL102,match($L73,'Match Sched'!$AI$3:$AI102,0)),1))</f>
        <v>0</v>
      </c>
      <c r="P73" s="85"/>
      <c r="Q73" s="88"/>
    </row>
    <row r="74">
      <c r="A74" s="49"/>
      <c r="B74" s="50"/>
      <c r="C74" s="79"/>
      <c r="D74" s="79"/>
      <c r="E74" s="79"/>
      <c r="F74" s="79"/>
      <c r="G74" s="79"/>
      <c r="H74" s="80"/>
      <c r="I74" s="79"/>
      <c r="J74" s="79"/>
      <c r="K74" s="77"/>
      <c r="L74" s="81">
        <v>72.0</v>
      </c>
      <c r="M74" s="84">
        <f t="array" ref="M74">if($Q$6="n",0,index('Match Sched'!AJ$3:AJ102,match($L74,'Match Sched'!$AI$3:$AI102,0)))</f>
        <v>0</v>
      </c>
      <c r="N74" s="84">
        <f t="array" ref="N74">if($Q$6="n",0,index('Match Sched'!AK$3:AK102,match($L74,'Match Sched'!$AI$3:$AI102,0)))</f>
        <v>0</v>
      </c>
      <c r="O74" s="84">
        <f t="array" ref="O74">if($Q$6="n",0,ROUND(index('Match Sched'!AL$3:AL102,match($L74,'Match Sched'!$AI$3:$AI102,0)),1))</f>
        <v>0</v>
      </c>
      <c r="P74" s="85"/>
      <c r="Q74" s="88"/>
    </row>
    <row r="75">
      <c r="A75" s="49"/>
      <c r="B75" s="50"/>
      <c r="C75" s="79"/>
      <c r="D75" s="79"/>
      <c r="E75" s="79"/>
      <c r="F75" s="79"/>
      <c r="G75" s="79"/>
      <c r="H75" s="80"/>
      <c r="I75" s="79"/>
      <c r="J75" s="79"/>
      <c r="K75" s="77"/>
      <c r="L75" s="81">
        <v>73.0</v>
      </c>
      <c r="M75" s="84">
        <f t="array" ref="M75">if($Q$6="n",0,index('Match Sched'!AJ$3:AJ102,match($L75,'Match Sched'!$AI$3:$AI102,0)))</f>
        <v>0</v>
      </c>
      <c r="N75" s="84">
        <f t="array" ref="N75">if($Q$6="n",0,index('Match Sched'!AK$3:AK102,match($L75,'Match Sched'!$AI$3:$AI102,0)))</f>
        <v>0</v>
      </c>
      <c r="O75" s="84">
        <f t="array" ref="O75">if($Q$6="n",0,ROUND(index('Match Sched'!AL$3:AL102,match($L75,'Match Sched'!$AI$3:$AI102,0)),1))</f>
        <v>0</v>
      </c>
      <c r="P75" s="85"/>
      <c r="Q75" s="88"/>
    </row>
    <row r="76">
      <c r="A76" s="49"/>
      <c r="B76" s="50"/>
      <c r="C76" s="79"/>
      <c r="D76" s="79"/>
      <c r="E76" s="79"/>
      <c r="F76" s="79"/>
      <c r="G76" s="79"/>
      <c r="H76" s="80"/>
      <c r="I76" s="79"/>
      <c r="J76" s="79"/>
      <c r="K76" s="77"/>
      <c r="L76" s="81">
        <v>74.0</v>
      </c>
      <c r="M76" s="84">
        <f t="array" ref="M76">if($Q$6="n",0,index('Match Sched'!AJ$3:AJ102,match($L76,'Match Sched'!$AI$3:$AI102,0)))</f>
        <v>0</v>
      </c>
      <c r="N76" s="84">
        <f t="array" ref="N76">if($Q$6="n",0,index('Match Sched'!AK$3:AK102,match($L76,'Match Sched'!$AI$3:$AI102,0)))</f>
        <v>0</v>
      </c>
      <c r="O76" s="84">
        <f t="array" ref="O76">if($Q$6="n",0,ROUND(index('Match Sched'!AL$3:AL102,match($L76,'Match Sched'!$AI$3:$AI102,0)),1))</f>
        <v>0</v>
      </c>
      <c r="P76" s="85"/>
      <c r="Q76" s="88"/>
    </row>
    <row r="77">
      <c r="A77" s="49"/>
      <c r="B77" s="50"/>
      <c r="C77" s="79"/>
      <c r="D77" s="79"/>
      <c r="E77" s="79"/>
      <c r="F77" s="79"/>
      <c r="G77" s="79"/>
      <c r="H77" s="80"/>
      <c r="I77" s="79"/>
      <c r="J77" s="79"/>
      <c r="K77" s="77"/>
      <c r="L77" s="81">
        <v>75.0</v>
      </c>
      <c r="M77" s="84">
        <f t="array" ref="M77">if($Q$6="n",0,index('Match Sched'!AJ$3:AJ102,match($L77,'Match Sched'!$AI$3:$AI102,0)))</f>
        <v>0</v>
      </c>
      <c r="N77" s="84">
        <f t="array" ref="N77">if($Q$6="n",0,index('Match Sched'!AK$3:AK102,match($L77,'Match Sched'!$AI$3:$AI102,0)))</f>
        <v>0</v>
      </c>
      <c r="O77" s="84">
        <f t="array" ref="O77">if($Q$6="n",0,ROUND(index('Match Sched'!AL$3:AL102,match($L77,'Match Sched'!$AI$3:$AI102,0)),1))</f>
        <v>0</v>
      </c>
      <c r="P77" s="85"/>
      <c r="Q77" s="88"/>
    </row>
    <row r="78">
      <c r="A78" s="49"/>
      <c r="B78" s="94"/>
      <c r="C78" s="79"/>
      <c r="D78" s="79"/>
      <c r="E78" s="79"/>
      <c r="F78" s="79"/>
      <c r="G78" s="79"/>
      <c r="H78" s="80"/>
      <c r="I78" s="79"/>
      <c r="J78" s="79"/>
      <c r="K78" s="77"/>
      <c r="L78" s="81">
        <v>76.0</v>
      </c>
      <c r="M78" s="84">
        <f t="array" ref="M78">if($Q$6="n",0,index('Match Sched'!AJ$3:AJ102,match($L78,'Match Sched'!$AI$3:$AI102,0)))</f>
        <v>0</v>
      </c>
      <c r="N78" s="84">
        <f t="array" ref="N78">if($Q$6="n",0,index('Match Sched'!AK$3:AK102,match($L78,'Match Sched'!$AI$3:$AI102,0)))</f>
        <v>0</v>
      </c>
      <c r="O78" s="84">
        <f t="array" ref="O78">if($Q$6="n",0,ROUND(index('Match Sched'!AL$3:AL102,match($L78,'Match Sched'!$AI$3:$AI102,0)),1))</f>
        <v>0</v>
      </c>
      <c r="P78" s="85"/>
      <c r="Q78" s="88"/>
    </row>
    <row r="79">
      <c r="A79" s="49"/>
      <c r="B79" s="94"/>
      <c r="C79" s="79"/>
      <c r="D79" s="79"/>
      <c r="E79" s="79"/>
      <c r="F79" s="79"/>
      <c r="G79" s="79"/>
      <c r="H79" s="80"/>
      <c r="I79" s="79"/>
      <c r="J79" s="79"/>
      <c r="K79" s="77"/>
      <c r="L79" s="81">
        <v>77.0</v>
      </c>
      <c r="M79" s="84">
        <f t="array" ref="M79">if($Q$6="n",0,index('Match Sched'!AJ$3:AJ102,match($L79,'Match Sched'!$AI$3:$AI102,0)))</f>
        <v>0</v>
      </c>
      <c r="N79" s="84">
        <f t="array" ref="N79">if($Q$6="n",0,index('Match Sched'!AK$3:AK102,match($L79,'Match Sched'!$AI$3:$AI102,0)))</f>
        <v>0</v>
      </c>
      <c r="O79" s="84">
        <f t="array" ref="O79">if($Q$6="n",0,ROUND(index('Match Sched'!AL$3:AL102,match($L79,'Match Sched'!$AI$3:$AI102,0)),1))</f>
        <v>0</v>
      </c>
      <c r="P79" s="85"/>
      <c r="Q79" s="88"/>
    </row>
    <row r="80">
      <c r="A80" s="49"/>
      <c r="B80" s="94"/>
      <c r="C80" s="79"/>
      <c r="D80" s="79"/>
      <c r="E80" s="79"/>
      <c r="F80" s="79"/>
      <c r="G80" s="79"/>
      <c r="H80" s="80"/>
      <c r="I80" s="79"/>
      <c r="J80" s="79"/>
      <c r="K80" s="77"/>
      <c r="L80" s="81">
        <v>78.0</v>
      </c>
      <c r="M80" s="84">
        <f t="array" ref="M80">if($Q$6="n",0,index('Match Sched'!AJ$3:AJ102,match($L80,'Match Sched'!$AI$3:$AI102,0)))</f>
        <v>0</v>
      </c>
      <c r="N80" s="84">
        <f t="array" ref="N80">if($Q$6="n",0,index('Match Sched'!AK$3:AK102,match($L80,'Match Sched'!$AI$3:$AI102,0)))</f>
        <v>0</v>
      </c>
      <c r="O80" s="84">
        <f t="array" ref="O80">if($Q$6="n",0,ROUND(index('Match Sched'!AL$3:AL102,match($L80,'Match Sched'!$AI$3:$AI102,0)),1))</f>
        <v>0</v>
      </c>
      <c r="P80" s="85"/>
      <c r="Q80" s="88"/>
    </row>
    <row r="81">
      <c r="A81" s="49"/>
      <c r="B81" s="94"/>
      <c r="C81" s="79"/>
      <c r="D81" s="79"/>
      <c r="E81" s="79"/>
      <c r="F81" s="79"/>
      <c r="G81" s="79"/>
      <c r="H81" s="80"/>
      <c r="I81" s="79"/>
      <c r="J81" s="79"/>
      <c r="K81" s="77"/>
      <c r="L81" s="81">
        <v>79.0</v>
      </c>
      <c r="M81" s="84">
        <f t="array" ref="M81">if($Q$6="n",0,index('Match Sched'!AJ$3:AJ102,match($L81,'Match Sched'!$AI$3:$AI102,0)))</f>
        <v>0</v>
      </c>
      <c r="N81" s="84">
        <f t="array" ref="N81">if($Q$6="n",0,index('Match Sched'!AK$3:AK102,match($L81,'Match Sched'!$AI$3:$AI102,0)))</f>
        <v>0</v>
      </c>
      <c r="O81" s="84">
        <f t="array" ref="O81">if($Q$6="n",0,ROUND(index('Match Sched'!AL$3:AL102,match($L81,'Match Sched'!$AI$3:$AI102,0)),1))</f>
        <v>0</v>
      </c>
      <c r="P81" s="85"/>
      <c r="Q81" s="88"/>
    </row>
    <row r="82">
      <c r="A82" s="49"/>
      <c r="B82" s="94"/>
      <c r="C82" s="79"/>
      <c r="D82" s="79"/>
      <c r="E82" s="79"/>
      <c r="F82" s="79"/>
      <c r="G82" s="79"/>
      <c r="H82" s="80"/>
      <c r="I82" s="79"/>
      <c r="J82" s="79"/>
      <c r="K82" s="77"/>
      <c r="L82" s="81">
        <v>80.0</v>
      </c>
      <c r="M82" s="84">
        <f t="array" ref="M82">if($Q$6="n",0,index('Match Sched'!AJ$3:AJ102,match($L82,'Match Sched'!$AI$3:$AI102,0)))</f>
        <v>0</v>
      </c>
      <c r="N82" s="84">
        <f t="array" ref="N82">if($Q$6="n",0,index('Match Sched'!AK$3:AK102,match($L82,'Match Sched'!$AI$3:$AI102,0)))</f>
        <v>0</v>
      </c>
      <c r="O82" s="84">
        <f t="array" ref="O82">if($Q$6="n",0,ROUND(index('Match Sched'!AL$3:AL102,match($L82,'Match Sched'!$AI$3:$AI102,0)),1))</f>
        <v>0</v>
      </c>
      <c r="P82" s="85"/>
      <c r="Q82" s="88"/>
    </row>
    <row r="83">
      <c r="A83" s="49"/>
      <c r="B83" s="94"/>
      <c r="C83" s="79"/>
      <c r="D83" s="79"/>
      <c r="E83" s="79"/>
      <c r="F83" s="79"/>
      <c r="G83" s="79"/>
      <c r="H83" s="80"/>
      <c r="I83" s="79"/>
      <c r="J83" s="79"/>
      <c r="K83" s="77"/>
      <c r="L83" s="81">
        <v>81.0</v>
      </c>
      <c r="M83" s="84">
        <f t="array" ref="M83">if($Q$6="n",0,index('Match Sched'!AJ$3:AJ102,match($L83,'Match Sched'!$AI$3:$AI102,0)))</f>
        <v>0</v>
      </c>
      <c r="N83" s="84">
        <f t="array" ref="N83">if($Q$6="n",0,index('Match Sched'!AK$3:AK102,match($L83,'Match Sched'!$AI$3:$AI102,0)))</f>
        <v>0</v>
      </c>
      <c r="O83" s="84">
        <f t="array" ref="O83">if($Q$6="n",0,ROUND(index('Match Sched'!AL$3:AL102,match($L83,'Match Sched'!$AI$3:$AI102,0)),1))</f>
        <v>0</v>
      </c>
      <c r="P83" s="85"/>
      <c r="Q83" s="88"/>
    </row>
    <row r="84">
      <c r="A84" s="49"/>
      <c r="B84" s="94"/>
      <c r="C84" s="79"/>
      <c r="D84" s="79"/>
      <c r="E84" s="79"/>
      <c r="F84" s="79"/>
      <c r="G84" s="79"/>
      <c r="H84" s="80"/>
      <c r="I84" s="79"/>
      <c r="J84" s="79"/>
      <c r="K84" s="77"/>
      <c r="L84" s="81">
        <v>82.0</v>
      </c>
      <c r="M84" s="84">
        <f t="array" ref="M84">if($Q$6="n",0,index('Match Sched'!AJ$3:AJ102,match($L84,'Match Sched'!$AI$3:$AI102,0)))</f>
        <v>0</v>
      </c>
      <c r="N84" s="84">
        <f t="array" ref="N84">if($Q$6="n",0,index('Match Sched'!AK$3:AK102,match($L84,'Match Sched'!$AI$3:$AI102,0)))</f>
        <v>0</v>
      </c>
      <c r="O84" s="84">
        <f t="array" ref="O84">if($Q$6="n",0,ROUND(index('Match Sched'!AL$3:AL102,match($L84,'Match Sched'!$AI$3:$AI102,0)),1))</f>
        <v>0</v>
      </c>
      <c r="P84" s="85"/>
      <c r="Q84" s="88"/>
    </row>
    <row r="85">
      <c r="A85" s="49"/>
      <c r="B85" s="94"/>
      <c r="C85" s="79"/>
      <c r="D85" s="79"/>
      <c r="E85" s="79"/>
      <c r="F85" s="79"/>
      <c r="G85" s="79"/>
      <c r="H85" s="80"/>
      <c r="I85" s="79"/>
      <c r="J85" s="79"/>
      <c r="K85" s="77"/>
      <c r="L85" s="81">
        <v>83.0</v>
      </c>
      <c r="M85" s="84">
        <f t="array" ref="M85">if($Q$6="n",0,index('Match Sched'!AJ$3:AJ102,match($L85,'Match Sched'!$AI$3:$AI102,0)))</f>
        <v>0</v>
      </c>
      <c r="N85" s="84">
        <f t="array" ref="N85">if($Q$6="n",0,index('Match Sched'!AK$3:AK102,match($L85,'Match Sched'!$AI$3:$AI102,0)))</f>
        <v>0</v>
      </c>
      <c r="O85" s="84">
        <f t="array" ref="O85">if($Q$6="n",0,ROUND(index('Match Sched'!AL$3:AL102,match($L85,'Match Sched'!$AI$3:$AI102,0)),1))</f>
        <v>0</v>
      </c>
      <c r="P85" s="85"/>
      <c r="Q85" s="88"/>
    </row>
    <row r="86">
      <c r="A86" s="49"/>
      <c r="B86" s="94"/>
      <c r="C86" s="79"/>
      <c r="D86" s="79"/>
      <c r="E86" s="79"/>
      <c r="F86" s="79"/>
      <c r="G86" s="79"/>
      <c r="H86" s="80"/>
      <c r="I86" s="79"/>
      <c r="J86" s="79"/>
      <c r="K86" s="77"/>
      <c r="L86" s="81">
        <v>84.0</v>
      </c>
      <c r="M86" s="84">
        <f t="array" ref="M86">if($Q$6="n",0,index('Match Sched'!AJ$3:AJ102,match($L86,'Match Sched'!$AI$3:$AI102,0)))</f>
        <v>0</v>
      </c>
      <c r="N86" s="84">
        <f t="array" ref="N86">if($Q$6="n",0,index('Match Sched'!AK$3:AK102,match($L86,'Match Sched'!$AI$3:$AI102,0)))</f>
        <v>0</v>
      </c>
      <c r="O86" s="84">
        <f t="array" ref="O86">if($Q$6="n",0,ROUND(index('Match Sched'!AL$3:AL102,match($L86,'Match Sched'!$AI$3:$AI102,0)),1))</f>
        <v>0</v>
      </c>
      <c r="P86" s="85"/>
      <c r="Q86" s="88"/>
    </row>
    <row r="87">
      <c r="A87" s="49"/>
      <c r="B87" s="94"/>
      <c r="C87" s="79"/>
      <c r="D87" s="79"/>
      <c r="E87" s="79"/>
      <c r="F87" s="79"/>
      <c r="G87" s="79"/>
      <c r="H87" s="80"/>
      <c r="I87" s="79"/>
      <c r="J87" s="79"/>
      <c r="K87" s="77"/>
      <c r="L87" s="81">
        <v>85.0</v>
      </c>
      <c r="M87" s="84">
        <f t="array" ref="M87">if($Q$6="n",0,index('Match Sched'!AJ$3:AJ102,match($L87,'Match Sched'!$AI$3:$AI102,0)))</f>
        <v>0</v>
      </c>
      <c r="N87" s="84">
        <f t="array" ref="N87">if($Q$6="n",0,index('Match Sched'!AK$3:AK102,match($L87,'Match Sched'!$AI$3:$AI102,0)))</f>
        <v>0</v>
      </c>
      <c r="O87" s="84">
        <f t="array" ref="O87">if($Q$6="n",0,ROUND(index('Match Sched'!AL$3:AL102,match($L87,'Match Sched'!$AI$3:$AI102,0)),1))</f>
        <v>0</v>
      </c>
      <c r="P87" s="85"/>
      <c r="Q87" s="88"/>
    </row>
    <row r="88">
      <c r="A88" s="49"/>
      <c r="B88" s="94"/>
      <c r="C88" s="79"/>
      <c r="D88" s="79"/>
      <c r="E88" s="79"/>
      <c r="F88" s="79"/>
      <c r="G88" s="79"/>
      <c r="H88" s="80"/>
      <c r="I88" s="79"/>
      <c r="J88" s="79"/>
      <c r="K88" s="77"/>
      <c r="L88" s="81">
        <v>86.0</v>
      </c>
      <c r="M88" s="84">
        <f t="array" ref="M88">if($Q$6="n",0,index('Match Sched'!AJ$3:AJ102,match($L88,'Match Sched'!$AI$3:$AI102,0)))</f>
        <v>0</v>
      </c>
      <c r="N88" s="84">
        <f t="array" ref="N88">if($Q$6="n",0,index('Match Sched'!AK$3:AK102,match($L88,'Match Sched'!$AI$3:$AI102,0)))</f>
        <v>0</v>
      </c>
      <c r="O88" s="84">
        <f t="array" ref="O88">if($Q$6="n",0,ROUND(index('Match Sched'!AL$3:AL102,match($L88,'Match Sched'!$AI$3:$AI102,0)),1))</f>
        <v>0</v>
      </c>
      <c r="P88" s="85"/>
      <c r="Q88" s="88"/>
    </row>
    <row r="89">
      <c r="A89" s="49"/>
      <c r="B89" s="94"/>
      <c r="C89" s="79"/>
      <c r="D89" s="79"/>
      <c r="E89" s="79"/>
      <c r="F89" s="79"/>
      <c r="G89" s="79"/>
      <c r="H89" s="80"/>
      <c r="I89" s="79"/>
      <c r="J89" s="79"/>
      <c r="K89" s="77"/>
      <c r="L89" s="81">
        <v>87.0</v>
      </c>
      <c r="M89" s="84">
        <f t="array" ref="M89">if($Q$6="n",0,index('Match Sched'!AJ$3:AJ102,match($L89,'Match Sched'!$AI$3:$AI102,0)))</f>
        <v>0</v>
      </c>
      <c r="N89" s="84">
        <f t="array" ref="N89">if($Q$6="n",0,index('Match Sched'!AK$3:AK102,match($L89,'Match Sched'!$AI$3:$AI102,0)))</f>
        <v>0</v>
      </c>
      <c r="O89" s="84">
        <f t="array" ref="O89">if($Q$6="n",0,ROUND(index('Match Sched'!AL$3:AL102,match($L89,'Match Sched'!$AI$3:$AI102,0)),1))</f>
        <v>0</v>
      </c>
      <c r="P89" s="85"/>
      <c r="Q89" s="88"/>
    </row>
    <row r="90">
      <c r="A90" s="49"/>
      <c r="B90" s="94"/>
      <c r="C90" s="79"/>
      <c r="D90" s="79"/>
      <c r="E90" s="79"/>
      <c r="F90" s="79"/>
      <c r="G90" s="79"/>
      <c r="H90" s="80"/>
      <c r="I90" s="79"/>
      <c r="J90" s="79"/>
      <c r="K90" s="77"/>
      <c r="L90" s="81">
        <v>88.0</v>
      </c>
      <c r="M90" s="84">
        <f t="array" ref="M90">if($Q$6="n",0,index('Match Sched'!AJ$3:AJ102,match($L90,'Match Sched'!$AI$3:$AI102,0)))</f>
        <v>0</v>
      </c>
      <c r="N90" s="84">
        <f t="array" ref="N90">if($Q$6="n",0,index('Match Sched'!AK$3:AK102,match($L90,'Match Sched'!$AI$3:$AI102,0)))</f>
        <v>0</v>
      </c>
      <c r="O90" s="84">
        <f t="array" ref="O90">if($Q$6="n",0,ROUND(index('Match Sched'!AL$3:AL102,match($L90,'Match Sched'!$AI$3:$AI102,0)),1))</f>
        <v>0</v>
      </c>
      <c r="P90" s="85"/>
      <c r="Q90" s="88"/>
    </row>
    <row r="91">
      <c r="A91" s="49"/>
      <c r="B91" s="94"/>
      <c r="C91" s="79"/>
      <c r="D91" s="79"/>
      <c r="E91" s="79"/>
      <c r="F91" s="79"/>
      <c r="G91" s="79"/>
      <c r="H91" s="80"/>
      <c r="I91" s="79"/>
      <c r="J91" s="79"/>
      <c r="K91" s="77"/>
      <c r="L91" s="81">
        <v>89.0</v>
      </c>
      <c r="M91" s="84">
        <f t="array" ref="M91">if($Q$6="n",0,index('Match Sched'!AJ$3:AJ102,match($L91,'Match Sched'!$AI$3:$AI102,0)))</f>
        <v>0</v>
      </c>
      <c r="N91" s="84">
        <f t="array" ref="N91">if($Q$6="n",0,index('Match Sched'!AK$3:AK102,match($L91,'Match Sched'!$AI$3:$AI102,0)))</f>
        <v>0</v>
      </c>
      <c r="O91" s="84">
        <f t="array" ref="O91">if($Q$6="n",0,ROUND(index('Match Sched'!AL$3:AL102,match($L91,'Match Sched'!$AI$3:$AI102,0)),1))</f>
        <v>0</v>
      </c>
      <c r="P91" s="85"/>
      <c r="Q91" s="88"/>
    </row>
    <row r="92">
      <c r="A92" s="49"/>
      <c r="B92" s="94"/>
      <c r="C92" s="79"/>
      <c r="D92" s="79"/>
      <c r="E92" s="79"/>
      <c r="F92" s="79"/>
      <c r="G92" s="79"/>
      <c r="H92" s="80"/>
      <c r="I92" s="79"/>
      <c r="J92" s="79"/>
      <c r="K92" s="77"/>
      <c r="L92" s="81">
        <v>90.0</v>
      </c>
      <c r="M92" s="84">
        <f t="array" ref="M92">if($Q$6="n",0,index('Match Sched'!AJ$3:AJ102,match($L92,'Match Sched'!$AI$3:$AI102,0)))</f>
        <v>0</v>
      </c>
      <c r="N92" s="84">
        <f t="array" ref="N92">if($Q$6="n",0,index('Match Sched'!AK$3:AK102,match($L92,'Match Sched'!$AI$3:$AI102,0)))</f>
        <v>0</v>
      </c>
      <c r="O92" s="84">
        <f t="array" ref="O92">if($Q$6="n",0,ROUND(index('Match Sched'!AL$3:AL102,match($L92,'Match Sched'!$AI$3:$AI102,0)),1))</f>
        <v>0</v>
      </c>
      <c r="P92" s="85"/>
      <c r="Q92" s="88"/>
    </row>
    <row r="93">
      <c r="A93" s="49"/>
      <c r="B93" s="94"/>
      <c r="C93" s="79"/>
      <c r="D93" s="79"/>
      <c r="E93" s="79"/>
      <c r="F93" s="79"/>
      <c r="G93" s="79"/>
      <c r="H93" s="80"/>
      <c r="I93" s="79"/>
      <c r="J93" s="79"/>
      <c r="K93" s="77"/>
      <c r="L93" s="81">
        <v>91.0</v>
      </c>
      <c r="M93" s="84">
        <f t="array" ref="M93">if($Q$6="n",0,index('Match Sched'!AJ$3:AJ102,match($L93,'Match Sched'!$AI$3:$AI102,0)))</f>
        <v>0</v>
      </c>
      <c r="N93" s="84">
        <f t="array" ref="N93">if($Q$6="n",0,index('Match Sched'!AK$3:AK102,match($L93,'Match Sched'!$AI$3:$AI102,0)))</f>
        <v>0</v>
      </c>
      <c r="O93" s="84">
        <f t="array" ref="O93">if($Q$6="n",0,ROUND(index('Match Sched'!AL$3:AL102,match($L93,'Match Sched'!$AI$3:$AI102,0)),1))</f>
        <v>0</v>
      </c>
      <c r="P93" s="85"/>
      <c r="Q93" s="88"/>
    </row>
    <row r="94">
      <c r="A94" s="49"/>
      <c r="B94" s="94"/>
      <c r="C94" s="79"/>
      <c r="D94" s="79"/>
      <c r="E94" s="79"/>
      <c r="F94" s="79"/>
      <c r="G94" s="79"/>
      <c r="H94" s="80"/>
      <c r="I94" s="79"/>
      <c r="J94" s="79"/>
      <c r="K94" s="77"/>
      <c r="L94" s="81">
        <v>92.0</v>
      </c>
      <c r="M94" s="84">
        <f t="array" ref="M94">if($Q$6="n",0,index('Match Sched'!AJ$3:AJ102,match($L94,'Match Sched'!$AI$3:$AI102,0)))</f>
        <v>0</v>
      </c>
      <c r="N94" s="84">
        <f t="array" ref="N94">if($Q$6="n",0,index('Match Sched'!AK$3:AK102,match($L94,'Match Sched'!$AI$3:$AI102,0)))</f>
        <v>0</v>
      </c>
      <c r="O94" s="84">
        <f t="array" ref="O94">if($Q$6="n",0,ROUND(index('Match Sched'!AL$3:AL102,match($L94,'Match Sched'!$AI$3:$AI102,0)),1))</f>
        <v>0</v>
      </c>
      <c r="P94" s="85"/>
      <c r="Q94" s="88"/>
    </row>
    <row r="95">
      <c r="A95" s="49"/>
      <c r="B95" s="94"/>
      <c r="C95" s="79"/>
      <c r="D95" s="79"/>
      <c r="E95" s="79"/>
      <c r="F95" s="79"/>
      <c r="G95" s="79"/>
      <c r="H95" s="80"/>
      <c r="I95" s="79"/>
      <c r="J95" s="79"/>
      <c r="K95" s="77"/>
      <c r="L95" s="81">
        <v>93.0</v>
      </c>
      <c r="M95" s="84">
        <f t="array" ref="M95">if($Q$6="n",0,index('Match Sched'!AJ$3:AJ102,match($L95,'Match Sched'!$AI$3:$AI102,0)))</f>
        <v>0</v>
      </c>
      <c r="N95" s="84">
        <f t="array" ref="N95">if($Q$6="n",0,index('Match Sched'!AK$3:AK102,match($L95,'Match Sched'!$AI$3:$AI102,0)))</f>
        <v>0</v>
      </c>
      <c r="O95" s="84">
        <f t="array" ref="O95">if($Q$6="n",0,ROUND(index('Match Sched'!AL$3:AL102,match($L95,'Match Sched'!$AI$3:$AI102,0)),1))</f>
        <v>0</v>
      </c>
      <c r="P95" s="85"/>
      <c r="Q95" s="88"/>
    </row>
    <row r="96">
      <c r="A96" s="49"/>
      <c r="B96" s="94"/>
      <c r="C96" s="79"/>
      <c r="D96" s="79"/>
      <c r="E96" s="79"/>
      <c r="F96" s="79"/>
      <c r="G96" s="79"/>
      <c r="H96" s="80"/>
      <c r="I96" s="79"/>
      <c r="J96" s="79"/>
      <c r="K96" s="77"/>
      <c r="L96" s="81">
        <v>94.0</v>
      </c>
      <c r="M96" s="84">
        <f t="array" ref="M96">if($Q$6="n",0,index('Match Sched'!AJ$3:AJ102,match($L96,'Match Sched'!$AI$3:$AI102,0)))</f>
        <v>0</v>
      </c>
      <c r="N96" s="84">
        <f t="array" ref="N96">if($Q$6="n",0,index('Match Sched'!AK$3:AK102,match($L96,'Match Sched'!$AI$3:$AI102,0)))</f>
        <v>0</v>
      </c>
      <c r="O96" s="84">
        <f t="array" ref="O96">if($Q$6="n",0,ROUND(index('Match Sched'!AL$3:AL102,match($L96,'Match Sched'!$AI$3:$AI102,0)),1))</f>
        <v>0</v>
      </c>
      <c r="P96" s="85"/>
      <c r="Q96" s="88"/>
    </row>
    <row r="97">
      <c r="A97" s="49"/>
      <c r="B97" s="94"/>
      <c r="C97" s="79"/>
      <c r="D97" s="79"/>
      <c r="E97" s="79"/>
      <c r="F97" s="79"/>
      <c r="G97" s="79"/>
      <c r="H97" s="80"/>
      <c r="I97" s="79"/>
      <c r="J97" s="79"/>
      <c r="K97" s="77"/>
      <c r="L97" s="81">
        <v>95.0</v>
      </c>
      <c r="M97" s="84">
        <f t="array" ref="M97">if($Q$6="n",0,index('Match Sched'!AJ$3:AJ102,match($L97,'Match Sched'!$AI$3:$AI102,0)))</f>
        <v>0</v>
      </c>
      <c r="N97" s="84">
        <f t="array" ref="N97">if($Q$6="n",0,index('Match Sched'!AK$3:AK102,match($L97,'Match Sched'!$AI$3:$AI102,0)))</f>
        <v>0</v>
      </c>
      <c r="O97" s="84">
        <f t="array" ref="O97">if($Q$6="n",0,ROUND(index('Match Sched'!AL$3:AL102,match($L97,'Match Sched'!$AI$3:$AI102,0)),1))</f>
        <v>0</v>
      </c>
      <c r="P97" s="85"/>
      <c r="Q97" s="88"/>
    </row>
    <row r="98">
      <c r="A98" s="49"/>
      <c r="B98" s="94"/>
      <c r="C98" s="79"/>
      <c r="D98" s="79"/>
      <c r="E98" s="79"/>
      <c r="F98" s="79"/>
      <c r="G98" s="79"/>
      <c r="H98" s="80"/>
      <c r="I98" s="79"/>
      <c r="J98" s="79"/>
      <c r="K98" s="77"/>
      <c r="L98" s="81">
        <v>96.0</v>
      </c>
      <c r="M98" s="84">
        <f t="array" ref="M98">if($Q$6="n",0,index('Match Sched'!AJ$3:AJ102,match($L98,'Match Sched'!$AI$3:$AI102,0)))</f>
        <v>0</v>
      </c>
      <c r="N98" s="84">
        <f t="array" ref="N98">if($Q$6="n",0,index('Match Sched'!AK$3:AK102,match($L98,'Match Sched'!$AI$3:$AI102,0)))</f>
        <v>0</v>
      </c>
      <c r="O98" s="84">
        <f t="array" ref="O98">if($Q$6="n",0,ROUND(index('Match Sched'!AL$3:AL102,match($L98,'Match Sched'!$AI$3:$AI102,0)),1))</f>
        <v>0</v>
      </c>
      <c r="P98" s="85"/>
      <c r="Q98" s="88"/>
    </row>
    <row r="99">
      <c r="A99" s="49"/>
      <c r="B99" s="94"/>
      <c r="C99" s="79"/>
      <c r="D99" s="79"/>
      <c r="E99" s="79"/>
      <c r="F99" s="79"/>
      <c r="G99" s="79"/>
      <c r="H99" s="80"/>
      <c r="I99" s="79"/>
      <c r="J99" s="79"/>
      <c r="K99" s="77"/>
      <c r="L99" s="81">
        <v>97.0</v>
      </c>
      <c r="M99" s="84">
        <f t="array" ref="M99">if($Q$6="n",0,index('Match Sched'!AJ$3:AJ102,match($L99,'Match Sched'!$AI$3:$AI102,0)))</f>
        <v>0</v>
      </c>
      <c r="N99" s="84">
        <f t="array" ref="N99">if($Q$6="n",0,index('Match Sched'!AK$3:AK102,match($L99,'Match Sched'!$AI$3:$AI102,0)))</f>
        <v>0</v>
      </c>
      <c r="O99" s="84">
        <f t="array" ref="O99">if($Q$6="n",0,ROUND(index('Match Sched'!AL$3:AL102,match($L99,'Match Sched'!$AI$3:$AI102,0)),1))</f>
        <v>0</v>
      </c>
      <c r="P99" s="85"/>
      <c r="Q99" s="88"/>
    </row>
    <row r="100">
      <c r="A100" s="49"/>
      <c r="B100" s="94"/>
      <c r="C100" s="79"/>
      <c r="D100" s="79"/>
      <c r="E100" s="79"/>
      <c r="F100" s="79"/>
      <c r="G100" s="79"/>
      <c r="H100" s="80"/>
      <c r="I100" s="79"/>
      <c r="J100" s="79"/>
      <c r="K100" s="77"/>
      <c r="L100" s="81">
        <v>98.0</v>
      </c>
      <c r="M100" s="84">
        <f t="array" ref="M100">if($Q$6="n",0,index('Match Sched'!AJ$3:AJ102,match($L100,'Match Sched'!$AI$3:$AI102,0)))</f>
        <v>0</v>
      </c>
      <c r="N100" s="84">
        <f t="array" ref="N100">if($Q$6="n",0,index('Match Sched'!AK$3:AK102,match($L100,'Match Sched'!$AI$3:$AI102,0)))</f>
        <v>0</v>
      </c>
      <c r="O100" s="84">
        <f t="array" ref="O100">if($Q$6="n",0,ROUND(index('Match Sched'!AL$3:AL102,match($L100,'Match Sched'!$AI$3:$AI102,0)),1))</f>
        <v>0</v>
      </c>
      <c r="P100" s="85"/>
      <c r="Q100" s="88"/>
    </row>
    <row r="101">
      <c r="A101" s="49"/>
      <c r="B101" s="94"/>
      <c r="C101" s="79"/>
      <c r="D101" s="79"/>
      <c r="E101" s="79"/>
      <c r="F101" s="79"/>
      <c r="G101" s="79"/>
      <c r="H101" s="80"/>
      <c r="I101" s="79"/>
      <c r="J101" s="79"/>
      <c r="K101" s="77"/>
      <c r="L101" s="81">
        <v>99.0</v>
      </c>
      <c r="M101" s="84">
        <f t="array" ref="M101">if($Q$6="n",0,index('Match Sched'!AJ$3:AJ102,match($L101,'Match Sched'!$AI$3:$AI102,0)))</f>
        <v>0</v>
      </c>
      <c r="N101" s="84">
        <f t="array" ref="N101">if($Q$6="n",0,index('Match Sched'!AK$3:AK102,match($L101,'Match Sched'!$AI$3:$AI102,0)))</f>
        <v>0</v>
      </c>
      <c r="O101" s="84">
        <f t="array" ref="O101">if($Q$6="n",0,ROUND(index('Match Sched'!AL$3:AL102,match($L101,'Match Sched'!$AI$3:$AI102,0)),1))</f>
        <v>0</v>
      </c>
      <c r="P101" s="85"/>
      <c r="Q101" s="88"/>
    </row>
    <row r="102">
      <c r="A102" s="49"/>
      <c r="B102" s="94"/>
      <c r="C102" s="79"/>
      <c r="D102" s="79"/>
      <c r="E102" s="79"/>
      <c r="F102" s="79"/>
      <c r="G102" s="79"/>
      <c r="H102" s="80"/>
      <c r="I102" s="79"/>
      <c r="J102" s="79"/>
      <c r="K102" s="77"/>
      <c r="L102" s="81">
        <v>100.0</v>
      </c>
      <c r="M102" s="84">
        <f t="array" ref="M102">if($Q$6="n",0,index('Match Sched'!AJ$3:AJ102,match($L102,'Match Sched'!$AI$3:$AI102,0)))</f>
        <v>0</v>
      </c>
      <c r="N102" s="84">
        <f t="array" ref="N102">if($Q$6="n",0,index('Match Sched'!AK$3:AK102,match($L102,'Match Sched'!$AI$3:$AI102,0)))</f>
        <v>0</v>
      </c>
      <c r="O102" s="84">
        <f t="array" ref="O102">if($Q$6="n",0,ROUND(index('Match Sched'!AL$3:AL102,match($L102,'Match Sched'!$AI$3:$AI102,0)),1))</f>
        <v>0</v>
      </c>
      <c r="P102" s="85"/>
      <c r="Q102" s="88"/>
    </row>
  </sheetData>
  <mergeCells count="4">
    <mergeCell ref="L1:O1"/>
    <mergeCell ref="Q4:Q5"/>
    <mergeCell ref="Q8:Q10"/>
    <mergeCell ref="A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6">
        <v>1.0</v>
      </c>
      <c r="B1" s="96">
        <v>3366.0</v>
      </c>
      <c r="C1" s="96">
        <v>2.0</v>
      </c>
      <c r="D1" s="96">
        <v>2121.0</v>
      </c>
      <c r="E1" s="96">
        <v>385.0</v>
      </c>
      <c r="F1" s="96">
        <v>1000.0</v>
      </c>
      <c r="G1" s="96">
        <v>750.0</v>
      </c>
      <c r="H1" s="96">
        <v>46.0</v>
      </c>
      <c r="I1" s="96" t="s">
        <v>102</v>
      </c>
      <c r="J1" s="96">
        <v>9.0</v>
      </c>
    </row>
    <row r="2">
      <c r="A2" s="97">
        <v>2.0</v>
      </c>
      <c r="B2" s="97">
        <v>118.0</v>
      </c>
      <c r="C2" s="97">
        <v>1.87</v>
      </c>
      <c r="D2" s="97">
        <v>1775.0</v>
      </c>
      <c r="E2" s="97">
        <v>254.0</v>
      </c>
      <c r="F2" s="97">
        <v>820.0</v>
      </c>
      <c r="G2" s="97">
        <v>650.0</v>
      </c>
      <c r="H2" s="97">
        <v>140.0</v>
      </c>
      <c r="I2" s="97" t="s">
        <v>103</v>
      </c>
      <c r="J2" s="97">
        <v>8.0</v>
      </c>
    </row>
    <row r="3">
      <c r="A3" s="96">
        <v>3.0</v>
      </c>
      <c r="B3" s="96">
        <v>1477.0</v>
      </c>
      <c r="C3" s="96">
        <v>1.75</v>
      </c>
      <c r="D3" s="96">
        <v>1797.0</v>
      </c>
      <c r="E3" s="96">
        <v>144.0</v>
      </c>
      <c r="F3" s="96">
        <v>740.0</v>
      </c>
      <c r="G3" s="96">
        <v>650.0</v>
      </c>
      <c r="H3" s="96">
        <v>7.0</v>
      </c>
      <c r="I3" s="96" t="s">
        <v>103</v>
      </c>
      <c r="J3" s="96">
        <v>8.0</v>
      </c>
    </row>
    <row r="4">
      <c r="A4" s="97">
        <v>4.0</v>
      </c>
      <c r="B4" s="97">
        <v>2481.0</v>
      </c>
      <c r="C4" s="97">
        <v>1.5</v>
      </c>
      <c r="D4" s="97">
        <v>1740.0</v>
      </c>
      <c r="E4" s="97">
        <v>241.0</v>
      </c>
      <c r="F4" s="97">
        <v>940.0</v>
      </c>
      <c r="G4" s="97">
        <v>550.0</v>
      </c>
      <c r="H4" s="97">
        <v>105.0</v>
      </c>
      <c r="I4" s="97" t="s">
        <v>104</v>
      </c>
      <c r="J4" s="97">
        <v>8.0</v>
      </c>
    </row>
    <row r="5">
      <c r="A5" s="96">
        <v>5.0</v>
      </c>
      <c r="B5" s="96">
        <v>2657.0</v>
      </c>
      <c r="C5" s="96">
        <v>1.5</v>
      </c>
      <c r="D5" s="96">
        <v>1382.0</v>
      </c>
      <c r="E5" s="96">
        <v>265.0</v>
      </c>
      <c r="F5" s="96">
        <v>740.0</v>
      </c>
      <c r="G5" s="96">
        <v>450.0</v>
      </c>
      <c r="H5" s="96">
        <v>27.0</v>
      </c>
      <c r="I5" s="96" t="s">
        <v>104</v>
      </c>
      <c r="J5" s="96">
        <v>8.0</v>
      </c>
    </row>
    <row r="6">
      <c r="A6" s="97">
        <v>6.0</v>
      </c>
      <c r="B6" s="97">
        <v>2352.0</v>
      </c>
      <c r="C6" s="97">
        <v>1.37</v>
      </c>
      <c r="D6" s="97">
        <v>1364.0</v>
      </c>
      <c r="E6" s="97">
        <v>96.0</v>
      </c>
      <c r="F6" s="97">
        <v>600.0</v>
      </c>
      <c r="G6" s="97">
        <v>600.0</v>
      </c>
      <c r="H6" s="97">
        <v>4.0</v>
      </c>
      <c r="I6" s="97" t="s">
        <v>105</v>
      </c>
      <c r="J6" s="97">
        <v>8.0</v>
      </c>
    </row>
    <row r="7">
      <c r="A7" s="96">
        <v>7.0</v>
      </c>
      <c r="B7" s="96">
        <v>3847.0</v>
      </c>
      <c r="C7" s="96">
        <v>1.33</v>
      </c>
      <c r="D7" s="96">
        <v>1491.0</v>
      </c>
      <c r="E7" s="96">
        <v>172.0</v>
      </c>
      <c r="F7" s="96">
        <v>740.0</v>
      </c>
      <c r="G7" s="96">
        <v>600.0</v>
      </c>
      <c r="H7" s="96">
        <v>41.0</v>
      </c>
      <c r="I7" s="96" t="s">
        <v>106</v>
      </c>
      <c r="J7" s="96">
        <v>9.0</v>
      </c>
    </row>
    <row r="8">
      <c r="A8" s="97">
        <v>8.0</v>
      </c>
      <c r="B8" s="97">
        <v>5866.0</v>
      </c>
      <c r="C8" s="97">
        <v>1.33</v>
      </c>
      <c r="D8" s="97">
        <v>1461.0</v>
      </c>
      <c r="E8" s="97">
        <v>220.0</v>
      </c>
      <c r="F8" s="97">
        <v>680.0</v>
      </c>
      <c r="G8" s="97">
        <v>550.0</v>
      </c>
      <c r="H8" s="97">
        <v>26.0</v>
      </c>
      <c r="I8" s="97" t="s">
        <v>107</v>
      </c>
      <c r="J8" s="97">
        <v>9.0</v>
      </c>
    </row>
    <row r="9">
      <c r="A9" s="96">
        <v>9.0</v>
      </c>
      <c r="B9" s="96">
        <v>5411.0</v>
      </c>
      <c r="C9" s="96">
        <v>1.33</v>
      </c>
      <c r="D9" s="96">
        <v>1280.0</v>
      </c>
      <c r="E9" s="96">
        <v>170.0</v>
      </c>
      <c r="F9" s="96">
        <v>700.0</v>
      </c>
      <c r="G9" s="96">
        <v>200.0</v>
      </c>
      <c r="H9" s="96">
        <v>5.0</v>
      </c>
      <c r="I9" s="96" t="s">
        <v>107</v>
      </c>
      <c r="J9" s="96">
        <v>9.0</v>
      </c>
    </row>
    <row r="10">
      <c r="A10" s="97">
        <v>10.0</v>
      </c>
      <c r="B10" s="97">
        <v>624.0</v>
      </c>
      <c r="C10" s="97">
        <v>1.25</v>
      </c>
      <c r="D10" s="97">
        <v>1667.0</v>
      </c>
      <c r="E10" s="97">
        <v>345.0</v>
      </c>
      <c r="F10" s="97">
        <v>880.0</v>
      </c>
      <c r="G10" s="97">
        <v>450.0</v>
      </c>
      <c r="H10" s="97">
        <v>7.0</v>
      </c>
      <c r="I10" s="97" t="s">
        <v>108</v>
      </c>
      <c r="J10" s="97">
        <v>8.0</v>
      </c>
    </row>
    <row r="11">
      <c r="A11" s="96">
        <v>11.0</v>
      </c>
      <c r="B11" s="96">
        <v>1817.0</v>
      </c>
      <c r="C11" s="96">
        <v>1.25</v>
      </c>
      <c r="D11" s="96">
        <v>1436.0</v>
      </c>
      <c r="E11" s="96">
        <v>345.0</v>
      </c>
      <c r="F11" s="96">
        <v>800.0</v>
      </c>
      <c r="G11" s="96">
        <v>350.0</v>
      </c>
      <c r="H11" s="96">
        <v>1.0</v>
      </c>
      <c r="I11" s="96" t="s">
        <v>108</v>
      </c>
      <c r="J11" s="96">
        <v>8.0</v>
      </c>
    </row>
    <row r="12">
      <c r="A12" s="97">
        <v>12.0</v>
      </c>
      <c r="B12" s="97">
        <v>5572.0</v>
      </c>
      <c r="C12" s="97">
        <v>1.25</v>
      </c>
      <c r="D12" s="97">
        <v>1385.0</v>
      </c>
      <c r="E12" s="97">
        <v>210.0</v>
      </c>
      <c r="F12" s="97">
        <v>680.0</v>
      </c>
      <c r="G12" s="97">
        <v>550.0</v>
      </c>
      <c r="H12" s="97">
        <v>0.0</v>
      </c>
      <c r="I12" s="97" t="s">
        <v>108</v>
      </c>
      <c r="J12" s="97">
        <v>8.0</v>
      </c>
    </row>
    <row r="13">
      <c r="A13" s="96">
        <v>13.0</v>
      </c>
      <c r="B13" s="96">
        <v>4696.0</v>
      </c>
      <c r="C13" s="96">
        <v>1.25</v>
      </c>
      <c r="D13" s="96">
        <v>1362.0</v>
      </c>
      <c r="E13" s="96">
        <v>175.0</v>
      </c>
      <c r="F13" s="96">
        <v>680.0</v>
      </c>
      <c r="G13" s="96">
        <v>550.0</v>
      </c>
      <c r="H13" s="96">
        <v>2.0</v>
      </c>
      <c r="I13" s="96" t="s">
        <v>109</v>
      </c>
      <c r="J13" s="96">
        <v>8.0</v>
      </c>
    </row>
    <row r="14">
      <c r="A14" s="97">
        <v>14.0</v>
      </c>
      <c r="B14" s="97">
        <v>2164.0</v>
      </c>
      <c r="C14" s="97">
        <v>1.14</v>
      </c>
      <c r="D14" s="97">
        <v>1190.0</v>
      </c>
      <c r="E14" s="97">
        <v>140.0</v>
      </c>
      <c r="F14" s="97">
        <v>660.0</v>
      </c>
      <c r="G14" s="97">
        <v>400.0</v>
      </c>
      <c r="H14" s="97">
        <v>0.0</v>
      </c>
      <c r="I14" s="97" t="s">
        <v>110</v>
      </c>
      <c r="J14" s="97">
        <v>7.0</v>
      </c>
    </row>
    <row r="15">
      <c r="A15" s="96">
        <v>15.0</v>
      </c>
      <c r="B15" s="96">
        <v>5783.0</v>
      </c>
      <c r="C15" s="96">
        <v>1.12</v>
      </c>
      <c r="D15" s="96">
        <v>1038.0</v>
      </c>
      <c r="E15" s="96">
        <v>191.0</v>
      </c>
      <c r="F15" s="96">
        <v>660.0</v>
      </c>
      <c r="G15" s="96">
        <v>200.0</v>
      </c>
      <c r="H15" s="96">
        <v>53.0</v>
      </c>
      <c r="I15" s="96" t="s">
        <v>111</v>
      </c>
      <c r="J15" s="96">
        <v>8.0</v>
      </c>
    </row>
    <row r="16">
      <c r="A16" s="97">
        <v>16.0</v>
      </c>
      <c r="B16" s="97">
        <v>192.0</v>
      </c>
      <c r="C16" s="97">
        <v>1.0</v>
      </c>
      <c r="D16" s="97">
        <v>1607.0</v>
      </c>
      <c r="E16" s="97">
        <v>208.0</v>
      </c>
      <c r="F16" s="97">
        <v>720.0</v>
      </c>
      <c r="G16" s="97">
        <v>550.0</v>
      </c>
      <c r="H16" s="97">
        <v>32.0</v>
      </c>
      <c r="I16" s="97" t="s">
        <v>111</v>
      </c>
      <c r="J16" s="97">
        <v>8.0</v>
      </c>
    </row>
    <row r="17">
      <c r="A17" s="96">
        <v>17.0</v>
      </c>
      <c r="B17" s="96">
        <v>159.0</v>
      </c>
      <c r="C17" s="96">
        <v>1.0</v>
      </c>
      <c r="D17" s="96">
        <v>1364.0</v>
      </c>
      <c r="E17" s="96">
        <v>154.0</v>
      </c>
      <c r="F17" s="96">
        <v>740.0</v>
      </c>
      <c r="G17" s="96">
        <v>400.0</v>
      </c>
      <c r="H17" s="96">
        <v>4.0</v>
      </c>
      <c r="I17" s="96" t="s">
        <v>111</v>
      </c>
      <c r="J17" s="96">
        <v>8.0</v>
      </c>
    </row>
    <row r="18">
      <c r="A18" s="97">
        <v>18.0</v>
      </c>
      <c r="B18" s="97">
        <v>2468.0</v>
      </c>
      <c r="C18" s="97">
        <v>1.0</v>
      </c>
      <c r="D18" s="97">
        <v>1358.0</v>
      </c>
      <c r="E18" s="97">
        <v>315.0</v>
      </c>
      <c r="F18" s="97">
        <v>680.0</v>
      </c>
      <c r="G18" s="97">
        <v>450.0</v>
      </c>
      <c r="H18" s="97">
        <v>3.0</v>
      </c>
      <c r="I18" s="97" t="s">
        <v>111</v>
      </c>
      <c r="J18" s="97">
        <v>8.0</v>
      </c>
    </row>
    <row r="19">
      <c r="A19" s="96">
        <v>19.0</v>
      </c>
      <c r="B19" s="96">
        <v>5829.0</v>
      </c>
      <c r="C19" s="96">
        <v>1.0</v>
      </c>
      <c r="D19" s="96">
        <v>1330.0</v>
      </c>
      <c r="E19" s="96">
        <v>215.0</v>
      </c>
      <c r="F19" s="96">
        <v>680.0</v>
      </c>
      <c r="G19" s="96">
        <v>400.0</v>
      </c>
      <c r="H19" s="96">
        <v>0.0</v>
      </c>
      <c r="I19" s="96" t="s">
        <v>111</v>
      </c>
      <c r="J19" s="96">
        <v>8.0</v>
      </c>
    </row>
    <row r="20">
      <c r="A20" s="97">
        <v>20.0</v>
      </c>
      <c r="B20" s="97">
        <v>935.0</v>
      </c>
      <c r="C20" s="97">
        <v>1.0</v>
      </c>
      <c r="D20" s="97">
        <v>1250.0</v>
      </c>
      <c r="E20" s="97">
        <v>90.0</v>
      </c>
      <c r="F20" s="97">
        <v>640.0</v>
      </c>
      <c r="G20" s="97">
        <v>350.0</v>
      </c>
      <c r="H20" s="97">
        <v>0.0</v>
      </c>
      <c r="I20" s="97" t="s">
        <v>111</v>
      </c>
      <c r="J20" s="97">
        <v>8.0</v>
      </c>
    </row>
    <row r="21">
      <c r="A21" s="96">
        <v>21.0</v>
      </c>
      <c r="B21" s="96">
        <v>2613.0</v>
      </c>
      <c r="C21" s="96">
        <v>1.0</v>
      </c>
      <c r="D21" s="96">
        <v>1230.0</v>
      </c>
      <c r="E21" s="96">
        <v>140.0</v>
      </c>
      <c r="F21" s="96">
        <v>700.0</v>
      </c>
      <c r="G21" s="96">
        <v>350.0</v>
      </c>
      <c r="H21" s="96">
        <v>0.0</v>
      </c>
      <c r="I21" s="96" t="s">
        <v>111</v>
      </c>
      <c r="J21" s="96">
        <v>8.0</v>
      </c>
    </row>
    <row r="22">
      <c r="A22" s="97">
        <v>22.0</v>
      </c>
      <c r="B22" s="97">
        <v>1164.0</v>
      </c>
      <c r="C22" s="97">
        <v>1.0</v>
      </c>
      <c r="D22" s="97">
        <v>1226.0</v>
      </c>
      <c r="E22" s="97">
        <v>237.0</v>
      </c>
      <c r="F22" s="97">
        <v>680.0</v>
      </c>
      <c r="G22" s="97">
        <v>350.0</v>
      </c>
      <c r="H22" s="97">
        <v>36.0</v>
      </c>
      <c r="I22" s="97" t="s">
        <v>111</v>
      </c>
      <c r="J22" s="97">
        <v>8.0</v>
      </c>
    </row>
    <row r="23">
      <c r="A23" s="96">
        <v>23.0</v>
      </c>
      <c r="B23" s="96">
        <v>6144.0</v>
      </c>
      <c r="C23" s="96">
        <v>1.0</v>
      </c>
      <c r="D23" s="96">
        <v>1158.0</v>
      </c>
      <c r="E23" s="96">
        <v>167.0</v>
      </c>
      <c r="F23" s="96">
        <v>700.0</v>
      </c>
      <c r="G23" s="96">
        <v>300.0</v>
      </c>
      <c r="H23" s="96">
        <v>8.0</v>
      </c>
      <c r="I23" s="96" t="s">
        <v>111</v>
      </c>
      <c r="J23" s="96">
        <v>8.0</v>
      </c>
    </row>
    <row r="24">
      <c r="A24" s="97">
        <v>24.0</v>
      </c>
      <c r="B24" s="97">
        <v>5613.0</v>
      </c>
      <c r="C24" s="97">
        <v>1.0</v>
      </c>
      <c r="D24" s="97">
        <v>1121.0</v>
      </c>
      <c r="E24" s="97">
        <v>91.0</v>
      </c>
      <c r="F24" s="97">
        <v>520.0</v>
      </c>
      <c r="G24" s="97">
        <v>350.0</v>
      </c>
      <c r="H24" s="97">
        <v>21.0</v>
      </c>
      <c r="I24" s="97" t="s">
        <v>111</v>
      </c>
      <c r="J24" s="97">
        <v>8.0</v>
      </c>
    </row>
    <row r="25">
      <c r="A25" s="96">
        <v>25.0</v>
      </c>
      <c r="B25" s="96">
        <v>5550.0</v>
      </c>
      <c r="C25" s="96">
        <v>1.0</v>
      </c>
      <c r="D25" s="96">
        <v>1100.0</v>
      </c>
      <c r="E25" s="96">
        <v>210.0</v>
      </c>
      <c r="F25" s="96">
        <v>640.0</v>
      </c>
      <c r="G25" s="96">
        <v>250.0</v>
      </c>
      <c r="H25" s="96">
        <v>0.0</v>
      </c>
      <c r="I25" s="96" t="s">
        <v>111</v>
      </c>
      <c r="J25" s="96">
        <v>8.0</v>
      </c>
    </row>
    <row r="26">
      <c r="A26" s="97">
        <v>26.0</v>
      </c>
      <c r="B26" s="97">
        <v>418.0</v>
      </c>
      <c r="C26" s="97">
        <v>1.0</v>
      </c>
      <c r="D26" s="97">
        <v>985.0</v>
      </c>
      <c r="E26" s="97">
        <v>160.0</v>
      </c>
      <c r="F26" s="97">
        <v>540.0</v>
      </c>
      <c r="G26" s="97">
        <v>300.0</v>
      </c>
      <c r="H26" s="97">
        <v>0.0</v>
      </c>
      <c r="I26" s="97" t="s">
        <v>110</v>
      </c>
      <c r="J26" s="97">
        <v>8.0</v>
      </c>
    </row>
    <row r="27">
      <c r="A27" s="96">
        <v>27.0</v>
      </c>
      <c r="B27" s="96">
        <v>4499.0</v>
      </c>
      <c r="C27" s="96">
        <v>0.88</v>
      </c>
      <c r="D27" s="96">
        <v>1504.0</v>
      </c>
      <c r="E27" s="96">
        <v>283.0</v>
      </c>
      <c r="F27" s="96">
        <v>780.0</v>
      </c>
      <c r="G27" s="96">
        <v>350.0</v>
      </c>
      <c r="H27" s="96">
        <v>49.0</v>
      </c>
      <c r="I27" s="96" t="s">
        <v>112</v>
      </c>
      <c r="J27" s="96">
        <v>9.0</v>
      </c>
    </row>
    <row r="28">
      <c r="A28" s="97">
        <v>28.0</v>
      </c>
      <c r="B28" s="97">
        <v>5888.0</v>
      </c>
      <c r="C28" s="97">
        <v>0.87</v>
      </c>
      <c r="D28" s="97">
        <v>1241.0</v>
      </c>
      <c r="E28" s="97">
        <v>240.0</v>
      </c>
      <c r="F28" s="97">
        <v>700.0</v>
      </c>
      <c r="G28" s="97">
        <v>400.0</v>
      </c>
      <c r="H28" s="97">
        <v>1.0</v>
      </c>
      <c r="I28" s="97" t="s">
        <v>113</v>
      </c>
      <c r="J28" s="97">
        <v>8.0</v>
      </c>
    </row>
    <row r="29">
      <c r="A29" s="96">
        <v>29.0</v>
      </c>
      <c r="B29" s="96">
        <v>5960.0</v>
      </c>
      <c r="C29" s="96">
        <v>0.87</v>
      </c>
      <c r="D29" s="96">
        <v>1136.0</v>
      </c>
      <c r="E29" s="96">
        <v>95.0</v>
      </c>
      <c r="F29" s="96">
        <v>600.0</v>
      </c>
      <c r="G29" s="96">
        <v>350.0</v>
      </c>
      <c r="H29" s="96">
        <v>6.0</v>
      </c>
      <c r="I29" s="96" t="s">
        <v>113</v>
      </c>
      <c r="J29" s="96">
        <v>8.0</v>
      </c>
    </row>
    <row r="30">
      <c r="A30" s="97">
        <v>30.0</v>
      </c>
      <c r="B30" s="97">
        <v>4717.0</v>
      </c>
      <c r="C30" s="97">
        <v>0.85</v>
      </c>
      <c r="D30" s="97">
        <v>751.0</v>
      </c>
      <c r="E30" s="97">
        <v>180.0</v>
      </c>
      <c r="F30" s="97">
        <v>440.0</v>
      </c>
      <c r="G30" s="97">
        <v>150.0</v>
      </c>
      <c r="H30" s="97">
        <v>16.0</v>
      </c>
      <c r="I30" s="97" t="s">
        <v>69</v>
      </c>
      <c r="J30" s="97">
        <v>7.0</v>
      </c>
    </row>
    <row r="31">
      <c r="A31" s="96">
        <v>31.0</v>
      </c>
      <c r="B31" s="96">
        <v>2341.0</v>
      </c>
      <c r="C31" s="96">
        <v>0.75</v>
      </c>
      <c r="D31" s="96">
        <v>1345.0</v>
      </c>
      <c r="E31" s="96">
        <v>306.0</v>
      </c>
      <c r="F31" s="96">
        <v>700.0</v>
      </c>
      <c r="G31" s="96">
        <v>400.0</v>
      </c>
      <c r="H31" s="96">
        <v>25.0</v>
      </c>
      <c r="I31" s="96" t="s">
        <v>114</v>
      </c>
      <c r="J31" s="96">
        <v>8.0</v>
      </c>
    </row>
    <row r="32">
      <c r="A32" s="97">
        <v>32.0</v>
      </c>
      <c r="B32" s="97">
        <v>4063.0</v>
      </c>
      <c r="C32" s="97">
        <v>0.75</v>
      </c>
      <c r="D32" s="97">
        <v>1284.0</v>
      </c>
      <c r="E32" s="97">
        <v>165.0</v>
      </c>
      <c r="F32" s="97">
        <v>700.0</v>
      </c>
      <c r="G32" s="97">
        <v>400.0</v>
      </c>
      <c r="H32" s="97">
        <v>34.0</v>
      </c>
      <c r="I32" s="97" t="s">
        <v>114</v>
      </c>
      <c r="J32" s="97">
        <v>8.0</v>
      </c>
    </row>
    <row r="33">
      <c r="A33" s="96">
        <v>33.0</v>
      </c>
      <c r="B33" s="96">
        <v>3043.0</v>
      </c>
      <c r="C33" s="96">
        <v>0.75</v>
      </c>
      <c r="D33" s="96">
        <v>1107.0</v>
      </c>
      <c r="E33" s="96">
        <v>185.0</v>
      </c>
      <c r="F33" s="96">
        <v>680.0</v>
      </c>
      <c r="G33" s="96">
        <v>250.0</v>
      </c>
      <c r="H33" s="96">
        <v>7.0</v>
      </c>
      <c r="I33" s="96" t="s">
        <v>114</v>
      </c>
      <c r="J33" s="96">
        <v>8.0</v>
      </c>
    </row>
    <row r="34">
      <c r="A34" s="97">
        <v>34.0</v>
      </c>
      <c r="B34" s="97">
        <v>4603.0</v>
      </c>
      <c r="C34" s="97">
        <v>0.75</v>
      </c>
      <c r="D34" s="97">
        <v>1082.0</v>
      </c>
      <c r="E34" s="97">
        <v>150.0</v>
      </c>
      <c r="F34" s="97">
        <v>620.0</v>
      </c>
      <c r="G34" s="97">
        <v>350.0</v>
      </c>
      <c r="H34" s="97">
        <v>2.0</v>
      </c>
      <c r="I34" s="97" t="s">
        <v>114</v>
      </c>
      <c r="J34" s="97">
        <v>8.0</v>
      </c>
    </row>
    <row r="35">
      <c r="A35" s="96">
        <v>35.0</v>
      </c>
      <c r="B35" s="96">
        <v>3305.0</v>
      </c>
      <c r="C35" s="96">
        <v>0.75</v>
      </c>
      <c r="D35" s="96">
        <v>1044.0</v>
      </c>
      <c r="E35" s="96">
        <v>157.0</v>
      </c>
      <c r="F35" s="96">
        <v>660.0</v>
      </c>
      <c r="G35" s="96">
        <v>200.0</v>
      </c>
      <c r="H35" s="96">
        <v>14.0</v>
      </c>
      <c r="I35" s="96" t="s">
        <v>114</v>
      </c>
      <c r="J35" s="96">
        <v>8.0</v>
      </c>
    </row>
    <row r="36">
      <c r="A36" s="97">
        <v>36.0</v>
      </c>
      <c r="B36" s="97">
        <v>4298.0</v>
      </c>
      <c r="C36" s="97">
        <v>0.75</v>
      </c>
      <c r="D36" s="97">
        <v>906.0</v>
      </c>
      <c r="E36" s="97">
        <v>120.0</v>
      </c>
      <c r="F36" s="97">
        <v>540.0</v>
      </c>
      <c r="G36" s="97">
        <v>200.0</v>
      </c>
      <c r="H36" s="97">
        <v>1.0</v>
      </c>
      <c r="I36" s="97" t="s">
        <v>114</v>
      </c>
      <c r="J36" s="97">
        <v>8.0</v>
      </c>
    </row>
    <row r="37">
      <c r="A37" s="96">
        <v>37.0</v>
      </c>
      <c r="B37" s="96">
        <v>4734.0</v>
      </c>
      <c r="C37" s="96">
        <v>0.75</v>
      </c>
      <c r="D37" s="96">
        <v>760.0</v>
      </c>
      <c r="E37" s="96">
        <v>130.0</v>
      </c>
      <c r="F37" s="96">
        <v>460.0</v>
      </c>
      <c r="G37" s="96">
        <v>200.0</v>
      </c>
      <c r="H37" s="96">
        <v>0.0</v>
      </c>
      <c r="I37" s="96" t="s">
        <v>114</v>
      </c>
      <c r="J37" s="96">
        <v>8.0</v>
      </c>
    </row>
    <row r="38">
      <c r="A38" s="97">
        <v>38.0</v>
      </c>
      <c r="B38" s="97">
        <v>4799.0</v>
      </c>
      <c r="C38" s="97">
        <v>0.5</v>
      </c>
      <c r="D38" s="97">
        <v>1171.0</v>
      </c>
      <c r="E38" s="97">
        <v>99.0</v>
      </c>
      <c r="F38" s="97">
        <v>600.0</v>
      </c>
      <c r="G38" s="97">
        <v>350.0</v>
      </c>
      <c r="H38" s="97">
        <v>11.0</v>
      </c>
      <c r="I38" s="97" t="s">
        <v>115</v>
      </c>
      <c r="J38" s="97">
        <v>8.0</v>
      </c>
    </row>
    <row r="39">
      <c r="A39" s="96">
        <v>39.0</v>
      </c>
      <c r="B39" s="96">
        <v>6430.0</v>
      </c>
      <c r="C39" s="96">
        <v>0.5</v>
      </c>
      <c r="D39" s="96">
        <v>1151.0</v>
      </c>
      <c r="E39" s="96">
        <v>224.0</v>
      </c>
      <c r="F39" s="96">
        <v>680.0</v>
      </c>
      <c r="G39" s="96">
        <v>300.0</v>
      </c>
      <c r="H39" s="96">
        <v>6.0</v>
      </c>
      <c r="I39" s="96" t="s">
        <v>116</v>
      </c>
      <c r="J39" s="96">
        <v>8.0</v>
      </c>
    </row>
    <row r="40">
      <c r="A40" s="97">
        <v>40.0</v>
      </c>
      <c r="B40" s="97">
        <v>5312.0</v>
      </c>
      <c r="C40" s="97">
        <v>0.5</v>
      </c>
      <c r="D40" s="97">
        <v>1115.0</v>
      </c>
      <c r="E40" s="97">
        <v>284.0</v>
      </c>
      <c r="F40" s="97">
        <v>740.0</v>
      </c>
      <c r="G40" s="97">
        <v>150.0</v>
      </c>
      <c r="H40" s="97">
        <v>10.0</v>
      </c>
      <c r="I40" s="97" t="s">
        <v>116</v>
      </c>
      <c r="J40" s="97">
        <v>8.0</v>
      </c>
    </row>
    <row r="41">
      <c r="A41" s="96">
        <v>41.0</v>
      </c>
      <c r="B41" s="96">
        <v>3735.0</v>
      </c>
      <c r="C41" s="96">
        <v>0.5</v>
      </c>
      <c r="D41" s="96">
        <v>906.0</v>
      </c>
      <c r="E41" s="96">
        <v>153.0</v>
      </c>
      <c r="F41" s="96">
        <v>620.0</v>
      </c>
      <c r="G41" s="96">
        <v>150.0</v>
      </c>
      <c r="H41" s="96">
        <v>21.0</v>
      </c>
      <c r="I41" s="96" t="s">
        <v>116</v>
      </c>
      <c r="J41" s="96">
        <v>8.0</v>
      </c>
    </row>
    <row r="42">
      <c r="A42" s="97">
        <v>42.0</v>
      </c>
      <c r="B42" s="97">
        <v>5771.0</v>
      </c>
      <c r="C42" s="97">
        <v>0.5</v>
      </c>
      <c r="D42" s="97">
        <v>877.0</v>
      </c>
      <c r="E42" s="97">
        <v>162.0</v>
      </c>
      <c r="F42" s="97">
        <v>580.0</v>
      </c>
      <c r="G42" s="97">
        <v>150.0</v>
      </c>
      <c r="H42" s="97">
        <v>22.0</v>
      </c>
      <c r="I42" s="97" t="s">
        <v>115</v>
      </c>
      <c r="J42" s="97">
        <v>8.0</v>
      </c>
    </row>
    <row r="43">
      <c r="A43" s="96">
        <v>43.0</v>
      </c>
      <c r="B43" s="96">
        <v>2395.0</v>
      </c>
      <c r="C43" s="96">
        <v>0.37</v>
      </c>
      <c r="D43" s="96">
        <v>1127.0</v>
      </c>
      <c r="E43" s="96">
        <v>265.0</v>
      </c>
      <c r="F43" s="96">
        <v>660.0</v>
      </c>
      <c r="G43" s="96">
        <v>300.0</v>
      </c>
      <c r="H43" s="96">
        <v>12.0</v>
      </c>
      <c r="I43" s="96" t="s">
        <v>117</v>
      </c>
      <c r="J43" s="96">
        <v>8.0</v>
      </c>
    </row>
    <row r="44">
      <c r="A44" s="97">
        <v>44.0</v>
      </c>
      <c r="B44" s="97">
        <v>4364.0</v>
      </c>
      <c r="C44" s="97">
        <v>0.25</v>
      </c>
      <c r="D44" s="97">
        <v>943.0</v>
      </c>
      <c r="E44" s="97">
        <v>160.0</v>
      </c>
      <c r="F44" s="97">
        <v>540.0</v>
      </c>
      <c r="G44" s="97">
        <v>200.0</v>
      </c>
      <c r="H44" s="97">
        <v>33.0</v>
      </c>
      <c r="I44" s="97" t="s">
        <v>118</v>
      </c>
      <c r="J44" s="97">
        <v>8.0</v>
      </c>
    </row>
    <row r="45">
      <c r="A45" s="96">
        <v>45.0</v>
      </c>
      <c r="B45" s="96">
        <v>4694.0</v>
      </c>
      <c r="C45" s="96">
        <v>0.0</v>
      </c>
      <c r="D45" s="96">
        <v>910.0</v>
      </c>
      <c r="E45" s="96">
        <v>220.0</v>
      </c>
      <c r="F45" s="96">
        <v>480.0</v>
      </c>
      <c r="G45" s="96">
        <v>300.0</v>
      </c>
      <c r="H45" s="96">
        <v>0.0</v>
      </c>
      <c r="I45" s="96" t="s">
        <v>119</v>
      </c>
      <c r="J45" s="96">
        <v>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0" max="16"/>
  </cols>
  <sheetData>
    <row r="1">
      <c r="A1" s="98" t="str">
        <f>IFERROR(__xludf.DUMMYFUNCTION("importhtml(""https://frc-events.firstinspires.org/2017/cama/rankings"",""table"",1)"),"Rank")</f>
        <v>Rank</v>
      </c>
      <c r="B1" s="99" t="s">
        <v>1</v>
      </c>
      <c r="C1" s="99" t="s">
        <v>120</v>
      </c>
      <c r="D1" s="99" t="s">
        <v>121</v>
      </c>
      <c r="E1" s="99" t="s">
        <v>6</v>
      </c>
      <c r="F1" s="99" t="s">
        <v>122</v>
      </c>
      <c r="G1" s="99" t="s">
        <v>123</v>
      </c>
      <c r="H1" s="99" t="s">
        <v>124</v>
      </c>
      <c r="I1" s="99" t="s">
        <v>125</v>
      </c>
      <c r="J1" t="s">
        <v>120</v>
      </c>
      <c r="K1" t="s">
        <v>126</v>
      </c>
      <c r="L1" t="s">
        <v>6</v>
      </c>
      <c r="M1" t="s">
        <v>122</v>
      </c>
      <c r="N1" t="s">
        <v>123</v>
      </c>
      <c r="O1" t="s">
        <v>124</v>
      </c>
      <c r="P1" t="s">
        <v>125</v>
      </c>
      <c r="Q1" t="s">
        <v>47</v>
      </c>
    </row>
    <row r="2">
      <c r="A2" s="99">
        <v>1.0</v>
      </c>
      <c r="B2" s="99">
        <v>2761.0</v>
      </c>
      <c r="C2" s="99">
        <v>1.77</v>
      </c>
      <c r="D2" s="100">
        <v>1707.0</v>
      </c>
      <c r="E2" s="99">
        <v>297.0</v>
      </c>
      <c r="F2" s="99">
        <v>900.0</v>
      </c>
      <c r="G2" s="99">
        <v>600.0</v>
      </c>
      <c r="H2" s="99">
        <v>22.0</v>
      </c>
      <c r="I2" s="99" t="s">
        <v>127</v>
      </c>
      <c r="J2">
        <v>1.77</v>
      </c>
      <c r="K2" s="101">
        <v>1707.0</v>
      </c>
      <c r="L2">
        <v>297.0</v>
      </c>
      <c r="M2">
        <v>900.0</v>
      </c>
      <c r="N2">
        <v>600.0</v>
      </c>
      <c r="O2">
        <v>22.0</v>
      </c>
      <c r="P2" t="s">
        <v>127</v>
      </c>
      <c r="Q2">
        <v>9.0</v>
      </c>
    </row>
    <row r="3">
      <c r="A3" s="99">
        <v>2.0</v>
      </c>
      <c r="B3" s="99">
        <v>1678.0</v>
      </c>
      <c r="C3" s="99">
        <v>1.66</v>
      </c>
      <c r="D3" s="100">
        <v>1991.0</v>
      </c>
      <c r="E3" s="99">
        <v>261.0</v>
      </c>
      <c r="F3" s="99">
        <v>800.0</v>
      </c>
      <c r="G3" s="99">
        <v>750.0</v>
      </c>
      <c r="H3" s="99">
        <v>236.0</v>
      </c>
      <c r="I3" s="99" t="s">
        <v>128</v>
      </c>
      <c r="J3">
        <v>1.66</v>
      </c>
      <c r="K3" s="101">
        <v>1991.0</v>
      </c>
      <c r="L3">
        <v>261.0</v>
      </c>
      <c r="M3">
        <v>800.0</v>
      </c>
      <c r="N3">
        <v>750.0</v>
      </c>
      <c r="O3">
        <v>236.0</v>
      </c>
      <c r="P3" t="s">
        <v>128</v>
      </c>
      <c r="Q3">
        <v>9.0</v>
      </c>
    </row>
    <row r="4">
      <c r="A4" s="99">
        <v>3.0</v>
      </c>
      <c r="B4" s="99">
        <v>751.0</v>
      </c>
      <c r="C4" s="99">
        <v>1.66</v>
      </c>
      <c r="D4" s="100">
        <v>1905.0</v>
      </c>
      <c r="E4" s="99">
        <v>305.0</v>
      </c>
      <c r="F4" s="99">
        <v>860.0</v>
      </c>
      <c r="G4" s="99">
        <v>800.0</v>
      </c>
      <c r="H4" s="99">
        <v>55.0</v>
      </c>
      <c r="I4" s="99" t="s">
        <v>129</v>
      </c>
      <c r="J4">
        <v>1.66</v>
      </c>
      <c r="K4" s="101">
        <v>1905.0</v>
      </c>
      <c r="L4">
        <v>305.0</v>
      </c>
      <c r="M4">
        <v>860.0</v>
      </c>
      <c r="N4">
        <v>800.0</v>
      </c>
      <c r="O4">
        <v>55.0</v>
      </c>
      <c r="P4" t="s">
        <v>129</v>
      </c>
      <c r="Q4">
        <v>9.0</v>
      </c>
    </row>
    <row r="5">
      <c r="A5" s="99">
        <v>4.0</v>
      </c>
      <c r="B5" s="99">
        <v>973.0</v>
      </c>
      <c r="C5" s="99">
        <v>1.55</v>
      </c>
      <c r="D5" s="100">
        <v>2069.0</v>
      </c>
      <c r="E5" s="99">
        <v>356.0</v>
      </c>
      <c r="F5" s="99">
        <v>980.0</v>
      </c>
      <c r="G5" s="99">
        <v>800.0</v>
      </c>
      <c r="H5" s="99">
        <v>109.0</v>
      </c>
      <c r="I5" s="99" t="s">
        <v>130</v>
      </c>
      <c r="J5">
        <v>1.55</v>
      </c>
      <c r="K5" s="101">
        <v>2069.0</v>
      </c>
      <c r="L5">
        <v>356.0</v>
      </c>
      <c r="M5">
        <v>980.0</v>
      </c>
      <c r="N5">
        <v>800.0</v>
      </c>
      <c r="O5">
        <v>109.0</v>
      </c>
      <c r="P5" t="s">
        <v>130</v>
      </c>
      <c r="Q5">
        <v>9.0</v>
      </c>
    </row>
    <row r="6">
      <c r="A6" s="99">
        <v>5.0</v>
      </c>
      <c r="B6" s="99">
        <v>5852.0</v>
      </c>
      <c r="C6" s="99">
        <v>1.55</v>
      </c>
      <c r="D6" s="100">
        <v>1717.0</v>
      </c>
      <c r="E6" s="99">
        <v>139.0</v>
      </c>
      <c r="F6" s="99">
        <v>640.0</v>
      </c>
      <c r="G6" s="99">
        <v>850.0</v>
      </c>
      <c r="H6" s="99">
        <v>62.0</v>
      </c>
      <c r="I6" s="99" t="s">
        <v>128</v>
      </c>
      <c r="J6">
        <v>1.55</v>
      </c>
      <c r="K6" s="101">
        <v>1717.0</v>
      </c>
      <c r="L6">
        <v>139.0</v>
      </c>
      <c r="M6">
        <v>640.0</v>
      </c>
      <c r="N6">
        <v>850.0</v>
      </c>
      <c r="O6">
        <v>62.0</v>
      </c>
      <c r="P6" t="s">
        <v>128</v>
      </c>
      <c r="Q6">
        <v>9.0</v>
      </c>
    </row>
    <row r="7">
      <c r="A7" s="99">
        <v>6.0</v>
      </c>
      <c r="B7" s="99">
        <v>6699.0</v>
      </c>
      <c r="C7" s="99">
        <v>1.55</v>
      </c>
      <c r="D7" s="100">
        <v>1589.0</v>
      </c>
      <c r="E7" s="99">
        <v>295.0</v>
      </c>
      <c r="F7" s="99">
        <v>940.0</v>
      </c>
      <c r="G7" s="99">
        <v>500.0</v>
      </c>
      <c r="H7" s="99">
        <v>4.0</v>
      </c>
      <c r="I7" s="99" t="s">
        <v>128</v>
      </c>
      <c r="J7">
        <v>1.55</v>
      </c>
      <c r="K7" s="101">
        <v>1589.0</v>
      </c>
      <c r="L7">
        <v>295.0</v>
      </c>
      <c r="M7">
        <v>940.0</v>
      </c>
      <c r="N7">
        <v>500.0</v>
      </c>
      <c r="O7">
        <v>4.0</v>
      </c>
      <c r="P7" t="s">
        <v>128</v>
      </c>
      <c r="Q7">
        <v>9.0</v>
      </c>
    </row>
    <row r="8">
      <c r="A8" s="99">
        <v>7.0</v>
      </c>
      <c r="B8" s="99">
        <v>1072.0</v>
      </c>
      <c r="C8" s="99">
        <v>1.33</v>
      </c>
      <c r="D8" s="100">
        <v>1957.0</v>
      </c>
      <c r="E8" s="99">
        <v>439.0</v>
      </c>
      <c r="F8" s="99">
        <v>900.0</v>
      </c>
      <c r="G8" s="99">
        <v>800.0</v>
      </c>
      <c r="H8" s="99">
        <v>42.0</v>
      </c>
      <c r="I8" s="99" t="s">
        <v>107</v>
      </c>
      <c r="J8">
        <v>1.33</v>
      </c>
      <c r="K8" s="101">
        <v>1957.0</v>
      </c>
      <c r="L8">
        <v>439.0</v>
      </c>
      <c r="M8">
        <v>900.0</v>
      </c>
      <c r="N8">
        <v>800.0</v>
      </c>
      <c r="O8">
        <v>42.0</v>
      </c>
      <c r="P8" t="s">
        <v>107</v>
      </c>
      <c r="Q8">
        <v>9.0</v>
      </c>
    </row>
    <row r="9">
      <c r="A9" s="99">
        <v>8.0</v>
      </c>
      <c r="B9" s="99">
        <v>3256.0</v>
      </c>
      <c r="C9" s="99">
        <v>1.33</v>
      </c>
      <c r="D9" s="100">
        <v>1656.0</v>
      </c>
      <c r="E9" s="99">
        <v>424.0</v>
      </c>
      <c r="F9" s="99">
        <v>820.0</v>
      </c>
      <c r="G9" s="99">
        <v>650.0</v>
      </c>
      <c r="H9" s="99">
        <v>21.0</v>
      </c>
      <c r="I9" s="99" t="s">
        <v>107</v>
      </c>
      <c r="J9">
        <v>1.33</v>
      </c>
      <c r="K9" s="101">
        <v>1656.0</v>
      </c>
      <c r="L9">
        <v>424.0</v>
      </c>
      <c r="M9">
        <v>820.0</v>
      </c>
      <c r="N9">
        <v>650.0</v>
      </c>
      <c r="O9">
        <v>21.0</v>
      </c>
      <c r="P9" t="s">
        <v>107</v>
      </c>
      <c r="Q9">
        <v>9.0</v>
      </c>
    </row>
    <row r="10">
      <c r="A10" s="99">
        <v>9.0</v>
      </c>
      <c r="B10" s="99">
        <v>6305.0</v>
      </c>
      <c r="C10" s="99">
        <v>1.33</v>
      </c>
      <c r="D10" s="100">
        <v>1645.0</v>
      </c>
      <c r="E10" s="99">
        <v>140.0</v>
      </c>
      <c r="F10" s="99">
        <v>780.0</v>
      </c>
      <c r="G10" s="99">
        <v>650.0</v>
      </c>
      <c r="H10" s="99">
        <v>50.0</v>
      </c>
      <c r="I10" s="99" t="s">
        <v>107</v>
      </c>
      <c r="J10">
        <v>1.33</v>
      </c>
      <c r="K10" s="101">
        <v>1645.0</v>
      </c>
      <c r="L10">
        <v>140.0</v>
      </c>
      <c r="M10">
        <v>780.0</v>
      </c>
      <c r="N10">
        <v>650.0</v>
      </c>
      <c r="O10">
        <v>50.0</v>
      </c>
      <c r="P10" t="s">
        <v>107</v>
      </c>
      <c r="Q10">
        <v>9.0</v>
      </c>
    </row>
    <row r="11">
      <c r="A11" s="99">
        <v>10.0</v>
      </c>
      <c r="B11" s="99">
        <v>5134.0</v>
      </c>
      <c r="C11" s="99">
        <v>1.33</v>
      </c>
      <c r="D11" s="100">
        <v>1486.0</v>
      </c>
      <c r="E11" s="99">
        <v>216.0</v>
      </c>
      <c r="F11" s="99">
        <v>760.0</v>
      </c>
      <c r="G11" s="99">
        <v>550.0</v>
      </c>
      <c r="H11" s="99">
        <v>21.0</v>
      </c>
      <c r="I11" s="99" t="s">
        <v>107</v>
      </c>
      <c r="J11">
        <v>1.33</v>
      </c>
      <c r="K11" s="101">
        <v>1486.0</v>
      </c>
      <c r="L11">
        <v>216.0</v>
      </c>
      <c r="M11">
        <v>760.0</v>
      </c>
      <c r="N11">
        <v>550.0</v>
      </c>
      <c r="O11">
        <v>21.0</v>
      </c>
      <c r="P11" t="s">
        <v>107</v>
      </c>
      <c r="Q11">
        <v>9.0</v>
      </c>
    </row>
    <row r="12">
      <c r="A12" s="99">
        <v>11.0</v>
      </c>
      <c r="B12" s="99">
        <v>5104.0</v>
      </c>
      <c r="C12" s="99">
        <v>1.33</v>
      </c>
      <c r="D12" s="100">
        <v>1466.0</v>
      </c>
      <c r="E12" s="99">
        <v>176.0</v>
      </c>
      <c r="F12" s="99">
        <v>700.0</v>
      </c>
      <c r="G12" s="99">
        <v>550.0</v>
      </c>
      <c r="H12" s="99">
        <v>31.0</v>
      </c>
      <c r="I12" s="99" t="s">
        <v>104</v>
      </c>
      <c r="J12">
        <v>1.33</v>
      </c>
      <c r="K12" s="101">
        <v>1466.0</v>
      </c>
      <c r="L12">
        <v>176.0</v>
      </c>
      <c r="M12">
        <v>700.0</v>
      </c>
      <c r="N12">
        <v>550.0</v>
      </c>
      <c r="O12">
        <v>31.0</v>
      </c>
      <c r="P12" t="s">
        <v>104</v>
      </c>
      <c r="Q12">
        <v>9.0</v>
      </c>
    </row>
    <row r="13">
      <c r="A13" s="99">
        <v>12.0</v>
      </c>
      <c r="B13" s="99">
        <v>1662.0</v>
      </c>
      <c r="C13" s="99">
        <v>1.22</v>
      </c>
      <c r="D13" s="100">
        <v>1620.0</v>
      </c>
      <c r="E13" s="99">
        <v>245.0</v>
      </c>
      <c r="F13" s="99">
        <v>760.0</v>
      </c>
      <c r="G13" s="99">
        <v>550.0</v>
      </c>
      <c r="H13" s="99">
        <v>45.0</v>
      </c>
      <c r="I13" s="99" t="s">
        <v>131</v>
      </c>
      <c r="J13">
        <v>1.22</v>
      </c>
      <c r="K13" s="101">
        <v>1620.0</v>
      </c>
      <c r="L13">
        <v>245.0</v>
      </c>
      <c r="M13">
        <v>760.0</v>
      </c>
      <c r="N13">
        <v>550.0</v>
      </c>
      <c r="O13">
        <v>45.0</v>
      </c>
      <c r="P13" t="s">
        <v>131</v>
      </c>
      <c r="Q13">
        <v>9.0</v>
      </c>
    </row>
    <row r="14">
      <c r="A14" s="99">
        <v>13.0</v>
      </c>
      <c r="B14" s="99">
        <v>5677.0</v>
      </c>
      <c r="C14" s="99">
        <v>1.22</v>
      </c>
      <c r="D14" s="100">
        <v>1508.0</v>
      </c>
      <c r="E14" s="99">
        <v>116.0</v>
      </c>
      <c r="F14" s="99">
        <v>600.0</v>
      </c>
      <c r="G14" s="99">
        <v>700.0</v>
      </c>
      <c r="H14" s="99">
        <v>63.0</v>
      </c>
      <c r="I14" s="99" t="s">
        <v>131</v>
      </c>
      <c r="J14">
        <v>1.22</v>
      </c>
      <c r="K14" s="101">
        <v>1508.0</v>
      </c>
      <c r="L14">
        <v>116.0</v>
      </c>
      <c r="M14">
        <v>600.0</v>
      </c>
      <c r="N14">
        <v>700.0</v>
      </c>
      <c r="O14">
        <v>63.0</v>
      </c>
      <c r="P14" t="s">
        <v>131</v>
      </c>
      <c r="Q14">
        <v>9.0</v>
      </c>
    </row>
    <row r="15">
      <c r="A15" s="99">
        <v>14.0</v>
      </c>
      <c r="B15" s="99">
        <v>852.0</v>
      </c>
      <c r="C15" s="99">
        <v>1.11</v>
      </c>
      <c r="D15" s="100">
        <v>1686.0</v>
      </c>
      <c r="E15" s="99">
        <v>185.0</v>
      </c>
      <c r="F15" s="99">
        <v>780.0</v>
      </c>
      <c r="G15" s="99">
        <v>700.0</v>
      </c>
      <c r="H15" s="99">
        <v>16.0</v>
      </c>
      <c r="I15" s="99" t="s">
        <v>131</v>
      </c>
      <c r="J15">
        <v>1.11</v>
      </c>
      <c r="K15" s="101">
        <v>1686.0</v>
      </c>
      <c r="L15">
        <v>185.0</v>
      </c>
      <c r="M15">
        <v>780.0</v>
      </c>
      <c r="N15">
        <v>700.0</v>
      </c>
      <c r="O15">
        <v>16.0</v>
      </c>
      <c r="P15" t="s">
        <v>131</v>
      </c>
      <c r="Q15">
        <v>9.0</v>
      </c>
    </row>
    <row r="16">
      <c r="A16" s="99">
        <v>15.0</v>
      </c>
      <c r="B16" s="99">
        <v>3303.0</v>
      </c>
      <c r="C16" s="99">
        <v>1.11</v>
      </c>
      <c r="D16" s="100">
        <v>1559.0</v>
      </c>
      <c r="E16" s="99">
        <v>169.0</v>
      </c>
      <c r="F16" s="99">
        <v>660.0</v>
      </c>
      <c r="G16" s="99">
        <v>700.0</v>
      </c>
      <c r="H16" s="99">
        <v>4.0</v>
      </c>
      <c r="I16" s="99" t="s">
        <v>131</v>
      </c>
      <c r="J16">
        <v>1.11</v>
      </c>
      <c r="K16" s="101">
        <v>1559.0</v>
      </c>
      <c r="L16">
        <v>169.0</v>
      </c>
      <c r="M16">
        <v>660.0</v>
      </c>
      <c r="N16">
        <v>700.0</v>
      </c>
      <c r="O16">
        <v>4.0</v>
      </c>
      <c r="P16" t="s">
        <v>131</v>
      </c>
      <c r="Q16">
        <v>9.0</v>
      </c>
    </row>
    <row r="17">
      <c r="A17" s="99">
        <v>16.0</v>
      </c>
      <c r="B17" s="99">
        <v>4643.0</v>
      </c>
      <c r="C17" s="99">
        <v>1.11</v>
      </c>
      <c r="D17" s="100">
        <v>1550.0</v>
      </c>
      <c r="E17" s="99">
        <v>251.0</v>
      </c>
      <c r="F17" s="99">
        <v>840.0</v>
      </c>
      <c r="G17" s="99">
        <v>450.0</v>
      </c>
      <c r="H17" s="99">
        <v>35.0</v>
      </c>
      <c r="I17" s="99" t="s">
        <v>131</v>
      </c>
      <c r="J17">
        <v>1.11</v>
      </c>
      <c r="K17" s="101">
        <v>1550.0</v>
      </c>
      <c r="L17">
        <v>251.0</v>
      </c>
      <c r="M17">
        <v>840.0</v>
      </c>
      <c r="N17">
        <v>450.0</v>
      </c>
      <c r="O17">
        <v>35.0</v>
      </c>
      <c r="P17" t="s">
        <v>131</v>
      </c>
      <c r="Q17">
        <v>9.0</v>
      </c>
    </row>
    <row r="18">
      <c r="A18" s="99">
        <v>17.0</v>
      </c>
      <c r="B18" s="99">
        <v>2135.0</v>
      </c>
      <c r="C18" s="99">
        <v>1.11</v>
      </c>
      <c r="D18" s="100">
        <v>1533.0</v>
      </c>
      <c r="E18" s="99">
        <v>169.0</v>
      </c>
      <c r="F18" s="99">
        <v>820.0</v>
      </c>
      <c r="G18" s="99">
        <v>600.0</v>
      </c>
      <c r="H18" s="99">
        <v>13.0</v>
      </c>
      <c r="I18" s="99" t="s">
        <v>108</v>
      </c>
      <c r="J18">
        <v>1.11</v>
      </c>
      <c r="K18" s="101">
        <v>1533.0</v>
      </c>
      <c r="L18">
        <v>169.0</v>
      </c>
      <c r="M18">
        <v>820.0</v>
      </c>
      <c r="N18">
        <v>600.0</v>
      </c>
      <c r="O18">
        <v>13.0</v>
      </c>
      <c r="P18" t="s">
        <v>108</v>
      </c>
      <c r="Q18">
        <v>9.0</v>
      </c>
    </row>
    <row r="19">
      <c r="A19" s="99">
        <v>18.0</v>
      </c>
      <c r="B19" s="99">
        <v>670.0</v>
      </c>
      <c r="C19" s="99">
        <v>1.11</v>
      </c>
      <c r="D19" s="100">
        <v>1456.0</v>
      </c>
      <c r="E19" s="99">
        <v>316.0</v>
      </c>
      <c r="F19" s="99">
        <v>820.0</v>
      </c>
      <c r="G19" s="99">
        <v>450.0</v>
      </c>
      <c r="H19" s="99">
        <v>51.0</v>
      </c>
      <c r="I19" s="99" t="s">
        <v>131</v>
      </c>
      <c r="J19">
        <v>1.11</v>
      </c>
      <c r="K19" s="101">
        <v>1456.0</v>
      </c>
      <c r="L19">
        <v>316.0</v>
      </c>
      <c r="M19">
        <v>820.0</v>
      </c>
      <c r="N19">
        <v>450.0</v>
      </c>
      <c r="O19">
        <v>51.0</v>
      </c>
      <c r="P19" t="s">
        <v>131</v>
      </c>
      <c r="Q19">
        <v>9.0</v>
      </c>
    </row>
    <row r="20">
      <c r="A20" s="99">
        <v>19.0</v>
      </c>
      <c r="B20" s="99">
        <v>3045.0</v>
      </c>
      <c r="C20" s="99">
        <v>1.11</v>
      </c>
      <c r="D20" s="100">
        <v>1453.0</v>
      </c>
      <c r="E20" s="99">
        <v>244.0</v>
      </c>
      <c r="F20" s="99">
        <v>600.0</v>
      </c>
      <c r="G20" s="99">
        <v>600.0</v>
      </c>
      <c r="H20" s="99">
        <v>38.0</v>
      </c>
      <c r="I20" s="99" t="s">
        <v>108</v>
      </c>
      <c r="J20">
        <v>1.11</v>
      </c>
      <c r="K20" s="101">
        <v>1453.0</v>
      </c>
      <c r="L20">
        <v>244.0</v>
      </c>
      <c r="M20">
        <v>600.0</v>
      </c>
      <c r="N20">
        <v>600.0</v>
      </c>
      <c r="O20">
        <v>38.0</v>
      </c>
      <c r="P20" t="s">
        <v>108</v>
      </c>
      <c r="Q20">
        <v>9.0</v>
      </c>
    </row>
    <row r="21">
      <c r="A21" s="99">
        <v>20.0</v>
      </c>
      <c r="B21" s="99">
        <v>4276.0</v>
      </c>
      <c r="C21" s="99">
        <v>1.11</v>
      </c>
      <c r="D21" s="100">
        <v>1417.0</v>
      </c>
      <c r="E21" s="99">
        <v>100.0</v>
      </c>
      <c r="F21" s="99">
        <v>720.0</v>
      </c>
      <c r="G21" s="99">
        <v>550.0</v>
      </c>
      <c r="H21" s="99">
        <v>27.0</v>
      </c>
      <c r="I21" s="99" t="s">
        <v>131</v>
      </c>
      <c r="J21">
        <v>1.11</v>
      </c>
      <c r="K21" s="101">
        <v>1417.0</v>
      </c>
      <c r="L21">
        <v>100.0</v>
      </c>
      <c r="M21">
        <v>720.0</v>
      </c>
      <c r="N21">
        <v>550.0</v>
      </c>
      <c r="O21">
        <v>27.0</v>
      </c>
      <c r="P21" t="s">
        <v>131</v>
      </c>
      <c r="Q21">
        <v>9.0</v>
      </c>
    </row>
    <row r="22">
      <c r="A22" s="99">
        <v>21.0</v>
      </c>
      <c r="B22" s="99">
        <v>1671.0</v>
      </c>
      <c r="C22" s="99">
        <v>1.11</v>
      </c>
      <c r="D22" s="100">
        <v>1317.0</v>
      </c>
      <c r="E22" s="99">
        <v>141.0</v>
      </c>
      <c r="F22" s="99">
        <v>840.0</v>
      </c>
      <c r="G22" s="99">
        <v>300.0</v>
      </c>
      <c r="H22" s="99">
        <v>32.0</v>
      </c>
      <c r="I22" s="99" t="s">
        <v>131</v>
      </c>
      <c r="J22">
        <v>1.11</v>
      </c>
      <c r="K22" s="101">
        <v>1317.0</v>
      </c>
      <c r="L22">
        <v>141.0</v>
      </c>
      <c r="M22">
        <v>840.0</v>
      </c>
      <c r="N22">
        <v>300.0</v>
      </c>
      <c r="O22">
        <v>32.0</v>
      </c>
      <c r="P22" t="s">
        <v>131</v>
      </c>
      <c r="Q22">
        <v>9.0</v>
      </c>
    </row>
    <row r="23">
      <c r="A23" s="99">
        <v>22.0</v>
      </c>
      <c r="B23" s="99">
        <v>294.0</v>
      </c>
      <c r="C23" s="99">
        <v>1.0</v>
      </c>
      <c r="D23" s="100">
        <v>1619.0</v>
      </c>
      <c r="E23" s="99">
        <v>400.0</v>
      </c>
      <c r="F23" s="99">
        <v>900.0</v>
      </c>
      <c r="G23" s="99">
        <v>550.0</v>
      </c>
      <c r="H23" s="99">
        <v>4.0</v>
      </c>
      <c r="I23" s="99" t="s">
        <v>132</v>
      </c>
      <c r="J23">
        <v>1.0</v>
      </c>
      <c r="K23" s="101">
        <v>1619.0</v>
      </c>
      <c r="L23">
        <v>400.0</v>
      </c>
      <c r="M23">
        <v>900.0</v>
      </c>
      <c r="N23">
        <v>550.0</v>
      </c>
      <c r="O23">
        <v>4.0</v>
      </c>
      <c r="P23" t="s">
        <v>132</v>
      </c>
      <c r="Q23">
        <v>9.0</v>
      </c>
    </row>
    <row r="24">
      <c r="A24" s="99">
        <v>23.0</v>
      </c>
      <c r="B24" s="99">
        <v>5817.0</v>
      </c>
      <c r="C24" s="99">
        <v>0.88</v>
      </c>
      <c r="D24" s="100">
        <v>1709.0</v>
      </c>
      <c r="E24" s="99">
        <v>268.0</v>
      </c>
      <c r="F24" s="99">
        <v>860.0</v>
      </c>
      <c r="G24" s="99">
        <v>650.0</v>
      </c>
      <c r="H24" s="99">
        <v>19.0</v>
      </c>
      <c r="I24" s="99" t="s">
        <v>112</v>
      </c>
      <c r="J24">
        <v>0.88</v>
      </c>
      <c r="K24" s="101">
        <v>1709.0</v>
      </c>
      <c r="L24">
        <v>268.0</v>
      </c>
      <c r="M24">
        <v>860.0</v>
      </c>
      <c r="N24">
        <v>650.0</v>
      </c>
      <c r="O24">
        <v>19.0</v>
      </c>
      <c r="P24" t="s">
        <v>112</v>
      </c>
      <c r="Q24">
        <v>9.0</v>
      </c>
    </row>
    <row r="25">
      <c r="A25" s="99">
        <v>24.0</v>
      </c>
      <c r="B25" s="99">
        <v>2493.0</v>
      </c>
      <c r="C25" s="99">
        <v>0.88</v>
      </c>
      <c r="D25" s="100">
        <v>1478.0</v>
      </c>
      <c r="E25" s="99">
        <v>158.0</v>
      </c>
      <c r="F25" s="99">
        <v>780.0</v>
      </c>
      <c r="G25" s="99">
        <v>550.0</v>
      </c>
      <c r="H25" s="99">
        <v>13.0</v>
      </c>
      <c r="I25" s="99" t="s">
        <v>112</v>
      </c>
      <c r="J25">
        <v>0.88</v>
      </c>
      <c r="K25" s="101">
        <v>1478.0</v>
      </c>
      <c r="L25">
        <v>158.0</v>
      </c>
      <c r="M25">
        <v>780.0</v>
      </c>
      <c r="N25">
        <v>550.0</v>
      </c>
      <c r="O25">
        <v>13.0</v>
      </c>
      <c r="P25" t="s">
        <v>112</v>
      </c>
      <c r="Q25">
        <v>9.0</v>
      </c>
    </row>
    <row r="26">
      <c r="A26" s="99">
        <v>25.0</v>
      </c>
      <c r="B26" s="99">
        <v>1323.0</v>
      </c>
      <c r="C26" s="99">
        <v>0.88</v>
      </c>
      <c r="D26" s="100">
        <v>1448.0</v>
      </c>
      <c r="E26" s="99">
        <v>280.0</v>
      </c>
      <c r="F26" s="99">
        <v>820.0</v>
      </c>
      <c r="G26" s="99">
        <v>350.0</v>
      </c>
      <c r="H26" s="99">
        <v>138.0</v>
      </c>
      <c r="I26" s="99" t="s">
        <v>112</v>
      </c>
      <c r="J26">
        <v>0.88</v>
      </c>
      <c r="K26" s="101">
        <v>1448.0</v>
      </c>
      <c r="L26">
        <v>280.0</v>
      </c>
      <c r="M26">
        <v>820.0</v>
      </c>
      <c r="N26">
        <v>350.0</v>
      </c>
      <c r="O26">
        <v>138.0</v>
      </c>
      <c r="P26" t="s">
        <v>112</v>
      </c>
      <c r="Q26">
        <v>9.0</v>
      </c>
    </row>
    <row r="27">
      <c r="A27" s="99">
        <v>26.0</v>
      </c>
      <c r="B27" s="99">
        <v>4255.0</v>
      </c>
      <c r="C27" s="99">
        <v>0.88</v>
      </c>
      <c r="D27" s="100">
        <v>1427.0</v>
      </c>
      <c r="E27" s="99">
        <v>350.0</v>
      </c>
      <c r="F27" s="99">
        <v>880.0</v>
      </c>
      <c r="G27" s="99">
        <v>400.0</v>
      </c>
      <c r="H27" s="99">
        <v>7.0</v>
      </c>
      <c r="I27" s="99" t="s">
        <v>112</v>
      </c>
      <c r="J27">
        <v>0.88</v>
      </c>
      <c r="K27" s="101">
        <v>1427.0</v>
      </c>
      <c r="L27">
        <v>350.0</v>
      </c>
      <c r="M27">
        <v>880.0</v>
      </c>
      <c r="N27">
        <v>400.0</v>
      </c>
      <c r="O27">
        <v>7.0</v>
      </c>
      <c r="P27" t="s">
        <v>112</v>
      </c>
      <c r="Q27">
        <v>9.0</v>
      </c>
    </row>
    <row r="28">
      <c r="A28" s="99">
        <v>27.0</v>
      </c>
      <c r="B28" s="99">
        <v>6650.0</v>
      </c>
      <c r="C28" s="99">
        <v>0.88</v>
      </c>
      <c r="D28" s="100">
        <v>1421.0</v>
      </c>
      <c r="E28" s="99">
        <v>285.0</v>
      </c>
      <c r="F28" s="99">
        <v>620.0</v>
      </c>
      <c r="G28" s="99">
        <v>650.0</v>
      </c>
      <c r="H28" s="99">
        <v>46.0</v>
      </c>
      <c r="I28" s="99" t="s">
        <v>113</v>
      </c>
      <c r="J28">
        <v>0.88</v>
      </c>
      <c r="K28" s="101">
        <v>1421.0</v>
      </c>
      <c r="L28">
        <v>285.0</v>
      </c>
      <c r="M28">
        <v>620.0</v>
      </c>
      <c r="N28">
        <v>650.0</v>
      </c>
      <c r="O28">
        <v>46.0</v>
      </c>
      <c r="P28" t="s">
        <v>113</v>
      </c>
      <c r="Q28">
        <v>9.0</v>
      </c>
    </row>
    <row r="29">
      <c r="A29" s="99">
        <v>28.0</v>
      </c>
      <c r="B29" s="99">
        <v>1388.0</v>
      </c>
      <c r="C29" s="99">
        <v>0.88</v>
      </c>
      <c r="D29" s="100">
        <v>1380.0</v>
      </c>
      <c r="E29" s="99">
        <v>195.0</v>
      </c>
      <c r="F29" s="99">
        <v>680.0</v>
      </c>
      <c r="G29" s="99">
        <v>550.0</v>
      </c>
      <c r="H29" s="99">
        <v>15.0</v>
      </c>
      <c r="I29" s="99" t="s">
        <v>112</v>
      </c>
      <c r="J29">
        <v>0.88</v>
      </c>
      <c r="K29" s="101">
        <v>1380.0</v>
      </c>
      <c r="L29">
        <v>195.0</v>
      </c>
      <c r="M29">
        <v>680.0</v>
      </c>
      <c r="N29">
        <v>550.0</v>
      </c>
      <c r="O29">
        <v>15.0</v>
      </c>
      <c r="P29" t="s">
        <v>112</v>
      </c>
      <c r="Q29">
        <v>9.0</v>
      </c>
    </row>
    <row r="30">
      <c r="A30" s="99">
        <v>29.0</v>
      </c>
      <c r="B30" s="99">
        <v>1422.0</v>
      </c>
      <c r="C30" s="99">
        <v>0.88</v>
      </c>
      <c r="D30" s="100">
        <v>1366.0</v>
      </c>
      <c r="E30" s="99">
        <v>145.0</v>
      </c>
      <c r="F30" s="99">
        <v>700.0</v>
      </c>
      <c r="G30" s="99">
        <v>550.0</v>
      </c>
      <c r="H30" s="99">
        <v>6.0</v>
      </c>
      <c r="I30" s="99" t="s">
        <v>111</v>
      </c>
      <c r="J30">
        <v>0.88</v>
      </c>
      <c r="K30" s="101">
        <v>1366.0</v>
      </c>
      <c r="L30">
        <v>145.0</v>
      </c>
      <c r="M30">
        <v>700.0</v>
      </c>
      <c r="N30">
        <v>550.0</v>
      </c>
      <c r="O30">
        <v>6.0</v>
      </c>
      <c r="P30" t="s">
        <v>111</v>
      </c>
      <c r="Q30">
        <v>9.0</v>
      </c>
    </row>
    <row r="31">
      <c r="A31" s="99">
        <v>30.0</v>
      </c>
      <c r="B31" s="99">
        <v>980.0</v>
      </c>
      <c r="C31" s="99">
        <v>0.88</v>
      </c>
      <c r="D31" s="100">
        <v>1331.0</v>
      </c>
      <c r="E31" s="99">
        <v>122.0</v>
      </c>
      <c r="F31" s="99">
        <v>760.0</v>
      </c>
      <c r="G31" s="99">
        <v>350.0</v>
      </c>
      <c r="H31" s="99">
        <v>31.0</v>
      </c>
      <c r="I31" s="99" t="s">
        <v>112</v>
      </c>
      <c r="J31">
        <v>0.88</v>
      </c>
      <c r="K31" s="101">
        <v>1331.0</v>
      </c>
      <c r="L31">
        <v>122.0</v>
      </c>
      <c r="M31">
        <v>760.0</v>
      </c>
      <c r="N31">
        <v>350.0</v>
      </c>
      <c r="O31">
        <v>31.0</v>
      </c>
      <c r="P31" t="s">
        <v>112</v>
      </c>
      <c r="Q31">
        <v>9.0</v>
      </c>
    </row>
    <row r="32">
      <c r="A32" s="99">
        <v>31.0</v>
      </c>
      <c r="B32" s="99">
        <v>3189.0</v>
      </c>
      <c r="C32" s="99">
        <v>0.88</v>
      </c>
      <c r="D32" s="100">
        <v>1322.0</v>
      </c>
      <c r="E32" s="99">
        <v>290.0</v>
      </c>
      <c r="F32" s="99">
        <v>700.0</v>
      </c>
      <c r="G32" s="99">
        <v>400.0</v>
      </c>
      <c r="H32" s="99">
        <v>7.0</v>
      </c>
      <c r="I32" s="99" t="s">
        <v>112</v>
      </c>
      <c r="J32">
        <v>0.88</v>
      </c>
      <c r="K32" s="101">
        <v>1322.0</v>
      </c>
      <c r="L32">
        <v>290.0</v>
      </c>
      <c r="M32">
        <v>700.0</v>
      </c>
      <c r="N32">
        <v>400.0</v>
      </c>
      <c r="O32">
        <v>7.0</v>
      </c>
      <c r="P32" t="s">
        <v>112</v>
      </c>
      <c r="Q32">
        <v>9.0</v>
      </c>
    </row>
    <row r="33">
      <c r="A33" s="99">
        <v>32.0</v>
      </c>
      <c r="B33" s="99">
        <v>3501.0</v>
      </c>
      <c r="C33" s="99">
        <v>0.88</v>
      </c>
      <c r="D33" s="100">
        <v>1269.0</v>
      </c>
      <c r="E33" s="99">
        <v>283.0</v>
      </c>
      <c r="F33" s="99">
        <v>820.0</v>
      </c>
      <c r="G33" s="99">
        <v>300.0</v>
      </c>
      <c r="H33" s="99">
        <v>19.0</v>
      </c>
      <c r="I33" s="99" t="s">
        <v>111</v>
      </c>
      <c r="J33">
        <v>0.88</v>
      </c>
      <c r="K33" s="101">
        <v>1269.0</v>
      </c>
      <c r="L33">
        <v>283.0</v>
      </c>
      <c r="M33">
        <v>820.0</v>
      </c>
      <c r="N33">
        <v>300.0</v>
      </c>
      <c r="O33">
        <v>19.0</v>
      </c>
      <c r="P33" t="s">
        <v>111</v>
      </c>
      <c r="Q33">
        <v>9.0</v>
      </c>
    </row>
    <row r="34">
      <c r="A34" s="99">
        <v>33.0</v>
      </c>
      <c r="B34" s="99">
        <v>2085.0</v>
      </c>
      <c r="C34" s="99">
        <v>0.88</v>
      </c>
      <c r="D34" s="100">
        <v>1263.0</v>
      </c>
      <c r="E34" s="99">
        <v>160.0</v>
      </c>
      <c r="F34" s="99">
        <v>740.0</v>
      </c>
      <c r="G34" s="99">
        <v>400.0</v>
      </c>
      <c r="H34" s="99">
        <v>23.0</v>
      </c>
      <c r="I34" s="99" t="s">
        <v>112</v>
      </c>
      <c r="J34">
        <v>0.88</v>
      </c>
      <c r="K34" s="101">
        <v>1263.0</v>
      </c>
      <c r="L34">
        <v>160.0</v>
      </c>
      <c r="M34">
        <v>740.0</v>
      </c>
      <c r="N34">
        <v>400.0</v>
      </c>
      <c r="O34">
        <v>23.0</v>
      </c>
      <c r="P34" t="s">
        <v>112</v>
      </c>
      <c r="Q34">
        <v>9.0</v>
      </c>
    </row>
    <row r="35">
      <c r="A35" s="99">
        <v>34.0</v>
      </c>
      <c r="B35" s="99">
        <v>2643.0</v>
      </c>
      <c r="C35" s="99">
        <v>0.88</v>
      </c>
      <c r="D35" s="100">
        <v>1259.0</v>
      </c>
      <c r="E35" s="99">
        <v>115.0</v>
      </c>
      <c r="F35" s="99">
        <v>640.0</v>
      </c>
      <c r="G35" s="99">
        <v>350.0</v>
      </c>
      <c r="H35" s="99">
        <v>9.0</v>
      </c>
      <c r="I35" s="99" t="s">
        <v>112</v>
      </c>
      <c r="J35">
        <v>0.88</v>
      </c>
      <c r="K35" s="101">
        <v>1259.0</v>
      </c>
      <c r="L35">
        <v>115.0</v>
      </c>
      <c r="M35">
        <v>640.0</v>
      </c>
      <c r="N35">
        <v>350.0</v>
      </c>
      <c r="O35">
        <v>9.0</v>
      </c>
      <c r="P35" t="s">
        <v>112</v>
      </c>
      <c r="Q35">
        <v>9.0</v>
      </c>
    </row>
    <row r="36">
      <c r="A36" s="99">
        <v>35.0</v>
      </c>
      <c r="B36" s="99">
        <v>4415.0</v>
      </c>
      <c r="C36" s="99">
        <v>0.77</v>
      </c>
      <c r="D36" s="100">
        <v>1653.0</v>
      </c>
      <c r="E36" s="99">
        <v>211.0</v>
      </c>
      <c r="F36" s="99">
        <v>960.0</v>
      </c>
      <c r="G36" s="99">
        <v>550.0</v>
      </c>
      <c r="H36" s="99">
        <v>3.0</v>
      </c>
      <c r="I36" s="99" t="s">
        <v>133</v>
      </c>
      <c r="J36">
        <v>0.77</v>
      </c>
      <c r="K36" s="101">
        <v>1653.0</v>
      </c>
      <c r="L36">
        <v>211.0</v>
      </c>
      <c r="M36">
        <v>960.0</v>
      </c>
      <c r="N36">
        <v>550.0</v>
      </c>
      <c r="O36">
        <v>3.0</v>
      </c>
      <c r="P36" t="s">
        <v>133</v>
      </c>
      <c r="Q36">
        <v>9.0</v>
      </c>
    </row>
    <row r="37">
      <c r="A37" s="99">
        <v>36.0</v>
      </c>
      <c r="B37" s="99">
        <v>4543.0</v>
      </c>
      <c r="C37" s="99">
        <v>0.66</v>
      </c>
      <c r="D37" s="100">
        <v>1506.0</v>
      </c>
      <c r="E37" s="99">
        <v>229.0</v>
      </c>
      <c r="F37" s="99">
        <v>800.0</v>
      </c>
      <c r="G37" s="99">
        <v>500.0</v>
      </c>
      <c r="H37" s="99">
        <v>26.0</v>
      </c>
      <c r="I37" s="99" t="s">
        <v>134</v>
      </c>
      <c r="J37">
        <v>0.66</v>
      </c>
      <c r="K37" s="101">
        <v>1506.0</v>
      </c>
      <c r="L37">
        <v>229.0</v>
      </c>
      <c r="M37">
        <v>800.0</v>
      </c>
      <c r="N37">
        <v>500.0</v>
      </c>
      <c r="O37">
        <v>26.0</v>
      </c>
      <c r="P37" t="s">
        <v>134</v>
      </c>
      <c r="Q37">
        <v>9.0</v>
      </c>
    </row>
    <row r="38">
      <c r="A38" s="99">
        <v>37.0</v>
      </c>
      <c r="B38" s="99">
        <v>1868.0</v>
      </c>
      <c r="C38" s="99">
        <v>0.66</v>
      </c>
      <c r="D38" s="100">
        <v>1482.0</v>
      </c>
      <c r="E38" s="99">
        <v>216.0</v>
      </c>
      <c r="F38" s="99">
        <v>660.0</v>
      </c>
      <c r="G38" s="99">
        <v>550.0</v>
      </c>
      <c r="H38" s="99">
        <v>52.0</v>
      </c>
      <c r="I38" s="99" t="s">
        <v>134</v>
      </c>
      <c r="J38">
        <v>0.66</v>
      </c>
      <c r="K38" s="101">
        <v>1482.0</v>
      </c>
      <c r="L38">
        <v>216.0</v>
      </c>
      <c r="M38">
        <v>660.0</v>
      </c>
      <c r="N38">
        <v>550.0</v>
      </c>
      <c r="O38">
        <v>52.0</v>
      </c>
      <c r="P38" t="s">
        <v>134</v>
      </c>
      <c r="Q38">
        <v>9.0</v>
      </c>
    </row>
    <row r="39">
      <c r="A39" s="99">
        <v>38.0</v>
      </c>
      <c r="B39" s="99">
        <v>972.0</v>
      </c>
      <c r="C39" s="99">
        <v>0.66</v>
      </c>
      <c r="D39" s="100">
        <v>1411.0</v>
      </c>
      <c r="E39" s="99">
        <v>194.0</v>
      </c>
      <c r="F39" s="99">
        <v>780.0</v>
      </c>
      <c r="G39" s="99">
        <v>450.0</v>
      </c>
      <c r="H39" s="99">
        <v>31.0</v>
      </c>
      <c r="I39" s="99" t="s">
        <v>134</v>
      </c>
      <c r="J39">
        <v>0.66</v>
      </c>
      <c r="K39" s="101">
        <v>1411.0</v>
      </c>
      <c r="L39">
        <v>194.0</v>
      </c>
      <c r="M39">
        <v>780.0</v>
      </c>
      <c r="N39">
        <v>450.0</v>
      </c>
      <c r="O39">
        <v>31.0</v>
      </c>
      <c r="P39" t="s">
        <v>134</v>
      </c>
      <c r="Q39">
        <v>9.0</v>
      </c>
    </row>
    <row r="40">
      <c r="A40" s="99">
        <v>39.0</v>
      </c>
      <c r="B40" s="99">
        <v>687.0</v>
      </c>
      <c r="C40" s="99">
        <v>0.66</v>
      </c>
      <c r="D40" s="100">
        <v>1384.0</v>
      </c>
      <c r="E40" s="99">
        <v>123.0</v>
      </c>
      <c r="F40" s="99">
        <v>640.0</v>
      </c>
      <c r="G40" s="99">
        <v>500.0</v>
      </c>
      <c r="H40" s="99">
        <v>29.0</v>
      </c>
      <c r="I40" s="99" t="s">
        <v>134</v>
      </c>
      <c r="J40">
        <v>0.66</v>
      </c>
      <c r="K40" s="101">
        <v>1384.0</v>
      </c>
      <c r="L40">
        <v>123.0</v>
      </c>
      <c r="M40">
        <v>640.0</v>
      </c>
      <c r="N40">
        <v>500.0</v>
      </c>
      <c r="O40">
        <v>29.0</v>
      </c>
      <c r="P40" t="s">
        <v>134</v>
      </c>
      <c r="Q40">
        <v>9.0</v>
      </c>
    </row>
    <row r="41">
      <c r="A41" s="99">
        <v>40.0</v>
      </c>
      <c r="B41" s="99">
        <v>6657.0</v>
      </c>
      <c r="C41" s="99">
        <v>0.66</v>
      </c>
      <c r="D41" s="100">
        <v>1269.0</v>
      </c>
      <c r="E41" s="99">
        <v>98.0</v>
      </c>
      <c r="F41" s="99">
        <v>720.0</v>
      </c>
      <c r="G41" s="99">
        <v>350.0</v>
      </c>
      <c r="H41" s="99">
        <v>14.0</v>
      </c>
      <c r="I41" s="99" t="s">
        <v>134</v>
      </c>
      <c r="J41">
        <v>0.66</v>
      </c>
      <c r="K41" s="101">
        <v>1269.0</v>
      </c>
      <c r="L41">
        <v>98.0</v>
      </c>
      <c r="M41">
        <v>720.0</v>
      </c>
      <c r="N41">
        <v>350.0</v>
      </c>
      <c r="O41">
        <v>14.0</v>
      </c>
      <c r="P41" t="s">
        <v>134</v>
      </c>
      <c r="Q41">
        <v>9.0</v>
      </c>
    </row>
    <row r="42">
      <c r="A42" s="99">
        <v>41.0</v>
      </c>
      <c r="B42" s="99">
        <v>2813.0</v>
      </c>
      <c r="C42" s="99">
        <v>0.66</v>
      </c>
      <c r="D42" s="100">
        <v>1199.0</v>
      </c>
      <c r="E42" s="99">
        <v>294.0</v>
      </c>
      <c r="F42" s="99">
        <v>740.0</v>
      </c>
      <c r="G42" s="99">
        <v>300.0</v>
      </c>
      <c r="H42" s="99">
        <v>39.0</v>
      </c>
      <c r="I42" s="99" t="s">
        <v>134</v>
      </c>
      <c r="J42">
        <v>0.66</v>
      </c>
      <c r="K42" s="101">
        <v>1199.0</v>
      </c>
      <c r="L42">
        <v>294.0</v>
      </c>
      <c r="M42">
        <v>740.0</v>
      </c>
      <c r="N42">
        <v>300.0</v>
      </c>
      <c r="O42">
        <v>39.0</v>
      </c>
      <c r="P42" t="s">
        <v>134</v>
      </c>
      <c r="Q42">
        <v>9.0</v>
      </c>
    </row>
    <row r="43">
      <c r="A43" s="99">
        <v>42.0</v>
      </c>
      <c r="B43" s="99">
        <v>3970.0</v>
      </c>
      <c r="C43" s="99">
        <v>0.44</v>
      </c>
      <c r="D43" s="100">
        <v>1476.0</v>
      </c>
      <c r="E43" s="99">
        <v>170.0</v>
      </c>
      <c r="F43" s="99">
        <v>780.0</v>
      </c>
      <c r="G43" s="99">
        <v>450.0</v>
      </c>
      <c r="H43" s="99">
        <v>46.0</v>
      </c>
      <c r="I43" s="99" t="s">
        <v>135</v>
      </c>
      <c r="J43">
        <v>0.44</v>
      </c>
      <c r="K43" s="101">
        <v>1476.0</v>
      </c>
      <c r="L43">
        <v>170.0</v>
      </c>
      <c r="M43">
        <v>780.0</v>
      </c>
      <c r="N43">
        <v>450.0</v>
      </c>
      <c r="O43">
        <v>46.0</v>
      </c>
      <c r="P43" t="s">
        <v>135</v>
      </c>
      <c r="Q43">
        <v>9.0</v>
      </c>
    </row>
    <row r="44">
      <c r="A44" s="99">
        <v>43.0</v>
      </c>
      <c r="B44" s="99">
        <v>6711.0</v>
      </c>
      <c r="C44" s="99">
        <v>0.44</v>
      </c>
      <c r="D44" s="100">
        <v>1236.0</v>
      </c>
      <c r="E44" s="99">
        <v>120.0</v>
      </c>
      <c r="F44" s="99">
        <v>620.0</v>
      </c>
      <c r="G44" s="99">
        <v>500.0</v>
      </c>
      <c r="H44" s="99">
        <v>11.0</v>
      </c>
      <c r="I44" s="99" t="s">
        <v>116</v>
      </c>
      <c r="J44">
        <v>0.44</v>
      </c>
      <c r="K44" s="101">
        <v>1236.0</v>
      </c>
      <c r="L44">
        <v>120.0</v>
      </c>
      <c r="M44">
        <v>620.0</v>
      </c>
      <c r="N44">
        <v>500.0</v>
      </c>
      <c r="O44">
        <v>11.0</v>
      </c>
      <c r="P44" t="s">
        <v>116</v>
      </c>
      <c r="Q44">
        <v>9.0</v>
      </c>
    </row>
    <row r="45">
      <c r="A45" s="99">
        <v>44.0</v>
      </c>
      <c r="B45" s="99">
        <v>3495.0</v>
      </c>
      <c r="C45" s="99">
        <v>0.44</v>
      </c>
      <c r="D45" s="100">
        <v>1222.0</v>
      </c>
      <c r="E45" s="99">
        <v>75.0</v>
      </c>
      <c r="F45" s="99">
        <v>640.0</v>
      </c>
      <c r="G45" s="99">
        <v>450.0</v>
      </c>
      <c r="H45" s="99">
        <v>7.0</v>
      </c>
      <c r="I45" s="99" t="s">
        <v>116</v>
      </c>
      <c r="J45">
        <v>0.44</v>
      </c>
      <c r="K45" s="101">
        <v>1222.0</v>
      </c>
      <c r="L45">
        <v>75.0</v>
      </c>
      <c r="M45">
        <v>640.0</v>
      </c>
      <c r="N45">
        <v>450.0</v>
      </c>
      <c r="O45">
        <v>7.0</v>
      </c>
      <c r="P45" t="s">
        <v>116</v>
      </c>
      <c r="Q45">
        <v>9.0</v>
      </c>
    </row>
    <row r="46">
      <c r="A46" s="99">
        <v>45.0</v>
      </c>
      <c r="B46" s="99">
        <v>6059.0</v>
      </c>
      <c r="C46" s="99">
        <v>0.44</v>
      </c>
      <c r="D46" s="100">
        <v>1111.0</v>
      </c>
      <c r="E46" s="99">
        <v>185.0</v>
      </c>
      <c r="F46" s="99">
        <v>680.0</v>
      </c>
      <c r="G46" s="99">
        <v>350.0</v>
      </c>
      <c r="H46" s="99">
        <v>6.0</v>
      </c>
      <c r="I46" s="99" t="s">
        <v>136</v>
      </c>
      <c r="J46">
        <v>0.44</v>
      </c>
      <c r="K46" s="101">
        <v>1111.0</v>
      </c>
      <c r="L46">
        <v>185.0</v>
      </c>
      <c r="M46">
        <v>680.0</v>
      </c>
      <c r="N46">
        <v>350.0</v>
      </c>
      <c r="O46">
        <v>6.0</v>
      </c>
      <c r="P46" t="s">
        <v>136</v>
      </c>
      <c r="Q46">
        <v>9.0</v>
      </c>
    </row>
    <row r="47">
      <c r="A47" s="99">
        <v>46.0</v>
      </c>
      <c r="B47" s="99">
        <v>2367.0</v>
      </c>
      <c r="C47" s="99">
        <v>0.44</v>
      </c>
      <c r="D47" s="100">
        <v>1108.0</v>
      </c>
      <c r="E47" s="99">
        <v>85.0</v>
      </c>
      <c r="F47" s="99">
        <v>640.0</v>
      </c>
      <c r="G47" s="99">
        <v>300.0</v>
      </c>
      <c r="H47" s="99">
        <v>33.0</v>
      </c>
      <c r="I47" s="99" t="s">
        <v>116</v>
      </c>
      <c r="J47">
        <v>0.44</v>
      </c>
      <c r="K47" s="101">
        <v>1108.0</v>
      </c>
      <c r="L47">
        <v>85.0</v>
      </c>
      <c r="M47">
        <v>640.0</v>
      </c>
      <c r="N47">
        <v>300.0</v>
      </c>
      <c r="O47">
        <v>33.0</v>
      </c>
      <c r="P47" t="s">
        <v>116</v>
      </c>
      <c r="Q47">
        <v>9.0</v>
      </c>
    </row>
    <row r="48">
      <c r="A48" s="99">
        <v>47.0</v>
      </c>
      <c r="B48" s="99">
        <v>6619.0</v>
      </c>
      <c r="C48" s="99">
        <v>0.44</v>
      </c>
      <c r="D48" s="100">
        <v>1006.0</v>
      </c>
      <c r="E48" s="99">
        <v>146.0</v>
      </c>
      <c r="F48" s="99">
        <v>620.0</v>
      </c>
      <c r="G48" s="99">
        <v>200.0</v>
      </c>
      <c r="H48" s="99">
        <v>11.0</v>
      </c>
      <c r="I48" s="99" t="s">
        <v>116</v>
      </c>
      <c r="J48">
        <v>0.44</v>
      </c>
      <c r="K48" s="101">
        <v>1006.0</v>
      </c>
      <c r="L48">
        <v>146.0</v>
      </c>
      <c r="M48">
        <v>620.0</v>
      </c>
      <c r="N48">
        <v>200.0</v>
      </c>
      <c r="O48">
        <v>11.0</v>
      </c>
      <c r="P48" t="s">
        <v>116</v>
      </c>
      <c r="Q48">
        <v>9.0</v>
      </c>
    </row>
    <row r="49">
      <c r="A49" s="99"/>
      <c r="B49" s="99"/>
      <c r="C49" s="99"/>
      <c r="D49" s="99"/>
      <c r="E49" s="99"/>
      <c r="F49" s="99"/>
      <c r="G49" s="99"/>
      <c r="H49" s="99"/>
      <c r="I49" s="99"/>
    </row>
    <row r="50">
      <c r="A50" s="99"/>
      <c r="B50" s="99"/>
      <c r="C50" s="99"/>
      <c r="D50" s="99"/>
      <c r="E50" s="99"/>
      <c r="F50" s="99"/>
      <c r="G50" s="99"/>
      <c r="H50" s="99"/>
      <c r="I50" s="99"/>
    </row>
    <row r="51">
      <c r="A51" s="99"/>
      <c r="B51" s="99"/>
      <c r="C51" s="99"/>
      <c r="D51" s="99"/>
      <c r="E51" s="99"/>
      <c r="F51" s="99"/>
      <c r="G51" s="99"/>
      <c r="H51" s="99"/>
      <c r="I51" s="99"/>
    </row>
    <row r="52">
      <c r="A52" s="99"/>
      <c r="B52" s="99"/>
      <c r="C52" s="99"/>
      <c r="D52" s="99"/>
      <c r="E52" s="99"/>
      <c r="F52" s="99"/>
      <c r="G52" s="99"/>
      <c r="H52" s="99"/>
      <c r="I52" s="99"/>
    </row>
    <row r="53">
      <c r="A53" s="99"/>
      <c r="B53" s="99"/>
      <c r="C53" s="99"/>
      <c r="D53" s="99"/>
      <c r="E53" s="99"/>
      <c r="F53" s="99"/>
      <c r="G53" s="99"/>
      <c r="H53" s="99"/>
      <c r="I53" s="99"/>
    </row>
    <row r="54">
      <c r="A54" s="99"/>
      <c r="B54" s="99"/>
      <c r="C54" s="99"/>
      <c r="D54" s="99"/>
      <c r="E54" s="99"/>
      <c r="F54" s="99"/>
      <c r="G54" s="99"/>
      <c r="H54" s="99"/>
      <c r="I54" s="99"/>
    </row>
    <row r="55">
      <c r="A55" s="99"/>
      <c r="B55" s="99"/>
      <c r="C55" s="99"/>
      <c r="D55" s="99"/>
      <c r="E55" s="99"/>
      <c r="F55" s="99"/>
      <c r="G55" s="99"/>
      <c r="H55" s="99"/>
      <c r="I55" s="99"/>
    </row>
    <row r="56">
      <c r="A56" s="99"/>
      <c r="B56" s="99"/>
      <c r="C56" s="99"/>
      <c r="D56" s="99"/>
      <c r="E56" s="99"/>
      <c r="F56" s="99"/>
      <c r="G56" s="99"/>
      <c r="H56" s="99"/>
      <c r="I56" s="99"/>
    </row>
    <row r="57">
      <c r="A57" s="99"/>
      <c r="B57" s="99"/>
      <c r="C57" s="99"/>
      <c r="D57" s="99"/>
      <c r="E57" s="99"/>
      <c r="F57" s="99"/>
      <c r="G57" s="99"/>
      <c r="H57" s="99"/>
      <c r="I57" s="99"/>
    </row>
    <row r="58">
      <c r="A58" s="99"/>
      <c r="B58" s="99"/>
      <c r="C58" s="99"/>
      <c r="D58" s="99"/>
      <c r="E58" s="99"/>
      <c r="F58" s="99"/>
      <c r="G58" s="99"/>
      <c r="H58" s="99"/>
      <c r="I58" s="99"/>
    </row>
    <row r="59">
      <c r="A59" s="99"/>
      <c r="B59" s="99"/>
      <c r="C59" s="99"/>
      <c r="D59" s="99"/>
      <c r="E59" s="99"/>
      <c r="F59" s="99"/>
      <c r="G59" s="99"/>
      <c r="H59" s="99"/>
      <c r="I59" s="99"/>
    </row>
    <row r="60">
      <c r="A60" s="99"/>
      <c r="B60" s="99"/>
      <c r="C60" s="99"/>
      <c r="D60" s="99"/>
      <c r="E60" s="99"/>
      <c r="F60" s="99"/>
      <c r="G60" s="99"/>
      <c r="H60" s="99"/>
      <c r="I60" s="99"/>
    </row>
    <row r="61">
      <c r="A61" s="99"/>
      <c r="B61" s="99"/>
      <c r="C61" s="99"/>
      <c r="D61" s="99"/>
      <c r="E61" s="99"/>
      <c r="F61" s="99"/>
      <c r="G61" s="99"/>
      <c r="H61" s="99"/>
      <c r="I61" s="99"/>
    </row>
    <row r="62">
      <c r="A62" s="99"/>
      <c r="B62" s="99"/>
      <c r="C62" s="99"/>
      <c r="D62" s="99"/>
      <c r="E62" s="99"/>
      <c r="F62" s="99"/>
      <c r="G62" s="99"/>
      <c r="H62" s="99"/>
      <c r="I62" s="99"/>
    </row>
    <row r="63">
      <c r="A63" s="99"/>
      <c r="B63" s="99"/>
      <c r="C63" s="99"/>
      <c r="D63" s="99"/>
      <c r="E63" s="99"/>
      <c r="F63" s="99"/>
      <c r="G63" s="99"/>
      <c r="H63" s="99"/>
      <c r="I63" s="99"/>
    </row>
    <row r="64">
      <c r="A64" s="99"/>
      <c r="B64" s="99"/>
      <c r="C64" s="99"/>
      <c r="D64" s="99"/>
      <c r="E64" s="99"/>
      <c r="F64" s="99"/>
      <c r="G64" s="99"/>
      <c r="H64" s="99"/>
      <c r="I64" s="99"/>
    </row>
    <row r="65">
      <c r="A65" s="99"/>
      <c r="B65" s="99"/>
      <c r="C65" s="99"/>
      <c r="D65" s="99"/>
      <c r="E65" s="99"/>
      <c r="F65" s="99"/>
      <c r="G65" s="99"/>
      <c r="H65" s="99"/>
      <c r="I65" s="99"/>
    </row>
    <row r="66">
      <c r="A66" s="99"/>
      <c r="B66" s="99"/>
      <c r="C66" s="99"/>
      <c r="D66" s="99"/>
      <c r="E66" s="99"/>
      <c r="F66" s="99"/>
      <c r="G66" s="99"/>
      <c r="H66" s="99"/>
      <c r="I66" s="99"/>
    </row>
    <row r="67">
      <c r="A67" s="99"/>
      <c r="B67" s="99"/>
      <c r="C67" s="99"/>
      <c r="D67" s="99"/>
      <c r="E67" s="99"/>
      <c r="F67" s="99"/>
      <c r="G67" s="99"/>
      <c r="H67" s="99"/>
      <c r="I67" s="99"/>
    </row>
    <row r="68">
      <c r="A68" s="99"/>
      <c r="B68" s="99"/>
      <c r="C68" s="99"/>
      <c r="D68" s="99"/>
      <c r="E68" s="99"/>
      <c r="F68" s="99"/>
      <c r="G68" s="99"/>
      <c r="H68" s="99"/>
      <c r="I68" s="99"/>
    </row>
    <row r="69">
      <c r="A69" s="99"/>
      <c r="B69" s="99"/>
      <c r="C69" s="99"/>
      <c r="D69" s="99"/>
      <c r="E69" s="99"/>
      <c r="F69" s="99"/>
      <c r="G69" s="99"/>
      <c r="H69" s="99"/>
      <c r="I69" s="99"/>
    </row>
    <row r="70">
      <c r="A70" s="99"/>
      <c r="B70" s="99"/>
      <c r="C70" s="99"/>
      <c r="D70" s="99"/>
      <c r="E70" s="99"/>
      <c r="F70" s="99"/>
      <c r="G70" s="99"/>
      <c r="H70" s="99"/>
      <c r="I70" s="99"/>
    </row>
    <row r="71">
      <c r="A71" s="99"/>
      <c r="B71" s="99"/>
      <c r="C71" s="99"/>
      <c r="D71" s="99"/>
      <c r="E71" s="99"/>
      <c r="F71" s="99"/>
      <c r="G71" s="99"/>
      <c r="H71" s="99"/>
      <c r="I71" s="99"/>
    </row>
    <row r="72">
      <c r="A72" s="99"/>
      <c r="B72" s="99"/>
      <c r="C72" s="99"/>
      <c r="D72" s="99"/>
      <c r="E72" s="99"/>
      <c r="F72" s="99"/>
      <c r="G72" s="99"/>
      <c r="H72" s="99"/>
      <c r="I72" s="99"/>
    </row>
    <row r="73">
      <c r="A73" s="99"/>
      <c r="B73" s="99"/>
      <c r="C73" s="99"/>
      <c r="D73" s="99"/>
      <c r="E73" s="99"/>
      <c r="F73" s="99"/>
      <c r="G73" s="99"/>
      <c r="H73" s="99"/>
      <c r="I73" s="99"/>
    </row>
    <row r="74">
      <c r="A74" s="99"/>
      <c r="B74" s="99"/>
      <c r="C74" s="99"/>
      <c r="D74" s="99"/>
      <c r="E74" s="99"/>
      <c r="F74" s="99"/>
      <c r="G74" s="99"/>
      <c r="H74" s="99"/>
      <c r="I74" s="99"/>
    </row>
    <row r="75">
      <c r="A75" s="99"/>
      <c r="B75" s="99"/>
      <c r="C75" s="99"/>
      <c r="D75" s="99"/>
      <c r="E75" s="99"/>
      <c r="F75" s="99"/>
      <c r="G75" s="99"/>
      <c r="H75" s="99"/>
      <c r="I75" s="9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.57"/>
    <col customWidth="1" min="2" max="2" width="5.86"/>
    <col customWidth="1" min="3" max="3" width="7.29"/>
    <col customWidth="1" min="4" max="4" width="5.86"/>
    <col customWidth="1" min="5" max="5" width="8.0"/>
    <col customWidth="1" min="6" max="7" width="1.57"/>
    <col customWidth="1" min="8" max="8" width="7.29"/>
    <col customWidth="1" min="9" max="9" width="3.0"/>
    <col customWidth="1" min="10" max="10" width="11.86"/>
    <col customWidth="1" min="11" max="11" width="5.86"/>
    <col customWidth="1" min="12" max="12" width="7.86"/>
    <col customWidth="1" min="13" max="13" width="5.86"/>
  </cols>
  <sheetData>
    <row r="1">
      <c r="A1" s="102"/>
      <c r="B1" s="103" t="s">
        <v>137</v>
      </c>
      <c r="C1" s="24"/>
      <c r="D1" s="103" t="s">
        <v>138</v>
      </c>
      <c r="E1" s="24"/>
      <c r="F1" s="104"/>
      <c r="G1" s="105"/>
      <c r="H1" s="47" t="s">
        <v>139</v>
      </c>
      <c r="I1" s="104"/>
      <c r="J1" s="106" t="s">
        <v>140</v>
      </c>
      <c r="K1" s="107"/>
      <c r="L1" s="103" t="s">
        <v>141</v>
      </c>
      <c r="M1" s="24"/>
    </row>
    <row r="2">
      <c r="A2" s="102"/>
      <c r="B2" s="108"/>
      <c r="C2" s="39"/>
      <c r="D2" s="108"/>
      <c r="E2" s="39"/>
      <c r="F2" s="104"/>
      <c r="G2" s="109"/>
      <c r="H2" s="28"/>
      <c r="I2" s="104"/>
      <c r="J2" s="28"/>
      <c r="K2" s="107"/>
      <c r="L2" s="108"/>
      <c r="M2" s="39"/>
    </row>
    <row r="3">
      <c r="A3" s="110"/>
      <c r="B3" s="111" t="s">
        <v>142</v>
      </c>
      <c r="C3" s="7"/>
      <c r="D3" s="112" t="s">
        <v>64</v>
      </c>
      <c r="E3" s="7"/>
      <c r="F3" s="113"/>
      <c r="G3" s="114"/>
      <c r="H3" s="115" t="s">
        <v>143</v>
      </c>
      <c r="I3" s="113"/>
      <c r="J3" s="116" t="s">
        <v>142</v>
      </c>
      <c r="K3" s="117"/>
      <c r="L3" s="81" t="s">
        <v>0</v>
      </c>
      <c r="M3" s="81" t="s">
        <v>1</v>
      </c>
    </row>
    <row r="4">
      <c r="A4" s="118"/>
      <c r="B4" s="119"/>
      <c r="C4" s="119"/>
      <c r="D4" s="119"/>
      <c r="E4" s="119"/>
      <c r="F4" s="120"/>
      <c r="G4" s="121"/>
      <c r="H4" s="122"/>
      <c r="I4" s="121"/>
      <c r="K4" s="117"/>
      <c r="L4" s="81">
        <v>1.0</v>
      </c>
      <c r="M4" s="84">
        <f t="shared" ref="M4:M11" si="1">C6</f>
        <v>2761</v>
      </c>
    </row>
    <row r="5">
      <c r="A5" s="110"/>
      <c r="B5" s="123" t="s">
        <v>144</v>
      </c>
      <c r="C5" s="52" t="s">
        <v>145</v>
      </c>
      <c r="D5" s="52" t="s">
        <v>146</v>
      </c>
      <c r="E5" s="52" t="s">
        <v>147</v>
      </c>
      <c r="F5" s="124"/>
      <c r="G5" s="121"/>
      <c r="H5" s="121"/>
      <c r="I5" s="121"/>
      <c r="K5" s="117"/>
      <c r="L5" s="81">
        <v>2.0</v>
      </c>
      <c r="M5" s="84">
        <f t="shared" si="1"/>
        <v>1678</v>
      </c>
    </row>
    <row r="6">
      <c r="A6" s="110"/>
      <c r="B6" s="123">
        <v>1.0</v>
      </c>
      <c r="C6" s="125">
        <v>2761.0</v>
      </c>
      <c r="D6" s="126">
        <v>751.0</v>
      </c>
      <c r="E6" s="126">
        <v>3303.0</v>
      </c>
      <c r="F6" s="124"/>
      <c r="G6" s="121"/>
      <c r="H6" s="121"/>
      <c r="I6" s="121"/>
      <c r="K6" s="117"/>
      <c r="L6" s="81">
        <v>3.0</v>
      </c>
      <c r="M6" s="84">
        <f t="shared" si="1"/>
        <v>973</v>
      </c>
    </row>
    <row r="7">
      <c r="A7" s="110"/>
      <c r="B7" s="123">
        <v>2.0</v>
      </c>
      <c r="C7" s="127">
        <v>1678.0</v>
      </c>
      <c r="D7" s="128">
        <v>1323.0</v>
      </c>
      <c r="E7" s="128">
        <v>2135.0</v>
      </c>
      <c r="F7" s="124"/>
      <c r="G7" s="121"/>
      <c r="H7" s="121"/>
      <c r="I7" s="121"/>
      <c r="K7" s="117"/>
      <c r="L7" s="81">
        <v>4.0</v>
      </c>
      <c r="M7" s="84">
        <f t="shared" si="1"/>
        <v>5852</v>
      </c>
    </row>
    <row r="8">
      <c r="A8" s="110"/>
      <c r="B8" s="123">
        <v>3.0</v>
      </c>
      <c r="C8" s="127">
        <v>973.0</v>
      </c>
      <c r="D8" s="128">
        <v>1072.0</v>
      </c>
      <c r="E8" s="128">
        <v>1662.0</v>
      </c>
      <c r="F8" s="124"/>
      <c r="G8" s="121"/>
      <c r="H8" s="121"/>
      <c r="I8" s="121"/>
      <c r="K8" s="117"/>
      <c r="L8" s="81">
        <v>5.0</v>
      </c>
      <c r="M8" s="84">
        <f t="shared" si="1"/>
        <v>6699</v>
      </c>
    </row>
    <row r="9">
      <c r="A9" s="110"/>
      <c r="B9" s="123">
        <v>4.0</v>
      </c>
      <c r="C9" s="127">
        <v>5852.0</v>
      </c>
      <c r="D9" s="128">
        <v>3256.0</v>
      </c>
      <c r="E9" s="128">
        <v>4543.0</v>
      </c>
      <c r="F9" s="124"/>
      <c r="G9" s="121"/>
      <c r="H9" s="121"/>
      <c r="I9" s="121"/>
      <c r="K9" s="117"/>
      <c r="L9" s="81">
        <v>6.0</v>
      </c>
      <c r="M9" s="84">
        <f t="shared" si="1"/>
        <v>6305</v>
      </c>
    </row>
    <row r="10">
      <c r="A10" s="110"/>
      <c r="B10" s="123">
        <v>5.0</v>
      </c>
      <c r="C10" s="127">
        <v>6699.0</v>
      </c>
      <c r="D10" s="128">
        <v>4415.0</v>
      </c>
      <c r="E10" s="128">
        <v>1868.0</v>
      </c>
      <c r="F10" s="124"/>
      <c r="G10" s="121"/>
      <c r="H10" s="121"/>
      <c r="I10" s="121"/>
      <c r="K10" s="117"/>
      <c r="L10" s="81">
        <v>7.0</v>
      </c>
      <c r="M10" s="84">
        <f t="shared" si="1"/>
        <v>5134</v>
      </c>
    </row>
    <row r="11">
      <c r="A11" s="110"/>
      <c r="B11" s="123">
        <v>6.0</v>
      </c>
      <c r="C11" s="127">
        <v>6305.0</v>
      </c>
      <c r="D11" s="128">
        <v>2085.0</v>
      </c>
      <c r="E11" s="128">
        <v>1671.0</v>
      </c>
      <c r="F11" s="124"/>
      <c r="G11" s="121"/>
      <c r="H11" s="121"/>
      <c r="I11" s="121"/>
      <c r="K11" s="117"/>
      <c r="L11" s="81">
        <v>8.0</v>
      </c>
      <c r="M11" s="84">
        <f t="shared" si="1"/>
        <v>5104</v>
      </c>
    </row>
    <row r="12">
      <c r="A12" s="110"/>
      <c r="B12" s="123">
        <v>7.0</v>
      </c>
      <c r="C12" s="127">
        <v>5134.0</v>
      </c>
      <c r="D12" s="128">
        <v>5817.0</v>
      </c>
      <c r="E12" s="128">
        <v>294.0</v>
      </c>
      <c r="F12" s="124"/>
      <c r="G12" s="121"/>
      <c r="H12" s="121"/>
      <c r="I12" s="121"/>
      <c r="K12" s="117"/>
      <c r="L12" s="81">
        <v>9.0</v>
      </c>
      <c r="M12" s="84">
        <f t="shared" ref="M12:M19" si="2">D6</f>
        <v>751</v>
      </c>
    </row>
    <row r="13">
      <c r="A13" s="110"/>
      <c r="B13" s="123">
        <v>8.0</v>
      </c>
      <c r="C13" s="127">
        <v>5104.0</v>
      </c>
      <c r="D13" s="128">
        <v>4276.0</v>
      </c>
      <c r="E13" s="128">
        <v>4255.0</v>
      </c>
      <c r="F13" s="124"/>
      <c r="G13" s="121"/>
      <c r="H13" s="121"/>
      <c r="I13" s="121"/>
      <c r="K13" s="117"/>
      <c r="L13" s="81">
        <v>10.0</v>
      </c>
      <c r="M13" s="84">
        <f t="shared" si="2"/>
        <v>1323</v>
      </c>
    </row>
    <row r="14">
      <c r="A14" s="110"/>
      <c r="B14" s="129">
        <f t="array" ref="B14">if(mod(index(L4:L27,match(973,M4:M27,0)),8)=0,8,mod(index(L4:L27,match(973,M4:M27,0)),8))</f>
        <v>3</v>
      </c>
      <c r="C14" s="129">
        <f t="shared" ref="C14:E14" si="3">index(C6:C13,match($B$14,$B$6:$B$13,0))</f>
        <v>973</v>
      </c>
      <c r="D14" s="129">
        <f t="shared" si="3"/>
        <v>1072</v>
      </c>
      <c r="E14" s="129">
        <f t="shared" si="3"/>
        <v>1662</v>
      </c>
      <c r="F14" s="124"/>
      <c r="G14" s="121"/>
      <c r="H14" s="121"/>
      <c r="I14" s="121"/>
      <c r="K14" s="117"/>
      <c r="L14" s="81">
        <v>11.0</v>
      </c>
      <c r="M14" s="84">
        <f t="shared" si="2"/>
        <v>1072</v>
      </c>
    </row>
    <row r="15">
      <c r="A15" s="118"/>
      <c r="B15" s="12"/>
      <c r="C15" s="16"/>
      <c r="D15" s="16"/>
      <c r="E15" s="16"/>
      <c r="K15" s="117"/>
      <c r="L15" s="81">
        <v>12.0</v>
      </c>
      <c r="M15" s="84">
        <f t="shared" si="2"/>
        <v>3256</v>
      </c>
    </row>
    <row r="16">
      <c r="A16" s="130"/>
      <c r="B16" s="69">
        <v>1.0</v>
      </c>
      <c r="C16" s="131"/>
      <c r="D16" s="132"/>
      <c r="E16" s="132"/>
      <c r="F16" s="132"/>
      <c r="G16" s="132"/>
      <c r="H16" s="132"/>
      <c r="I16" s="132"/>
      <c r="J16" s="133"/>
      <c r="K16" s="117"/>
      <c r="L16" s="81">
        <v>13.0</v>
      </c>
      <c r="M16" s="84">
        <f t="shared" si="2"/>
        <v>4415</v>
      </c>
    </row>
    <row r="17">
      <c r="A17" s="110"/>
      <c r="B17" s="68">
        <v>8.0</v>
      </c>
      <c r="C17" s="134"/>
      <c r="D17" s="135"/>
      <c r="E17" s="136"/>
      <c r="F17" s="132"/>
      <c r="G17" s="132"/>
      <c r="H17" s="132"/>
      <c r="I17" s="132"/>
      <c r="J17" s="133"/>
      <c r="K17" s="117"/>
      <c r="L17" s="81">
        <v>14.0</v>
      </c>
      <c r="M17" s="84">
        <f t="shared" si="2"/>
        <v>2085</v>
      </c>
    </row>
    <row r="18">
      <c r="A18" s="118"/>
      <c r="B18" s="137"/>
      <c r="C18" s="138"/>
      <c r="D18" s="139"/>
      <c r="E18" s="140"/>
      <c r="F18" s="131"/>
      <c r="G18" s="132"/>
      <c r="H18" s="132"/>
      <c r="I18" s="141"/>
      <c r="J18" s="133"/>
      <c r="K18" s="117"/>
      <c r="L18" s="81">
        <v>15.0</v>
      </c>
      <c r="M18" s="84">
        <f t="shared" si="2"/>
        <v>5817</v>
      </c>
    </row>
    <row r="19">
      <c r="A19" s="110"/>
      <c r="B19" s="69">
        <v>4.0</v>
      </c>
      <c r="C19" s="139"/>
      <c r="D19" s="134"/>
      <c r="E19" s="142"/>
      <c r="F19" s="134"/>
      <c r="G19" s="135"/>
      <c r="H19" s="136"/>
      <c r="I19" s="141"/>
      <c r="J19" s="133"/>
      <c r="K19" s="117"/>
      <c r="L19" s="81">
        <v>16.0</v>
      </c>
      <c r="M19" s="84">
        <f t="shared" si="2"/>
        <v>4276</v>
      </c>
    </row>
    <row r="20">
      <c r="A20" s="110"/>
      <c r="B20" s="68">
        <v>5.0</v>
      </c>
      <c r="C20" s="143"/>
      <c r="D20" s="132"/>
      <c r="E20" s="144"/>
      <c r="F20" s="138"/>
      <c r="G20" s="139"/>
      <c r="H20" s="145"/>
      <c r="J20" s="146"/>
      <c r="K20" s="117"/>
      <c r="L20" s="81">
        <v>17.0</v>
      </c>
      <c r="M20" s="84">
        <f t="shared" ref="M20:M27" si="4">E6</f>
        <v>3303</v>
      </c>
    </row>
    <row r="21">
      <c r="A21" s="118"/>
      <c r="B21" s="137"/>
      <c r="C21" s="132"/>
      <c r="D21" s="132"/>
      <c r="E21" s="132"/>
      <c r="F21" s="138"/>
      <c r="G21" s="134"/>
      <c r="H21" s="147"/>
      <c r="J21" s="146"/>
      <c r="K21" s="117"/>
      <c r="L21" s="81">
        <v>18.0</v>
      </c>
      <c r="M21" s="84">
        <f t="shared" si="4"/>
        <v>2135</v>
      </c>
    </row>
    <row r="22">
      <c r="A22" s="110"/>
      <c r="B22" s="69">
        <v>2.0</v>
      </c>
      <c r="C22" s="131"/>
      <c r="D22" s="132"/>
      <c r="E22" s="148"/>
      <c r="F22" s="138"/>
      <c r="G22" s="135"/>
      <c r="H22" s="144"/>
      <c r="I22" s="141"/>
      <c r="J22" s="133"/>
      <c r="K22" s="117"/>
      <c r="L22" s="81">
        <v>19.0</v>
      </c>
      <c r="M22" s="84">
        <f t="shared" si="4"/>
        <v>1662</v>
      </c>
    </row>
    <row r="23">
      <c r="A23" s="130"/>
      <c r="B23" s="68">
        <v>7.0</v>
      </c>
      <c r="C23" s="134"/>
      <c r="D23" s="139"/>
      <c r="E23" s="140"/>
      <c r="F23" s="139"/>
      <c r="G23" s="135"/>
      <c r="H23" s="132"/>
      <c r="I23" s="141"/>
      <c r="J23" s="133"/>
      <c r="K23" s="117"/>
      <c r="L23" s="81">
        <v>20.0</v>
      </c>
      <c r="M23" s="84">
        <f t="shared" si="4"/>
        <v>4543</v>
      </c>
    </row>
    <row r="24">
      <c r="A24" s="118"/>
      <c r="B24" s="137"/>
      <c r="C24" s="138"/>
      <c r="D24" s="134"/>
      <c r="E24" s="142"/>
      <c r="F24" s="143"/>
      <c r="G24" s="132"/>
      <c r="H24" s="132"/>
      <c r="I24" s="141"/>
      <c r="J24" s="133"/>
      <c r="K24" s="117"/>
      <c r="L24" s="81">
        <v>21.0</v>
      </c>
      <c r="M24" s="84">
        <f t="shared" si="4"/>
        <v>1868</v>
      </c>
    </row>
    <row r="25">
      <c r="A25" s="110"/>
      <c r="B25" s="69">
        <v>3.0</v>
      </c>
      <c r="C25" s="139"/>
      <c r="D25" s="135"/>
      <c r="E25" s="144"/>
      <c r="F25" s="132"/>
      <c r="G25" s="132"/>
      <c r="H25" s="132"/>
      <c r="I25" s="141"/>
      <c r="J25" s="133"/>
      <c r="K25" s="117"/>
      <c r="L25" s="81">
        <v>22.0</v>
      </c>
      <c r="M25" s="84">
        <f t="shared" si="4"/>
        <v>1671</v>
      </c>
    </row>
    <row r="26">
      <c r="A26" s="110"/>
      <c r="B26" s="68">
        <v>6.0</v>
      </c>
      <c r="C26" s="143"/>
      <c r="D26" s="132"/>
      <c r="E26" s="132"/>
      <c r="F26" s="132"/>
      <c r="G26" s="132"/>
      <c r="H26" s="132"/>
      <c r="I26" s="141"/>
      <c r="J26" s="133"/>
      <c r="K26" s="117"/>
      <c r="L26" s="81">
        <v>23.0</v>
      </c>
      <c r="M26" s="84">
        <f t="shared" si="4"/>
        <v>294</v>
      </c>
    </row>
    <row r="27">
      <c r="A27" s="92"/>
      <c r="B27" s="149"/>
      <c r="C27" s="150"/>
      <c r="D27" s="150"/>
      <c r="E27" s="150"/>
      <c r="F27" s="150"/>
      <c r="G27" s="150"/>
      <c r="H27" s="150"/>
      <c r="I27" s="150"/>
      <c r="K27" s="117"/>
      <c r="L27" s="81">
        <v>24.0</v>
      </c>
      <c r="M27" s="84">
        <f t="shared" si="4"/>
        <v>4255</v>
      </c>
    </row>
  </sheetData>
  <mergeCells count="7">
    <mergeCell ref="B3:C3"/>
    <mergeCell ref="D3:E3"/>
    <mergeCell ref="B1:C2"/>
    <mergeCell ref="D1:E2"/>
    <mergeCell ref="H1:H2"/>
    <mergeCell ref="L1:M2"/>
    <mergeCell ref="J1:J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51" t="s">
        <v>148</v>
      </c>
      <c r="B2" s="152" t="s">
        <v>149</v>
      </c>
      <c r="C2" s="153">
        <v>935.0</v>
      </c>
      <c r="D2" s="153">
        <v>6430.0</v>
      </c>
      <c r="E2" s="153">
        <v>624.0</v>
      </c>
      <c r="F2" s="154">
        <v>2481.0</v>
      </c>
      <c r="G2" s="154">
        <v>192.0</v>
      </c>
      <c r="H2" s="154">
        <v>3366.0</v>
      </c>
      <c r="I2" s="155">
        <v>220.0</v>
      </c>
      <c r="J2" s="156">
        <v>259.0</v>
      </c>
    </row>
    <row r="3">
      <c r="A3" s="151" t="s">
        <v>150</v>
      </c>
      <c r="B3" s="157" t="s">
        <v>151</v>
      </c>
      <c r="C3" s="153">
        <v>4696.0</v>
      </c>
      <c r="D3" s="153">
        <v>2395.0</v>
      </c>
      <c r="E3" s="153">
        <v>159.0</v>
      </c>
      <c r="F3" s="154">
        <v>5572.0</v>
      </c>
      <c r="G3" s="154">
        <v>1477.0</v>
      </c>
      <c r="H3" s="154">
        <v>5613.0</v>
      </c>
      <c r="I3" s="158">
        <v>85.0</v>
      </c>
      <c r="J3" s="159">
        <v>190.0</v>
      </c>
    </row>
    <row r="4">
      <c r="A4" s="151" t="s">
        <v>152</v>
      </c>
      <c r="B4" s="152" t="s">
        <v>153</v>
      </c>
      <c r="C4" s="153">
        <v>5771.0</v>
      </c>
      <c r="D4" s="153">
        <v>5411.0</v>
      </c>
      <c r="E4" s="153">
        <v>418.0</v>
      </c>
      <c r="F4" s="154">
        <v>1817.0</v>
      </c>
      <c r="G4" s="154">
        <v>2341.0</v>
      </c>
      <c r="H4" s="154">
        <v>6144.0</v>
      </c>
      <c r="I4" s="155">
        <v>105.0</v>
      </c>
      <c r="J4" s="156">
        <v>95.0</v>
      </c>
    </row>
    <row r="5">
      <c r="A5" s="151" t="s">
        <v>154</v>
      </c>
      <c r="B5" s="157" t="s">
        <v>155</v>
      </c>
      <c r="C5" s="153">
        <v>4063.0</v>
      </c>
      <c r="D5" s="153">
        <v>2352.0</v>
      </c>
      <c r="E5" s="153">
        <v>3735.0</v>
      </c>
      <c r="F5" s="154">
        <v>1164.0</v>
      </c>
      <c r="G5" s="154">
        <v>4734.0</v>
      </c>
      <c r="H5" s="154">
        <v>2164.0</v>
      </c>
      <c r="I5" s="158">
        <v>143.0</v>
      </c>
      <c r="J5" s="159">
        <v>45.0</v>
      </c>
    </row>
    <row r="6">
      <c r="A6" s="151" t="s">
        <v>156</v>
      </c>
      <c r="B6" s="152" t="s">
        <v>157</v>
      </c>
      <c r="C6" s="153">
        <v>5888.0</v>
      </c>
      <c r="D6" s="153">
        <v>5312.0</v>
      </c>
      <c r="E6" s="153">
        <v>4717.0</v>
      </c>
      <c r="F6" s="154">
        <v>5866.0</v>
      </c>
      <c r="G6" s="154">
        <v>2657.0</v>
      </c>
      <c r="H6" s="154">
        <v>118.0</v>
      </c>
      <c r="I6" s="155">
        <v>111.0</v>
      </c>
      <c r="J6" s="156">
        <v>270.0</v>
      </c>
    </row>
    <row r="7">
      <c r="A7" s="151" t="s">
        <v>158</v>
      </c>
      <c r="B7" s="157" t="s">
        <v>159</v>
      </c>
      <c r="C7" s="153">
        <v>4364.0</v>
      </c>
      <c r="D7" s="153">
        <v>4603.0</v>
      </c>
      <c r="E7" s="153">
        <v>2468.0</v>
      </c>
      <c r="F7" s="154">
        <v>4298.0</v>
      </c>
      <c r="G7" s="154">
        <v>2613.0</v>
      </c>
      <c r="H7" s="154">
        <v>5960.0</v>
      </c>
      <c r="I7" s="158">
        <v>90.0</v>
      </c>
      <c r="J7" s="159">
        <v>140.0</v>
      </c>
    </row>
    <row r="8">
      <c r="A8" s="151" t="s">
        <v>160</v>
      </c>
      <c r="B8" s="152" t="s">
        <v>161</v>
      </c>
      <c r="C8" s="153">
        <v>3305.0</v>
      </c>
      <c r="D8" s="153">
        <v>5829.0</v>
      </c>
      <c r="E8" s="153">
        <v>4694.0</v>
      </c>
      <c r="F8" s="154">
        <v>4799.0</v>
      </c>
      <c r="G8" s="154">
        <v>5783.0</v>
      </c>
      <c r="H8" s="154">
        <v>4499.0</v>
      </c>
      <c r="I8" s="155">
        <v>105.0</v>
      </c>
      <c r="J8" s="156">
        <v>152.0</v>
      </c>
    </row>
    <row r="9">
      <c r="A9" s="151" t="s">
        <v>162</v>
      </c>
      <c r="B9" s="157" t="s">
        <v>163</v>
      </c>
      <c r="C9" s="153">
        <v>3043.0</v>
      </c>
      <c r="D9" s="153">
        <v>3847.0</v>
      </c>
      <c r="E9" s="153">
        <v>2164.0</v>
      </c>
      <c r="F9" s="154">
        <v>192.0</v>
      </c>
      <c r="G9" s="154">
        <v>1164.0</v>
      </c>
      <c r="H9" s="154">
        <v>5550.0</v>
      </c>
      <c r="I9" s="158">
        <v>190.0</v>
      </c>
      <c r="J9" s="159">
        <v>85.0</v>
      </c>
    </row>
    <row r="10">
      <c r="A10" s="151" t="s">
        <v>164</v>
      </c>
      <c r="B10" s="152" t="s">
        <v>165</v>
      </c>
      <c r="C10" s="153">
        <v>2657.0</v>
      </c>
      <c r="D10" s="153">
        <v>4298.0</v>
      </c>
      <c r="E10" s="153">
        <v>5613.0</v>
      </c>
      <c r="F10" s="154">
        <v>418.0</v>
      </c>
      <c r="G10" s="154">
        <v>4717.0</v>
      </c>
      <c r="H10" s="154">
        <v>2352.0</v>
      </c>
      <c r="I10" s="155">
        <v>50.0</v>
      </c>
      <c r="J10" s="156">
        <v>105.0</v>
      </c>
    </row>
    <row r="11">
      <c r="A11" s="151" t="s">
        <v>166</v>
      </c>
      <c r="B11" s="157" t="s">
        <v>167</v>
      </c>
      <c r="C11" s="153">
        <v>3735.0</v>
      </c>
      <c r="D11" s="153">
        <v>935.0</v>
      </c>
      <c r="E11" s="153">
        <v>4734.0</v>
      </c>
      <c r="F11" s="154">
        <v>5888.0</v>
      </c>
      <c r="G11" s="154">
        <v>4603.0</v>
      </c>
      <c r="H11" s="154">
        <v>6144.0</v>
      </c>
      <c r="I11" s="158">
        <v>55.0</v>
      </c>
      <c r="J11" s="159">
        <v>145.0</v>
      </c>
    </row>
    <row r="12">
      <c r="A12" s="151" t="s">
        <v>168</v>
      </c>
      <c r="B12" s="152" t="s">
        <v>169</v>
      </c>
      <c r="C12" s="153">
        <v>3847.0</v>
      </c>
      <c r="D12" s="153">
        <v>159.0</v>
      </c>
      <c r="E12" s="153">
        <v>5550.0</v>
      </c>
      <c r="F12" s="154">
        <v>5771.0</v>
      </c>
      <c r="G12" s="154">
        <v>624.0</v>
      </c>
      <c r="H12" s="154">
        <v>4694.0</v>
      </c>
      <c r="I12" s="155">
        <v>140.0</v>
      </c>
      <c r="J12" s="156">
        <v>115.0</v>
      </c>
    </row>
    <row r="13">
      <c r="A13" s="151" t="s">
        <v>170</v>
      </c>
      <c r="B13" s="157" t="s">
        <v>171</v>
      </c>
      <c r="C13" s="153">
        <v>5411.0</v>
      </c>
      <c r="D13" s="153">
        <v>3305.0</v>
      </c>
      <c r="E13" s="153">
        <v>5783.0</v>
      </c>
      <c r="F13" s="154">
        <v>4063.0</v>
      </c>
      <c r="G13" s="154">
        <v>2468.0</v>
      </c>
      <c r="H13" s="154">
        <v>3366.0</v>
      </c>
      <c r="I13" s="158">
        <v>80.0</v>
      </c>
      <c r="J13" s="159">
        <v>278.0</v>
      </c>
    </row>
    <row r="14">
      <c r="A14" s="151" t="s">
        <v>172</v>
      </c>
      <c r="B14" s="152" t="s">
        <v>173</v>
      </c>
      <c r="C14" s="153">
        <v>5866.0</v>
      </c>
      <c r="D14" s="153">
        <v>6430.0</v>
      </c>
      <c r="E14" s="153">
        <v>1817.0</v>
      </c>
      <c r="F14" s="154">
        <v>5829.0</v>
      </c>
      <c r="G14" s="154">
        <v>4696.0</v>
      </c>
      <c r="H14" s="154">
        <v>5960.0</v>
      </c>
      <c r="I14" s="155">
        <v>110.0</v>
      </c>
      <c r="J14" s="156">
        <v>155.0</v>
      </c>
    </row>
    <row r="15">
      <c r="A15" s="151" t="s">
        <v>174</v>
      </c>
      <c r="B15" s="157" t="s">
        <v>175</v>
      </c>
      <c r="C15" s="153">
        <v>5312.0</v>
      </c>
      <c r="D15" s="153">
        <v>2341.0</v>
      </c>
      <c r="E15" s="153">
        <v>3043.0</v>
      </c>
      <c r="F15" s="154">
        <v>4499.0</v>
      </c>
      <c r="G15" s="154">
        <v>2395.0</v>
      </c>
      <c r="H15" s="154">
        <v>4364.0</v>
      </c>
      <c r="I15" s="158">
        <v>252.0</v>
      </c>
      <c r="J15" s="159">
        <v>100.0</v>
      </c>
    </row>
    <row r="16">
      <c r="A16" s="151" t="s">
        <v>176</v>
      </c>
      <c r="B16" s="152" t="s">
        <v>177</v>
      </c>
      <c r="C16" s="153">
        <v>118.0</v>
      </c>
      <c r="D16" s="153">
        <v>5572.0</v>
      </c>
      <c r="E16" s="153">
        <v>2613.0</v>
      </c>
      <c r="F16" s="154">
        <v>1477.0</v>
      </c>
      <c r="G16" s="154">
        <v>2481.0</v>
      </c>
      <c r="H16" s="154">
        <v>4799.0</v>
      </c>
      <c r="I16" s="155">
        <v>235.0</v>
      </c>
      <c r="J16" s="156">
        <v>214.0</v>
      </c>
    </row>
    <row r="17">
      <c r="A17" s="151" t="s">
        <v>178</v>
      </c>
      <c r="B17" s="157" t="s">
        <v>179</v>
      </c>
      <c r="C17" s="153">
        <v>4694.0</v>
      </c>
      <c r="D17" s="153">
        <v>4298.0</v>
      </c>
      <c r="E17" s="153">
        <v>2468.0</v>
      </c>
      <c r="F17" s="154">
        <v>5550.0</v>
      </c>
      <c r="G17" s="154">
        <v>2164.0</v>
      </c>
      <c r="H17" s="154">
        <v>5829.0</v>
      </c>
      <c r="I17" s="158">
        <v>180.0</v>
      </c>
      <c r="J17" s="159">
        <v>200.0</v>
      </c>
    </row>
    <row r="18">
      <c r="A18" s="151" t="s">
        <v>180</v>
      </c>
      <c r="B18" s="152" t="s">
        <v>181</v>
      </c>
      <c r="C18" s="153">
        <v>3847.0</v>
      </c>
      <c r="D18" s="153">
        <v>2395.0</v>
      </c>
      <c r="E18" s="153">
        <v>4717.0</v>
      </c>
      <c r="F18" s="154">
        <v>5888.0</v>
      </c>
      <c r="G18" s="154">
        <v>2352.0</v>
      </c>
      <c r="H18" s="154">
        <v>5960.0</v>
      </c>
      <c r="I18" s="155">
        <v>190.0</v>
      </c>
      <c r="J18" s="156">
        <v>190.0</v>
      </c>
    </row>
    <row r="19">
      <c r="A19" s="151" t="s">
        <v>182</v>
      </c>
      <c r="B19" s="157" t="s">
        <v>183</v>
      </c>
      <c r="C19" s="153">
        <v>6144.0</v>
      </c>
      <c r="D19" s="153">
        <v>1164.0</v>
      </c>
      <c r="E19" s="153">
        <v>2481.0</v>
      </c>
      <c r="F19" s="154">
        <v>5312.0</v>
      </c>
      <c r="G19" s="154">
        <v>1817.0</v>
      </c>
      <c r="H19" s="154">
        <v>4603.0</v>
      </c>
      <c r="I19" s="158">
        <v>237.0</v>
      </c>
      <c r="J19" s="159">
        <v>96.0</v>
      </c>
    </row>
    <row r="20">
      <c r="A20" s="151" t="s">
        <v>184</v>
      </c>
      <c r="B20" s="152" t="s">
        <v>185</v>
      </c>
      <c r="C20" s="153">
        <v>4364.0</v>
      </c>
      <c r="D20" s="153">
        <v>4063.0</v>
      </c>
      <c r="E20" s="153">
        <v>118.0</v>
      </c>
      <c r="F20" s="154">
        <v>3366.0</v>
      </c>
      <c r="G20" s="154">
        <v>159.0</v>
      </c>
      <c r="H20" s="154">
        <v>624.0</v>
      </c>
      <c r="I20" s="155">
        <v>178.0</v>
      </c>
      <c r="J20" s="156">
        <v>355.0</v>
      </c>
    </row>
    <row r="21">
      <c r="A21" s="151" t="s">
        <v>186</v>
      </c>
      <c r="B21" s="157" t="s">
        <v>187</v>
      </c>
      <c r="C21" s="153">
        <v>2613.0</v>
      </c>
      <c r="D21" s="153">
        <v>935.0</v>
      </c>
      <c r="E21" s="153">
        <v>5866.0</v>
      </c>
      <c r="F21" s="154">
        <v>3735.0</v>
      </c>
      <c r="G21" s="154">
        <v>3043.0</v>
      </c>
      <c r="H21" s="154">
        <v>5783.0</v>
      </c>
      <c r="I21" s="158">
        <v>155.0</v>
      </c>
      <c r="J21" s="159">
        <v>85.0</v>
      </c>
    </row>
    <row r="22">
      <c r="A22" s="151" t="s">
        <v>188</v>
      </c>
      <c r="B22" s="152" t="s">
        <v>189</v>
      </c>
      <c r="C22" s="153">
        <v>4799.0</v>
      </c>
      <c r="D22" s="153">
        <v>418.0</v>
      </c>
      <c r="E22" s="153">
        <v>6430.0</v>
      </c>
      <c r="F22" s="154">
        <v>1477.0</v>
      </c>
      <c r="G22" s="154">
        <v>4499.0</v>
      </c>
      <c r="H22" s="154">
        <v>192.0</v>
      </c>
      <c r="I22" s="155">
        <v>145.0</v>
      </c>
      <c r="J22" s="156">
        <v>463.0</v>
      </c>
    </row>
    <row r="23">
      <c r="A23" s="151" t="s">
        <v>190</v>
      </c>
      <c r="B23" s="157" t="s">
        <v>191</v>
      </c>
      <c r="C23" s="153">
        <v>5572.0</v>
      </c>
      <c r="D23" s="153">
        <v>5771.0</v>
      </c>
      <c r="E23" s="153">
        <v>3305.0</v>
      </c>
      <c r="F23" s="154">
        <v>5411.0</v>
      </c>
      <c r="G23" s="154">
        <v>5613.0</v>
      </c>
      <c r="H23" s="154">
        <v>4734.0</v>
      </c>
      <c r="I23" s="158">
        <v>90.0</v>
      </c>
      <c r="J23" s="159">
        <v>125.0</v>
      </c>
    </row>
    <row r="24">
      <c r="A24" s="151" t="s">
        <v>192</v>
      </c>
      <c r="B24" s="152" t="s">
        <v>193</v>
      </c>
      <c r="C24" s="153">
        <v>2657.0</v>
      </c>
      <c r="D24" s="153">
        <v>4696.0</v>
      </c>
      <c r="E24" s="153">
        <v>624.0</v>
      </c>
      <c r="F24" s="154">
        <v>2341.0</v>
      </c>
      <c r="G24" s="154">
        <v>5783.0</v>
      </c>
      <c r="H24" s="154">
        <v>4298.0</v>
      </c>
      <c r="I24" s="155">
        <v>252.0</v>
      </c>
      <c r="J24" s="156">
        <v>90.0</v>
      </c>
    </row>
    <row r="25">
      <c r="A25" s="151" t="s">
        <v>194</v>
      </c>
      <c r="B25" s="157" t="s">
        <v>195</v>
      </c>
      <c r="C25" s="153">
        <v>6430.0</v>
      </c>
      <c r="D25" s="153">
        <v>4694.0</v>
      </c>
      <c r="E25" s="153">
        <v>3847.0</v>
      </c>
      <c r="F25" s="154">
        <v>4717.0</v>
      </c>
      <c r="G25" s="154">
        <v>2468.0</v>
      </c>
      <c r="H25" s="154">
        <v>1817.0</v>
      </c>
      <c r="I25" s="158">
        <v>105.0</v>
      </c>
      <c r="J25" s="159">
        <v>305.0</v>
      </c>
    </row>
    <row r="26">
      <c r="A26" s="151" t="s">
        <v>196</v>
      </c>
      <c r="B26" s="152" t="s">
        <v>197</v>
      </c>
      <c r="C26" s="153">
        <v>2481.0</v>
      </c>
      <c r="D26" s="153">
        <v>5613.0</v>
      </c>
      <c r="E26" s="153">
        <v>5771.0</v>
      </c>
      <c r="F26" s="154">
        <v>2164.0</v>
      </c>
      <c r="G26" s="154">
        <v>4603.0</v>
      </c>
      <c r="H26" s="154">
        <v>4799.0</v>
      </c>
      <c r="I26" s="155">
        <v>226.0</v>
      </c>
      <c r="J26" s="156">
        <v>150.0</v>
      </c>
    </row>
    <row r="27">
      <c r="A27" s="151" t="s">
        <v>198</v>
      </c>
      <c r="B27" s="157" t="s">
        <v>199</v>
      </c>
      <c r="C27" s="153">
        <v>5550.0</v>
      </c>
      <c r="D27" s="153">
        <v>6144.0</v>
      </c>
      <c r="E27" s="153">
        <v>5572.0</v>
      </c>
      <c r="F27" s="154">
        <v>2657.0</v>
      </c>
      <c r="G27" s="154">
        <v>4364.0</v>
      </c>
      <c r="H27" s="154">
        <v>3305.0</v>
      </c>
      <c r="I27" s="158">
        <v>215.0</v>
      </c>
      <c r="J27" s="159">
        <v>120.0</v>
      </c>
    </row>
    <row r="28">
      <c r="A28" s="151" t="s">
        <v>200</v>
      </c>
      <c r="B28" s="152" t="s">
        <v>201</v>
      </c>
      <c r="C28" s="153">
        <v>159.0</v>
      </c>
      <c r="D28" s="153">
        <v>192.0</v>
      </c>
      <c r="E28" s="153">
        <v>935.0</v>
      </c>
      <c r="F28" s="154">
        <v>5312.0</v>
      </c>
      <c r="G28" s="154">
        <v>5866.0</v>
      </c>
      <c r="H28" s="154">
        <v>2395.0</v>
      </c>
      <c r="I28" s="155">
        <v>255.0</v>
      </c>
      <c r="J28" s="156">
        <v>116.0</v>
      </c>
    </row>
    <row r="29">
      <c r="A29" s="151" t="s">
        <v>202</v>
      </c>
      <c r="B29" s="157" t="s">
        <v>203</v>
      </c>
      <c r="C29" s="153">
        <v>5829.0</v>
      </c>
      <c r="D29" s="153">
        <v>1477.0</v>
      </c>
      <c r="E29" s="153">
        <v>2352.0</v>
      </c>
      <c r="F29" s="154">
        <v>5411.0</v>
      </c>
      <c r="G29" s="154">
        <v>4063.0</v>
      </c>
      <c r="H29" s="154">
        <v>3043.0</v>
      </c>
      <c r="I29" s="158">
        <v>175.0</v>
      </c>
      <c r="J29" s="159">
        <v>145.0</v>
      </c>
    </row>
    <row r="30">
      <c r="A30" s="151" t="s">
        <v>204</v>
      </c>
      <c r="B30" s="152" t="s">
        <v>205</v>
      </c>
      <c r="C30" s="153">
        <v>418.0</v>
      </c>
      <c r="D30" s="153">
        <v>3366.0</v>
      </c>
      <c r="E30" s="153">
        <v>2341.0</v>
      </c>
      <c r="F30" s="154">
        <v>2613.0</v>
      </c>
      <c r="G30" s="154">
        <v>5888.0</v>
      </c>
      <c r="H30" s="154">
        <v>3735.0</v>
      </c>
      <c r="I30" s="155">
        <v>175.0</v>
      </c>
      <c r="J30" s="156">
        <v>135.0</v>
      </c>
    </row>
    <row r="31">
      <c r="A31" s="151" t="s">
        <v>206</v>
      </c>
      <c r="B31" s="157" t="s">
        <v>207</v>
      </c>
      <c r="C31" s="153">
        <v>1164.0</v>
      </c>
      <c r="D31" s="153">
        <v>5960.0</v>
      </c>
      <c r="E31" s="153">
        <v>4499.0</v>
      </c>
      <c r="F31" s="154">
        <v>4734.0</v>
      </c>
      <c r="G31" s="154">
        <v>118.0</v>
      </c>
      <c r="H31" s="154">
        <v>4696.0</v>
      </c>
      <c r="I31" s="158">
        <v>106.0</v>
      </c>
      <c r="J31" s="159">
        <v>230.0</v>
      </c>
    </row>
    <row r="32">
      <c r="A32" s="151" t="s">
        <v>208</v>
      </c>
      <c r="B32" s="152" t="s">
        <v>209</v>
      </c>
      <c r="C32" s="153">
        <v>2468.0</v>
      </c>
      <c r="D32" s="153">
        <v>5829.0</v>
      </c>
      <c r="E32" s="153">
        <v>3043.0</v>
      </c>
      <c r="F32" s="154">
        <v>2657.0</v>
      </c>
      <c r="G32" s="154">
        <v>2164.0</v>
      </c>
      <c r="H32" s="154">
        <v>935.0</v>
      </c>
      <c r="I32" s="155">
        <v>140.0</v>
      </c>
      <c r="J32" s="156">
        <v>160.0</v>
      </c>
    </row>
    <row r="33">
      <c r="A33" s="151" t="s">
        <v>210</v>
      </c>
      <c r="B33" s="157" t="s">
        <v>211</v>
      </c>
      <c r="C33" s="153">
        <v>2352.0</v>
      </c>
      <c r="D33" s="153">
        <v>5866.0</v>
      </c>
      <c r="E33" s="153">
        <v>4603.0</v>
      </c>
      <c r="F33" s="154">
        <v>4694.0</v>
      </c>
      <c r="G33" s="154">
        <v>159.0</v>
      </c>
      <c r="H33" s="154">
        <v>5572.0</v>
      </c>
      <c r="I33" s="158">
        <v>190.0</v>
      </c>
      <c r="J33" s="159">
        <v>105.0</v>
      </c>
    </row>
    <row r="34">
      <c r="A34" s="151" t="s">
        <v>212</v>
      </c>
      <c r="B34" s="152" t="s">
        <v>213</v>
      </c>
      <c r="C34" s="153">
        <v>2395.0</v>
      </c>
      <c r="D34" s="153">
        <v>418.0</v>
      </c>
      <c r="E34" s="153">
        <v>1817.0</v>
      </c>
      <c r="F34" s="154">
        <v>4364.0</v>
      </c>
      <c r="G34" s="154">
        <v>5550.0</v>
      </c>
      <c r="H34" s="154">
        <v>4734.0</v>
      </c>
      <c r="I34" s="155">
        <v>195.0</v>
      </c>
      <c r="J34" s="156">
        <v>50.0</v>
      </c>
    </row>
    <row r="35">
      <c r="A35" s="151" t="s">
        <v>214</v>
      </c>
      <c r="B35" s="157" t="s">
        <v>215</v>
      </c>
      <c r="C35" s="153">
        <v>192.0</v>
      </c>
      <c r="D35" s="153">
        <v>4717.0</v>
      </c>
      <c r="E35" s="153">
        <v>4696.0</v>
      </c>
      <c r="F35" s="154">
        <v>2613.0</v>
      </c>
      <c r="G35" s="154">
        <v>4063.0</v>
      </c>
      <c r="H35" s="154">
        <v>3305.0</v>
      </c>
      <c r="I35" s="158">
        <v>155.0</v>
      </c>
      <c r="J35" s="159">
        <v>120.0</v>
      </c>
    </row>
    <row r="36">
      <c r="A36" s="151" t="s">
        <v>216</v>
      </c>
      <c r="B36" s="152" t="s">
        <v>217</v>
      </c>
      <c r="C36" s="153">
        <v>1477.0</v>
      </c>
      <c r="D36" s="153">
        <v>5411.0</v>
      </c>
      <c r="E36" s="153">
        <v>6430.0</v>
      </c>
      <c r="F36" s="154">
        <v>6144.0</v>
      </c>
      <c r="G36" s="154">
        <v>624.0</v>
      </c>
      <c r="H36" s="154">
        <v>5312.0</v>
      </c>
      <c r="I36" s="155">
        <v>170.0</v>
      </c>
      <c r="J36" s="156">
        <v>136.0</v>
      </c>
    </row>
    <row r="37">
      <c r="A37" s="151" t="s">
        <v>218</v>
      </c>
      <c r="B37" s="157" t="s">
        <v>219</v>
      </c>
      <c r="C37" s="153">
        <v>2481.0</v>
      </c>
      <c r="D37" s="153">
        <v>3735.0</v>
      </c>
      <c r="E37" s="153">
        <v>4499.0</v>
      </c>
      <c r="F37" s="154">
        <v>118.0</v>
      </c>
      <c r="G37" s="154">
        <v>5783.0</v>
      </c>
      <c r="H37" s="154">
        <v>3847.0</v>
      </c>
      <c r="I37" s="158">
        <v>158.0</v>
      </c>
      <c r="J37" s="159">
        <v>220.0</v>
      </c>
    </row>
    <row r="38">
      <c r="A38" s="151" t="s">
        <v>220</v>
      </c>
      <c r="B38" s="152" t="s">
        <v>221</v>
      </c>
      <c r="C38" s="153">
        <v>5613.0</v>
      </c>
      <c r="D38" s="153">
        <v>2341.0</v>
      </c>
      <c r="E38" s="153">
        <v>5960.0</v>
      </c>
      <c r="F38" s="154">
        <v>4799.0</v>
      </c>
      <c r="G38" s="154">
        <v>3366.0</v>
      </c>
      <c r="H38" s="154">
        <v>1164.0</v>
      </c>
      <c r="I38" s="155">
        <v>170.0</v>
      </c>
      <c r="J38" s="156">
        <v>225.0</v>
      </c>
    </row>
    <row r="39">
      <c r="A39" s="151" t="s">
        <v>222</v>
      </c>
      <c r="B39" s="157" t="s">
        <v>223</v>
      </c>
      <c r="C39" s="153">
        <v>4298.0</v>
      </c>
      <c r="D39" s="153">
        <v>5888.0</v>
      </c>
      <c r="E39" s="153">
        <v>5572.0</v>
      </c>
      <c r="F39" s="154">
        <v>5771.0</v>
      </c>
      <c r="G39" s="154">
        <v>6430.0</v>
      </c>
      <c r="H39" s="154">
        <v>2613.0</v>
      </c>
      <c r="I39" s="158">
        <v>180.0</v>
      </c>
      <c r="J39" s="159">
        <v>95.0</v>
      </c>
    </row>
    <row r="40">
      <c r="A40" s="151" t="s">
        <v>224</v>
      </c>
      <c r="B40" s="152" t="s">
        <v>225</v>
      </c>
      <c r="C40" s="153">
        <v>2352.0</v>
      </c>
      <c r="D40" s="153">
        <v>192.0</v>
      </c>
      <c r="E40" s="153">
        <v>4734.0</v>
      </c>
      <c r="F40" s="154">
        <v>6144.0</v>
      </c>
      <c r="G40" s="154">
        <v>2468.0</v>
      </c>
      <c r="H40" s="154">
        <v>5783.0</v>
      </c>
      <c r="I40" s="155">
        <v>140.0</v>
      </c>
      <c r="J40" s="156">
        <v>145.0</v>
      </c>
    </row>
    <row r="41">
      <c r="A41" s="151" t="s">
        <v>226</v>
      </c>
      <c r="B41" s="157" t="s">
        <v>227</v>
      </c>
      <c r="C41" s="153">
        <v>4063.0</v>
      </c>
      <c r="D41" s="153">
        <v>2657.0</v>
      </c>
      <c r="E41" s="153">
        <v>1477.0</v>
      </c>
      <c r="F41" s="154">
        <v>3735.0</v>
      </c>
      <c r="G41" s="154">
        <v>5960.0</v>
      </c>
      <c r="H41" s="154">
        <v>5550.0</v>
      </c>
      <c r="I41" s="158">
        <v>225.0</v>
      </c>
      <c r="J41" s="159">
        <v>100.0</v>
      </c>
    </row>
    <row r="42">
      <c r="A42" s="151" t="s">
        <v>228</v>
      </c>
      <c r="B42" s="152" t="s">
        <v>229</v>
      </c>
      <c r="C42" s="153">
        <v>5888.0</v>
      </c>
      <c r="D42" s="153">
        <v>5829.0</v>
      </c>
      <c r="E42" s="153">
        <v>2341.0</v>
      </c>
      <c r="F42" s="154">
        <v>159.0</v>
      </c>
      <c r="G42" s="154">
        <v>2481.0</v>
      </c>
      <c r="H42" s="154">
        <v>5312.0</v>
      </c>
      <c r="I42" s="155">
        <v>215.0</v>
      </c>
      <c r="J42" s="156">
        <v>234.0</v>
      </c>
    </row>
    <row r="43">
      <c r="A43" s="151" t="s">
        <v>230</v>
      </c>
      <c r="B43" s="157" t="s">
        <v>231</v>
      </c>
      <c r="C43" s="153">
        <v>4499.0</v>
      </c>
      <c r="D43" s="153">
        <v>624.0</v>
      </c>
      <c r="E43" s="153">
        <v>4717.0</v>
      </c>
      <c r="F43" s="154">
        <v>1164.0</v>
      </c>
      <c r="G43" s="154">
        <v>2395.0</v>
      </c>
      <c r="H43" s="154">
        <v>4603.0</v>
      </c>
      <c r="I43" s="158">
        <v>199.0</v>
      </c>
      <c r="J43" s="159">
        <v>171.0</v>
      </c>
    </row>
    <row r="44">
      <c r="A44" s="151" t="s">
        <v>232</v>
      </c>
      <c r="B44" s="152" t="s">
        <v>233</v>
      </c>
      <c r="C44" s="153">
        <v>5771.0</v>
      </c>
      <c r="D44" s="153">
        <v>4364.0</v>
      </c>
      <c r="E44" s="153">
        <v>4799.0</v>
      </c>
      <c r="F44" s="154">
        <v>4696.0</v>
      </c>
      <c r="G44" s="154">
        <v>5866.0</v>
      </c>
      <c r="H44" s="154">
        <v>3847.0</v>
      </c>
      <c r="I44" s="155">
        <v>195.0</v>
      </c>
      <c r="J44" s="156">
        <v>250.0</v>
      </c>
    </row>
    <row r="45">
      <c r="A45" s="151" t="s">
        <v>234</v>
      </c>
      <c r="B45" s="157" t="s">
        <v>235</v>
      </c>
      <c r="C45" s="153">
        <v>3366.0</v>
      </c>
      <c r="D45" s="153">
        <v>3305.0</v>
      </c>
      <c r="E45" s="153">
        <v>118.0</v>
      </c>
      <c r="F45" s="154">
        <v>4694.0</v>
      </c>
      <c r="G45" s="154">
        <v>2164.0</v>
      </c>
      <c r="H45" s="154">
        <v>418.0</v>
      </c>
      <c r="I45" s="158">
        <v>199.0</v>
      </c>
      <c r="J45" s="159">
        <v>145.0</v>
      </c>
    </row>
    <row r="46">
      <c r="A46" s="151" t="s">
        <v>236</v>
      </c>
      <c r="B46" s="152" t="s">
        <v>237</v>
      </c>
      <c r="C46" s="153">
        <v>4298.0</v>
      </c>
      <c r="D46" s="153">
        <v>1817.0</v>
      </c>
      <c r="E46" s="153">
        <v>5411.0</v>
      </c>
      <c r="F46" s="154">
        <v>935.0</v>
      </c>
      <c r="G46" s="154">
        <v>5613.0</v>
      </c>
      <c r="H46" s="154">
        <v>3043.0</v>
      </c>
      <c r="I46" s="155">
        <v>160.0</v>
      </c>
      <c r="J46" s="156">
        <v>95.0</v>
      </c>
    </row>
    <row r="47">
      <c r="A47" s="151" t="s">
        <v>238</v>
      </c>
      <c r="B47" s="157" t="s">
        <v>239</v>
      </c>
      <c r="C47" s="153">
        <v>4603.0</v>
      </c>
      <c r="D47" s="153">
        <v>5550.0</v>
      </c>
      <c r="E47" s="153">
        <v>2657.0</v>
      </c>
      <c r="F47" s="154">
        <v>4696.0</v>
      </c>
      <c r="G47" s="154">
        <v>4499.0</v>
      </c>
      <c r="H47" s="154">
        <v>5888.0</v>
      </c>
      <c r="I47" s="158">
        <v>140.0</v>
      </c>
      <c r="J47" s="159">
        <v>75.0</v>
      </c>
    </row>
    <row r="48">
      <c r="A48" s="151" t="s">
        <v>240</v>
      </c>
      <c r="B48" s="152" t="s">
        <v>241</v>
      </c>
      <c r="C48" s="153">
        <v>118.0</v>
      </c>
      <c r="D48" s="153">
        <v>2481.0</v>
      </c>
      <c r="E48" s="153">
        <v>4717.0</v>
      </c>
      <c r="F48" s="154">
        <v>2352.0</v>
      </c>
      <c r="G48" s="154">
        <v>5771.0</v>
      </c>
      <c r="H48" s="154">
        <v>2341.0</v>
      </c>
      <c r="I48" s="155">
        <v>201.0</v>
      </c>
      <c r="J48" s="156">
        <v>106.0</v>
      </c>
    </row>
    <row r="49">
      <c r="A49" s="151" t="s">
        <v>242</v>
      </c>
      <c r="B49" s="157" t="s">
        <v>243</v>
      </c>
      <c r="C49" s="153">
        <v>935.0</v>
      </c>
      <c r="D49" s="153">
        <v>3847.0</v>
      </c>
      <c r="E49" s="153">
        <v>5829.0</v>
      </c>
      <c r="F49" s="154">
        <v>1477.0</v>
      </c>
      <c r="G49" s="154">
        <v>3305.0</v>
      </c>
      <c r="H49" s="154">
        <v>624.0</v>
      </c>
      <c r="I49" s="158">
        <v>90.0</v>
      </c>
      <c r="J49" s="159">
        <v>140.0</v>
      </c>
    </row>
    <row r="50">
      <c r="A50" s="151" t="s">
        <v>244</v>
      </c>
      <c r="B50" s="152" t="s">
        <v>245</v>
      </c>
      <c r="C50" s="153">
        <v>5866.0</v>
      </c>
      <c r="D50" s="153">
        <v>5613.0</v>
      </c>
      <c r="E50" s="153">
        <v>4364.0</v>
      </c>
      <c r="F50" s="154">
        <v>6430.0</v>
      </c>
      <c r="G50" s="154">
        <v>6144.0</v>
      </c>
      <c r="H50" s="154">
        <v>4063.0</v>
      </c>
      <c r="I50" s="155">
        <v>155.0</v>
      </c>
      <c r="J50" s="156">
        <v>95.0</v>
      </c>
    </row>
    <row r="51">
      <c r="A51" s="151" t="s">
        <v>246</v>
      </c>
      <c r="B51" s="157" t="s">
        <v>247</v>
      </c>
      <c r="C51" s="153">
        <v>1817.0</v>
      </c>
      <c r="D51" s="153">
        <v>3366.0</v>
      </c>
      <c r="E51" s="153">
        <v>2164.0</v>
      </c>
      <c r="F51" s="154">
        <v>5783.0</v>
      </c>
      <c r="G51" s="154">
        <v>5312.0</v>
      </c>
      <c r="H51" s="154">
        <v>5572.0</v>
      </c>
      <c r="I51" s="158">
        <v>310.0</v>
      </c>
      <c r="J51" s="159">
        <v>55.0</v>
      </c>
    </row>
    <row r="52">
      <c r="A52" s="151" t="s">
        <v>248</v>
      </c>
      <c r="B52" s="152" t="s">
        <v>249</v>
      </c>
      <c r="C52" s="153">
        <v>4694.0</v>
      </c>
      <c r="D52" s="153">
        <v>2613.0</v>
      </c>
      <c r="E52" s="153">
        <v>2395.0</v>
      </c>
      <c r="F52" s="154">
        <v>1164.0</v>
      </c>
      <c r="G52" s="154">
        <v>3735.0</v>
      </c>
      <c r="H52" s="154">
        <v>5411.0</v>
      </c>
      <c r="I52" s="155">
        <v>100.0</v>
      </c>
      <c r="J52" s="156">
        <v>115.0</v>
      </c>
    </row>
    <row r="53">
      <c r="A53" s="151" t="s">
        <v>250</v>
      </c>
      <c r="B53" s="157" t="s">
        <v>251</v>
      </c>
      <c r="C53" s="153">
        <v>4734.0</v>
      </c>
      <c r="D53" s="153">
        <v>418.0</v>
      </c>
      <c r="E53" s="153">
        <v>2468.0</v>
      </c>
      <c r="F53" s="154">
        <v>3043.0</v>
      </c>
      <c r="G53" s="154">
        <v>4799.0</v>
      </c>
      <c r="H53" s="154">
        <v>159.0</v>
      </c>
      <c r="I53" s="158">
        <v>110.0</v>
      </c>
      <c r="J53" s="159">
        <v>90.0</v>
      </c>
    </row>
    <row r="54">
      <c r="A54" s="151" t="s">
        <v>252</v>
      </c>
      <c r="B54" s="152" t="s">
        <v>253</v>
      </c>
      <c r="C54" s="153">
        <v>935.0</v>
      </c>
      <c r="D54" s="153">
        <v>1477.0</v>
      </c>
      <c r="E54" s="153">
        <v>5960.0</v>
      </c>
      <c r="F54" s="154">
        <v>192.0</v>
      </c>
      <c r="G54" s="154">
        <v>4298.0</v>
      </c>
      <c r="H54" s="154">
        <v>5771.0</v>
      </c>
      <c r="I54" s="155">
        <v>220.0</v>
      </c>
      <c r="J54" s="156">
        <v>140.0</v>
      </c>
    </row>
    <row r="55">
      <c r="A55" s="151" t="s">
        <v>254</v>
      </c>
      <c r="B55" s="157" t="s">
        <v>255</v>
      </c>
      <c r="C55" s="153">
        <v>6430.0</v>
      </c>
      <c r="D55" s="153">
        <v>2481.0</v>
      </c>
      <c r="E55" s="153">
        <v>5783.0</v>
      </c>
      <c r="F55" s="154">
        <v>2395.0</v>
      </c>
      <c r="G55" s="154">
        <v>5550.0</v>
      </c>
      <c r="H55" s="154">
        <v>5411.0</v>
      </c>
      <c r="I55" s="158">
        <v>211.0</v>
      </c>
      <c r="J55" s="159">
        <v>170.0</v>
      </c>
    </row>
    <row r="56">
      <c r="A56" s="151" t="s">
        <v>256</v>
      </c>
      <c r="B56" s="152" t="s">
        <v>257</v>
      </c>
      <c r="C56" s="153">
        <v>4717.0</v>
      </c>
      <c r="D56" s="153">
        <v>6144.0</v>
      </c>
      <c r="E56" s="153">
        <v>4799.0</v>
      </c>
      <c r="F56" s="154">
        <v>4499.0</v>
      </c>
      <c r="G56" s="154">
        <v>3043.0</v>
      </c>
      <c r="H56" s="154">
        <v>3366.0</v>
      </c>
      <c r="I56" s="155">
        <v>90.0</v>
      </c>
      <c r="J56" s="156">
        <v>110.0</v>
      </c>
    </row>
    <row r="57">
      <c r="A57" s="151" t="s">
        <v>258</v>
      </c>
      <c r="B57" s="157" t="s">
        <v>259</v>
      </c>
      <c r="C57" s="153">
        <v>5866.0</v>
      </c>
      <c r="D57" s="153">
        <v>4734.0</v>
      </c>
      <c r="E57" s="153">
        <v>4298.0</v>
      </c>
      <c r="F57" s="154">
        <v>5829.0</v>
      </c>
      <c r="G57" s="154">
        <v>2613.0</v>
      </c>
      <c r="H57" s="154">
        <v>624.0</v>
      </c>
      <c r="I57" s="158">
        <v>5.0</v>
      </c>
      <c r="J57" s="159">
        <v>250.0</v>
      </c>
    </row>
    <row r="58">
      <c r="A58" s="151" t="s">
        <v>260</v>
      </c>
      <c r="B58" s="152" t="s">
        <v>261</v>
      </c>
      <c r="C58" s="153">
        <v>2164.0</v>
      </c>
      <c r="D58" s="153">
        <v>3305.0</v>
      </c>
      <c r="E58" s="153">
        <v>5888.0</v>
      </c>
      <c r="F58" s="154">
        <v>5960.0</v>
      </c>
      <c r="G58" s="154">
        <v>4694.0</v>
      </c>
      <c r="H58" s="154">
        <v>4364.0</v>
      </c>
      <c r="I58" s="155">
        <v>190.0</v>
      </c>
      <c r="J58" s="156">
        <v>55.0</v>
      </c>
    </row>
    <row r="59">
      <c r="A59" s="151" t="s">
        <v>262</v>
      </c>
      <c r="B59" s="157" t="s">
        <v>263</v>
      </c>
      <c r="C59" s="153">
        <v>4603.0</v>
      </c>
      <c r="D59" s="153">
        <v>159.0</v>
      </c>
      <c r="E59" s="153">
        <v>4063.0</v>
      </c>
      <c r="F59" s="154">
        <v>3847.0</v>
      </c>
      <c r="G59" s="154">
        <v>1817.0</v>
      </c>
      <c r="H59" s="154">
        <v>2657.0</v>
      </c>
      <c r="I59" s="158">
        <v>100.0</v>
      </c>
      <c r="J59" s="159">
        <v>165.0</v>
      </c>
    </row>
    <row r="60">
      <c r="A60" s="151" t="s">
        <v>264</v>
      </c>
      <c r="B60" s="152" t="s">
        <v>265</v>
      </c>
      <c r="C60" s="153">
        <v>5312.0</v>
      </c>
      <c r="D60" s="153">
        <v>418.0</v>
      </c>
      <c r="E60" s="153">
        <v>3735.0</v>
      </c>
      <c r="F60" s="154">
        <v>5572.0</v>
      </c>
      <c r="G60" s="154">
        <v>4696.0</v>
      </c>
      <c r="H60" s="154">
        <v>2352.0</v>
      </c>
      <c r="I60" s="155">
        <v>115.0</v>
      </c>
      <c r="J60" s="156">
        <v>315.0</v>
      </c>
    </row>
    <row r="61">
      <c r="A61" s="151" t="s">
        <v>266</v>
      </c>
      <c r="B61" s="157" t="s">
        <v>267</v>
      </c>
      <c r="C61" s="153">
        <v>1164.0</v>
      </c>
      <c r="D61" s="153">
        <v>118.0</v>
      </c>
      <c r="E61" s="153">
        <v>2341.0</v>
      </c>
      <c r="F61" s="154">
        <v>5613.0</v>
      </c>
      <c r="G61" s="154">
        <v>192.0</v>
      </c>
      <c r="H61" s="154">
        <v>2468.0</v>
      </c>
      <c r="I61" s="158">
        <v>242.0</v>
      </c>
      <c r="J61" s="159">
        <v>110.0</v>
      </c>
    </row>
    <row r="62">
      <c r="A62" s="151" t="s">
        <v>268</v>
      </c>
      <c r="B62" s="152" t="s">
        <v>269</v>
      </c>
      <c r="C62" s="153">
        <v>4298.0</v>
      </c>
      <c r="D62" s="153">
        <v>4499.0</v>
      </c>
      <c r="E62" s="153">
        <v>3847.0</v>
      </c>
      <c r="F62" s="154">
        <v>5866.0</v>
      </c>
      <c r="G62" s="154">
        <v>3366.0</v>
      </c>
      <c r="H62" s="154">
        <v>5411.0</v>
      </c>
      <c r="I62" s="155">
        <v>141.0</v>
      </c>
      <c r="J62" s="156">
        <v>210.0</v>
      </c>
    </row>
    <row r="63">
      <c r="A63" s="97" t="s">
        <v>270</v>
      </c>
      <c r="B63" s="157" t="s">
        <v>271</v>
      </c>
      <c r="C63" s="153">
        <v>5783.0</v>
      </c>
      <c r="D63" s="153">
        <v>4717.0</v>
      </c>
      <c r="E63" s="153">
        <v>5960.0</v>
      </c>
      <c r="F63" s="154">
        <v>159.0</v>
      </c>
      <c r="G63" s="154">
        <v>6144.0</v>
      </c>
      <c r="H63" s="154">
        <v>418.0</v>
      </c>
      <c r="I63" s="160"/>
      <c r="J63" s="161"/>
    </row>
    <row r="64">
      <c r="A64" s="96" t="s">
        <v>272</v>
      </c>
      <c r="B64" s="152" t="s">
        <v>273</v>
      </c>
      <c r="C64" s="153">
        <v>2613.0</v>
      </c>
      <c r="D64" s="153">
        <v>4734.0</v>
      </c>
      <c r="E64" s="153">
        <v>5312.0</v>
      </c>
      <c r="F64" s="154">
        <v>5550.0</v>
      </c>
      <c r="G64" s="154">
        <v>4694.0</v>
      </c>
      <c r="H64" s="154">
        <v>5613.0</v>
      </c>
      <c r="I64" s="162"/>
      <c r="J64" s="163"/>
    </row>
    <row r="65">
      <c r="A65" s="97" t="s">
        <v>274</v>
      </c>
      <c r="B65" s="157" t="s">
        <v>275</v>
      </c>
      <c r="C65" s="153">
        <v>2164.0</v>
      </c>
      <c r="D65" s="153">
        <v>2352.0</v>
      </c>
      <c r="E65" s="153">
        <v>624.0</v>
      </c>
      <c r="F65" s="154">
        <v>935.0</v>
      </c>
      <c r="G65" s="154">
        <v>4799.0</v>
      </c>
      <c r="H65" s="154">
        <v>4696.0</v>
      </c>
      <c r="I65" s="160"/>
      <c r="J65" s="161"/>
    </row>
    <row r="66">
      <c r="A66" s="96" t="s">
        <v>276</v>
      </c>
      <c r="B66" s="152" t="s">
        <v>277</v>
      </c>
      <c r="C66" s="153">
        <v>2468.0</v>
      </c>
      <c r="D66" s="153">
        <v>1477.0</v>
      </c>
      <c r="E66" s="153">
        <v>1164.0</v>
      </c>
      <c r="F66" s="154">
        <v>5771.0</v>
      </c>
      <c r="G66" s="154">
        <v>2657.0</v>
      </c>
      <c r="H66" s="154">
        <v>5888.0</v>
      </c>
      <c r="I66" s="162"/>
      <c r="J66" s="163"/>
    </row>
    <row r="67">
      <c r="A67" s="97" t="s">
        <v>278</v>
      </c>
      <c r="B67" s="157" t="s">
        <v>279</v>
      </c>
      <c r="C67" s="153">
        <v>2395.0</v>
      </c>
      <c r="D67" s="153">
        <v>3735.0</v>
      </c>
      <c r="E67" s="153">
        <v>192.0</v>
      </c>
      <c r="F67" s="154">
        <v>4364.0</v>
      </c>
      <c r="G67" s="154">
        <v>1817.0</v>
      </c>
      <c r="H67" s="154">
        <v>5829.0</v>
      </c>
      <c r="I67" s="160"/>
      <c r="J67" s="161"/>
    </row>
    <row r="68">
      <c r="A68" s="96" t="s">
        <v>280</v>
      </c>
      <c r="B68" s="152" t="s">
        <v>281</v>
      </c>
      <c r="C68" s="153">
        <v>3043.0</v>
      </c>
      <c r="D68" s="153">
        <v>118.0</v>
      </c>
      <c r="E68" s="153">
        <v>4603.0</v>
      </c>
      <c r="F68" s="154">
        <v>3305.0</v>
      </c>
      <c r="G68" s="154">
        <v>6430.0</v>
      </c>
      <c r="H68" s="154">
        <v>2341.0</v>
      </c>
      <c r="I68" s="162"/>
      <c r="J68" s="163"/>
    </row>
    <row r="69">
      <c r="A69" s="97" t="s">
        <v>282</v>
      </c>
      <c r="B69" s="157" t="s">
        <v>283</v>
      </c>
      <c r="C69" s="153">
        <v>2481.0</v>
      </c>
      <c r="D69" s="153">
        <v>5572.0</v>
      </c>
      <c r="E69" s="153">
        <v>418.0</v>
      </c>
      <c r="F69" s="154">
        <v>4063.0</v>
      </c>
      <c r="G69" s="154">
        <v>4734.0</v>
      </c>
      <c r="H69" s="154">
        <v>4717.0</v>
      </c>
      <c r="I69" s="160"/>
      <c r="J69" s="161"/>
    </row>
    <row r="70">
      <c r="A70" s="96" t="s">
        <v>284</v>
      </c>
      <c r="B70" s="152" t="s">
        <v>285</v>
      </c>
      <c r="C70" s="153">
        <v>4696.0</v>
      </c>
      <c r="D70" s="153">
        <v>5312.0</v>
      </c>
      <c r="E70" s="153">
        <v>4364.0</v>
      </c>
      <c r="F70" s="154">
        <v>3847.0</v>
      </c>
      <c r="G70" s="154">
        <v>5411.0</v>
      </c>
      <c r="H70" s="154">
        <v>2468.0</v>
      </c>
      <c r="I70" s="162"/>
      <c r="J70" s="163"/>
    </row>
    <row r="71">
      <c r="A71" s="97" t="s">
        <v>286</v>
      </c>
      <c r="B71" s="157" t="s">
        <v>287</v>
      </c>
      <c r="C71" s="153">
        <v>5550.0</v>
      </c>
      <c r="D71" s="153">
        <v>4799.0</v>
      </c>
      <c r="E71" s="153">
        <v>4298.0</v>
      </c>
      <c r="F71" s="154">
        <v>6144.0</v>
      </c>
      <c r="G71" s="154">
        <v>118.0</v>
      </c>
      <c r="H71" s="154">
        <v>3735.0</v>
      </c>
      <c r="I71" s="160"/>
      <c r="J71" s="161"/>
    </row>
    <row r="72">
      <c r="A72" s="96" t="s">
        <v>288</v>
      </c>
      <c r="B72" s="152" t="s">
        <v>289</v>
      </c>
      <c r="C72" s="153">
        <v>2341.0</v>
      </c>
      <c r="D72" s="153">
        <v>4499.0</v>
      </c>
      <c r="E72" s="153">
        <v>4694.0</v>
      </c>
      <c r="F72" s="154">
        <v>935.0</v>
      </c>
      <c r="G72" s="154">
        <v>4063.0</v>
      </c>
      <c r="H72" s="154">
        <v>5572.0</v>
      </c>
      <c r="I72" s="162"/>
      <c r="J72" s="163"/>
    </row>
    <row r="73">
      <c r="A73" s="97" t="s">
        <v>290</v>
      </c>
      <c r="B73" s="157" t="s">
        <v>291</v>
      </c>
      <c r="C73" s="153">
        <v>624.0</v>
      </c>
      <c r="D73" s="153">
        <v>5888.0</v>
      </c>
      <c r="E73" s="153">
        <v>5613.0</v>
      </c>
      <c r="F73" s="154">
        <v>192.0</v>
      </c>
      <c r="G73" s="154">
        <v>3043.0</v>
      </c>
      <c r="H73" s="154">
        <v>1817.0</v>
      </c>
      <c r="I73" s="160"/>
      <c r="J73" s="161"/>
    </row>
    <row r="74">
      <c r="A74" s="96" t="s">
        <v>292</v>
      </c>
      <c r="B74" s="152" t="s">
        <v>293</v>
      </c>
      <c r="C74" s="153">
        <v>159.0</v>
      </c>
      <c r="D74" s="153">
        <v>2657.0</v>
      </c>
      <c r="E74" s="153">
        <v>2613.0</v>
      </c>
      <c r="F74" s="154">
        <v>2395.0</v>
      </c>
      <c r="G74" s="154">
        <v>2164.0</v>
      </c>
      <c r="H74" s="154">
        <v>6430.0</v>
      </c>
      <c r="I74" s="162"/>
      <c r="J74" s="163"/>
    </row>
    <row r="75">
      <c r="A75" s="97" t="s">
        <v>294</v>
      </c>
      <c r="B75" s="157" t="s">
        <v>295</v>
      </c>
      <c r="C75" s="153">
        <v>5829.0</v>
      </c>
      <c r="D75" s="153">
        <v>5783.0</v>
      </c>
      <c r="E75" s="153">
        <v>3366.0</v>
      </c>
      <c r="F75" s="154">
        <v>4603.0</v>
      </c>
      <c r="G75" s="154">
        <v>5771.0</v>
      </c>
      <c r="H75" s="154">
        <v>1477.0</v>
      </c>
      <c r="I75" s="160"/>
      <c r="J75" s="161"/>
    </row>
    <row r="76">
      <c r="A76" s="96" t="s">
        <v>296</v>
      </c>
      <c r="B76" s="152" t="s">
        <v>297</v>
      </c>
      <c r="C76" s="153">
        <v>3305.0</v>
      </c>
      <c r="D76" s="153">
        <v>1164.0</v>
      </c>
      <c r="E76" s="153">
        <v>2352.0</v>
      </c>
      <c r="F76" s="154">
        <v>2481.0</v>
      </c>
      <c r="G76" s="154">
        <v>5960.0</v>
      </c>
      <c r="H76" s="154">
        <v>5866.0</v>
      </c>
      <c r="I76" s="162"/>
      <c r="J76" s="163"/>
    </row>
    <row r="77">
      <c r="A77" s="97" t="s">
        <v>298</v>
      </c>
      <c r="B77" s="157" t="s">
        <v>299</v>
      </c>
      <c r="C77" s="153">
        <v>4063.0</v>
      </c>
      <c r="D77" s="153">
        <v>4799.0</v>
      </c>
      <c r="E77" s="153">
        <v>2395.0</v>
      </c>
      <c r="F77" s="154">
        <v>4298.0</v>
      </c>
      <c r="G77" s="154">
        <v>5312.0</v>
      </c>
      <c r="H77" s="154">
        <v>118.0</v>
      </c>
      <c r="I77" s="160"/>
      <c r="J77" s="161"/>
    </row>
    <row r="78">
      <c r="A78" s="96" t="s">
        <v>300</v>
      </c>
      <c r="B78" s="152" t="s">
        <v>301</v>
      </c>
      <c r="C78" s="153">
        <v>5783.0</v>
      </c>
      <c r="D78" s="153">
        <v>4364.0</v>
      </c>
      <c r="E78" s="153">
        <v>5888.0</v>
      </c>
      <c r="F78" s="154">
        <v>5613.0</v>
      </c>
      <c r="G78" s="154">
        <v>5829.0</v>
      </c>
      <c r="H78" s="154">
        <v>4717.0</v>
      </c>
      <c r="I78" s="162"/>
      <c r="J78" s="163"/>
    </row>
    <row r="79">
      <c r="A79" s="97" t="s">
        <v>302</v>
      </c>
      <c r="B79" s="157" t="s">
        <v>303</v>
      </c>
      <c r="C79" s="153">
        <v>2341.0</v>
      </c>
      <c r="D79" s="153">
        <v>2164.0</v>
      </c>
      <c r="E79" s="153">
        <v>5866.0</v>
      </c>
      <c r="F79" s="154">
        <v>4734.0</v>
      </c>
      <c r="G79" s="154">
        <v>3847.0</v>
      </c>
      <c r="H79" s="154">
        <v>1477.0</v>
      </c>
      <c r="I79" s="160"/>
      <c r="J79" s="161"/>
    </row>
    <row r="80">
      <c r="A80" s="96" t="s">
        <v>304</v>
      </c>
      <c r="B80" s="152" t="s">
        <v>305</v>
      </c>
      <c r="C80" s="153">
        <v>6144.0</v>
      </c>
      <c r="D80" s="153">
        <v>3043.0</v>
      </c>
      <c r="E80" s="153">
        <v>2657.0</v>
      </c>
      <c r="F80" s="154">
        <v>4696.0</v>
      </c>
      <c r="G80" s="154">
        <v>4694.0</v>
      </c>
      <c r="H80" s="154">
        <v>2481.0</v>
      </c>
      <c r="I80" s="162"/>
      <c r="J80" s="163"/>
    </row>
    <row r="81">
      <c r="A81" s="97" t="s">
        <v>306</v>
      </c>
      <c r="B81" s="157" t="s">
        <v>307</v>
      </c>
      <c r="C81" s="153">
        <v>159.0</v>
      </c>
      <c r="D81" s="153">
        <v>1164.0</v>
      </c>
      <c r="E81" s="153">
        <v>6430.0</v>
      </c>
      <c r="F81" s="154">
        <v>3305.0</v>
      </c>
      <c r="G81" s="154">
        <v>935.0</v>
      </c>
      <c r="H81" s="154">
        <v>418.0</v>
      </c>
      <c r="I81" s="160"/>
      <c r="J81" s="161"/>
    </row>
    <row r="82">
      <c r="A82" s="96" t="s">
        <v>308</v>
      </c>
      <c r="B82" s="152" t="s">
        <v>309</v>
      </c>
      <c r="C82" s="153">
        <v>4499.0</v>
      </c>
      <c r="D82" s="153">
        <v>5550.0</v>
      </c>
      <c r="E82" s="153">
        <v>1817.0</v>
      </c>
      <c r="F82" s="154">
        <v>3366.0</v>
      </c>
      <c r="G82" s="154">
        <v>2352.0</v>
      </c>
      <c r="H82" s="154">
        <v>2613.0</v>
      </c>
      <c r="I82" s="162"/>
      <c r="J82" s="163"/>
    </row>
    <row r="83">
      <c r="A83" s="97" t="s">
        <v>310</v>
      </c>
      <c r="B83" s="157" t="s">
        <v>311</v>
      </c>
      <c r="C83" s="153">
        <v>5960.0</v>
      </c>
      <c r="D83" s="153">
        <v>5771.0</v>
      </c>
      <c r="E83" s="153">
        <v>2468.0</v>
      </c>
      <c r="F83" s="154">
        <v>624.0</v>
      </c>
      <c r="G83" s="154">
        <v>5572.0</v>
      </c>
      <c r="H83" s="154">
        <v>3735.0</v>
      </c>
      <c r="I83" s="160"/>
      <c r="J83" s="161"/>
    </row>
    <row r="84">
      <c r="A84" s="96" t="s">
        <v>312</v>
      </c>
      <c r="B84" s="152" t="s">
        <v>313</v>
      </c>
      <c r="C84" s="153">
        <v>192.0</v>
      </c>
      <c r="D84" s="153">
        <v>5411.0</v>
      </c>
      <c r="E84" s="153">
        <v>2164.0</v>
      </c>
      <c r="F84" s="154">
        <v>4603.0</v>
      </c>
      <c r="G84" s="154">
        <v>4298.0</v>
      </c>
      <c r="H84" s="154">
        <v>4717.0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</hyperlinks>
  <drawing r:id="rId6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64" t="s">
        <v>314</v>
      </c>
      <c r="D2" s="164" t="s">
        <v>315</v>
      </c>
      <c r="F2" s="164" t="s">
        <v>316</v>
      </c>
      <c r="J2" s="99" t="s">
        <v>317</v>
      </c>
    </row>
    <row r="3">
      <c r="B3" s="165" t="s">
        <v>318</v>
      </c>
      <c r="D3" s="99" t="s">
        <v>319</v>
      </c>
      <c r="F3" s="99" t="s">
        <v>46</v>
      </c>
      <c r="J3" s="99" t="s">
        <v>320</v>
      </c>
      <c r="K3" s="99" t="s">
        <v>321</v>
      </c>
    </row>
    <row r="4">
      <c r="B4" s="165" t="s">
        <v>322</v>
      </c>
      <c r="D4" s="99" t="s">
        <v>323</v>
      </c>
      <c r="F4" s="99" t="s">
        <v>324</v>
      </c>
      <c r="J4" s="166">
        <v>42427.0</v>
      </c>
      <c r="K4" s="99" t="s">
        <v>325</v>
      </c>
    </row>
    <row r="5">
      <c r="B5" s="99" t="s">
        <v>326</v>
      </c>
      <c r="D5" s="165" t="s">
        <v>327</v>
      </c>
      <c r="J5" s="166">
        <v>42427.0</v>
      </c>
      <c r="K5" s="99" t="s">
        <v>328</v>
      </c>
    </row>
    <row r="6">
      <c r="J6" s="166">
        <v>42427.0</v>
      </c>
      <c r="K6" s="99" t="s">
        <v>329</v>
      </c>
    </row>
    <row r="7">
      <c r="J7" s="166">
        <v>42427.0</v>
      </c>
      <c r="K7" s="99" t="s">
        <v>330</v>
      </c>
    </row>
    <row r="8">
      <c r="J8" s="166">
        <v>42427.0</v>
      </c>
      <c r="K8" s="99" t="s">
        <v>331</v>
      </c>
    </row>
    <row r="9">
      <c r="J9" s="166">
        <v>42427.0</v>
      </c>
      <c r="K9" s="99" t="s">
        <v>332</v>
      </c>
    </row>
    <row r="11">
      <c r="J11" s="166">
        <v>42427.0</v>
      </c>
      <c r="K11" s="99" t="s">
        <v>333</v>
      </c>
    </row>
    <row r="13">
      <c r="B13" s="99" t="s">
        <v>334</v>
      </c>
    </row>
    <row r="14">
      <c r="B14" s="167" t="s">
        <v>335</v>
      </c>
    </row>
  </sheetData>
  <hyperlinks>
    <hyperlink r:id="rId1" location="gid=0" ref="B14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hidden="1" min="1" max="1" width="10.43"/>
    <col customWidth="1" min="2" max="2" width="7.14"/>
    <col customWidth="1" min="3" max="3" width="10.0"/>
    <col customWidth="1" min="4" max="4" width="12.0"/>
    <col customWidth="1" min="5" max="5" width="15.71"/>
    <col customWidth="1" min="6" max="6" width="8.29"/>
    <col customWidth="1" min="7" max="7" width="12.29"/>
    <col customWidth="1" min="8" max="8" width="12.0"/>
    <col customWidth="1" min="9" max="9" width="12.29"/>
    <col customWidth="1" min="10" max="10" width="18.29"/>
    <col customWidth="1" min="11" max="11" width="21.57"/>
  </cols>
  <sheetData>
    <row r="1">
      <c r="A1" t="s">
        <v>336</v>
      </c>
      <c r="B1" s="168" t="s">
        <v>337</v>
      </c>
      <c r="C1" s="168" t="s">
        <v>338</v>
      </c>
      <c r="D1" s="168" t="s">
        <v>339</v>
      </c>
      <c r="E1" s="168" t="s">
        <v>340</v>
      </c>
      <c r="F1" s="169" t="s">
        <v>341</v>
      </c>
      <c r="G1" s="169" t="s">
        <v>342</v>
      </c>
      <c r="H1" s="168" t="s">
        <v>343</v>
      </c>
      <c r="I1" s="168" t="s">
        <v>344</v>
      </c>
      <c r="J1" s="169" t="s">
        <v>345</v>
      </c>
      <c r="K1" s="169" t="s">
        <v>346</v>
      </c>
    </row>
    <row r="2">
      <c r="A2" s="170">
        <v>42781.65106849537</v>
      </c>
      <c r="B2" s="99"/>
      <c r="C2" s="99"/>
      <c r="D2" s="99"/>
      <c r="E2" s="99"/>
      <c r="F2" s="99"/>
      <c r="G2" s="99"/>
      <c r="H2" s="99"/>
      <c r="I2" s="99"/>
      <c r="J2" s="99"/>
      <c r="K2" s="99"/>
    </row>
    <row r="3">
      <c r="A3" s="170">
        <v>42804.384668136576</v>
      </c>
      <c r="B3" s="99">
        <v>2813.0</v>
      </c>
      <c r="C3" s="99" t="s">
        <v>347</v>
      </c>
      <c r="D3" s="99" t="s">
        <v>348</v>
      </c>
      <c r="E3" s="99">
        <v>4.0</v>
      </c>
      <c r="F3" s="99" t="s">
        <v>349</v>
      </c>
      <c r="G3" s="99" t="s">
        <v>350</v>
      </c>
      <c r="H3" s="99">
        <v>10.0</v>
      </c>
      <c r="I3" s="99">
        <v>9.0</v>
      </c>
      <c r="J3" s="99" t="s">
        <v>351</v>
      </c>
      <c r="K3" s="99" t="s">
        <v>352</v>
      </c>
    </row>
    <row r="4">
      <c r="A4" s="170">
        <v>42804.38508856481</v>
      </c>
      <c r="B4" s="99">
        <v>852.0</v>
      </c>
      <c r="C4" s="99" t="s">
        <v>347</v>
      </c>
      <c r="D4" s="99" t="s">
        <v>348</v>
      </c>
      <c r="E4" s="99">
        <v>4.0</v>
      </c>
      <c r="F4" s="99" t="s">
        <v>349</v>
      </c>
      <c r="G4" s="99" t="s">
        <v>353</v>
      </c>
      <c r="H4" s="99">
        <v>8.0</v>
      </c>
      <c r="I4" s="99">
        <v>5.0</v>
      </c>
      <c r="J4" s="99" t="s">
        <v>351</v>
      </c>
      <c r="K4" s="99" t="s">
        <v>352</v>
      </c>
    </row>
    <row r="5">
      <c r="A5" s="170">
        <v>42804.38563447917</v>
      </c>
      <c r="B5" s="99">
        <v>2643.0</v>
      </c>
      <c r="C5" s="99" t="s">
        <v>354</v>
      </c>
      <c r="D5" s="99" t="s">
        <v>355</v>
      </c>
      <c r="E5" s="99">
        <v>4.0</v>
      </c>
      <c r="F5" s="99" t="s">
        <v>349</v>
      </c>
      <c r="G5" s="99" t="s">
        <v>350</v>
      </c>
      <c r="H5" s="99">
        <v>5.0</v>
      </c>
      <c r="I5" s="99">
        <v>3.0</v>
      </c>
      <c r="J5" s="99" t="s">
        <v>351</v>
      </c>
      <c r="K5" s="99" t="s">
        <v>352</v>
      </c>
    </row>
    <row r="6">
      <c r="A6" s="170">
        <v>42804.386040729165</v>
      </c>
      <c r="B6" s="99">
        <v>6059.0</v>
      </c>
      <c r="C6" s="99" t="s">
        <v>356</v>
      </c>
      <c r="D6" s="99" t="s">
        <v>357</v>
      </c>
      <c r="E6" s="99">
        <v>4.0</v>
      </c>
      <c r="F6" s="99" t="s">
        <v>349</v>
      </c>
      <c r="G6" s="99" t="s">
        <v>350</v>
      </c>
      <c r="H6" s="99">
        <v>4.0</v>
      </c>
      <c r="I6" s="99">
        <v>2.0</v>
      </c>
      <c r="J6" s="99" t="s">
        <v>351</v>
      </c>
      <c r="K6" s="99" t="s">
        <v>358</v>
      </c>
    </row>
    <row r="7">
      <c r="A7" s="170">
        <v>42804.38681862269</v>
      </c>
      <c r="B7" s="99">
        <v>3045.0</v>
      </c>
      <c r="C7" s="99" t="s">
        <v>347</v>
      </c>
      <c r="D7" s="99" t="s">
        <v>359</v>
      </c>
      <c r="E7" s="99">
        <v>6.0</v>
      </c>
      <c r="F7" s="99" t="s">
        <v>351</v>
      </c>
      <c r="G7" s="99" t="s">
        <v>353</v>
      </c>
      <c r="H7" s="99">
        <v>6.0</v>
      </c>
      <c r="I7" s="99">
        <v>6.0</v>
      </c>
      <c r="J7" s="99" t="s">
        <v>351</v>
      </c>
      <c r="K7" s="99" t="s">
        <v>358</v>
      </c>
    </row>
    <row r="8">
      <c r="A8" s="170">
        <v>42804.38724362268</v>
      </c>
      <c r="B8" s="99">
        <v>751.0</v>
      </c>
      <c r="C8" s="99" t="s">
        <v>354</v>
      </c>
      <c r="D8" s="99" t="s">
        <v>360</v>
      </c>
      <c r="E8" s="99">
        <v>6.0</v>
      </c>
      <c r="F8" s="99" t="s">
        <v>349</v>
      </c>
      <c r="G8" s="99" t="s">
        <v>350</v>
      </c>
      <c r="H8" s="99">
        <v>5.0</v>
      </c>
      <c r="I8" s="99">
        <v>3.0</v>
      </c>
      <c r="J8" s="99" t="s">
        <v>351</v>
      </c>
      <c r="K8" s="99" t="s">
        <v>352</v>
      </c>
    </row>
    <row r="9">
      <c r="A9" s="170">
        <v>42804.38773883102</v>
      </c>
      <c r="B9" s="99">
        <v>2493.0</v>
      </c>
      <c r="C9" s="99" t="s">
        <v>361</v>
      </c>
      <c r="D9" s="99" t="s">
        <v>357</v>
      </c>
      <c r="E9" s="99">
        <v>4.0</v>
      </c>
      <c r="F9" s="99" t="s">
        <v>349</v>
      </c>
      <c r="G9" s="99" t="s">
        <v>350</v>
      </c>
      <c r="H9" s="99">
        <v>8.0</v>
      </c>
      <c r="I9" s="99">
        <v>8.0</v>
      </c>
      <c r="J9" s="99" t="s">
        <v>351</v>
      </c>
      <c r="K9" s="99" t="s">
        <v>358</v>
      </c>
    </row>
    <row r="10">
      <c r="A10" s="170">
        <v>42804.38872652777</v>
      </c>
      <c r="B10" s="99">
        <v>6619.0</v>
      </c>
      <c r="C10" s="99" t="s">
        <v>354</v>
      </c>
      <c r="D10" s="99" t="s">
        <v>355</v>
      </c>
      <c r="E10" s="99">
        <v>4.0</v>
      </c>
      <c r="F10" s="99" t="s">
        <v>349</v>
      </c>
      <c r="G10" s="99" t="s">
        <v>350</v>
      </c>
      <c r="H10" s="99">
        <v>3.0</v>
      </c>
      <c r="I10" s="99">
        <v>2.0</v>
      </c>
      <c r="J10" s="99" t="s">
        <v>351</v>
      </c>
      <c r="K10" s="99" t="s">
        <v>358</v>
      </c>
    </row>
    <row r="11">
      <c r="A11" s="170">
        <v>42804.38954001157</v>
      </c>
      <c r="B11" s="99">
        <v>2367.0</v>
      </c>
      <c r="C11" s="99" t="s">
        <v>354</v>
      </c>
      <c r="D11" s="99" t="s">
        <v>355</v>
      </c>
      <c r="E11" s="99">
        <v>4.0</v>
      </c>
      <c r="F11" s="99" t="s">
        <v>351</v>
      </c>
      <c r="G11" s="99" t="s">
        <v>353</v>
      </c>
      <c r="H11" s="99">
        <v>6.0</v>
      </c>
      <c r="I11" s="99">
        <v>6.0</v>
      </c>
      <c r="J11" s="99" t="s">
        <v>351</v>
      </c>
      <c r="K11" s="99" t="s">
        <v>358</v>
      </c>
    </row>
    <row r="12">
      <c r="A12" s="170">
        <v>42804.38994325232</v>
      </c>
      <c r="B12" s="99">
        <v>687.0</v>
      </c>
      <c r="C12" s="99" t="s">
        <v>354</v>
      </c>
      <c r="D12" s="99" t="s">
        <v>355</v>
      </c>
      <c r="E12" s="99">
        <v>4.0</v>
      </c>
      <c r="F12" s="99" t="s">
        <v>351</v>
      </c>
      <c r="G12" s="99" t="s">
        <v>353</v>
      </c>
      <c r="H12" s="99">
        <v>8.0</v>
      </c>
      <c r="I12" s="99">
        <v>6.0</v>
      </c>
      <c r="J12" s="99" t="s">
        <v>351</v>
      </c>
      <c r="K12" s="99" t="s">
        <v>352</v>
      </c>
    </row>
    <row r="13">
      <c r="A13" s="170">
        <v>42804.39098045139</v>
      </c>
      <c r="B13" s="99">
        <v>6711.0</v>
      </c>
      <c r="C13" s="99" t="s">
        <v>354</v>
      </c>
      <c r="D13" s="99" t="s">
        <v>355</v>
      </c>
      <c r="E13" s="99">
        <v>4.0</v>
      </c>
      <c r="F13" s="99" t="s">
        <v>349</v>
      </c>
      <c r="G13" s="99" t="s">
        <v>350</v>
      </c>
      <c r="H13" s="99">
        <v>6.0</v>
      </c>
      <c r="I13" s="99">
        <v>2.0</v>
      </c>
      <c r="J13" s="99" t="s">
        <v>351</v>
      </c>
      <c r="K13" s="99" t="s">
        <v>352</v>
      </c>
    </row>
    <row r="14">
      <c r="A14" s="170">
        <v>42804.39170142361</v>
      </c>
      <c r="B14" s="99">
        <v>5852.0</v>
      </c>
      <c r="C14" s="99" t="s">
        <v>354</v>
      </c>
      <c r="D14" s="99" t="s">
        <v>355</v>
      </c>
      <c r="E14" s="99">
        <v>4.0</v>
      </c>
      <c r="F14" s="99" t="s">
        <v>349</v>
      </c>
      <c r="G14" s="99" t="s">
        <v>350</v>
      </c>
      <c r="H14" s="99">
        <v>10.0</v>
      </c>
      <c r="I14" s="99">
        <v>3.0</v>
      </c>
      <c r="J14" s="99" t="s">
        <v>351</v>
      </c>
      <c r="K14" s="99" t="s">
        <v>352</v>
      </c>
    </row>
    <row r="15">
      <c r="A15" s="170">
        <v>42804.39197226852</v>
      </c>
      <c r="B15" s="99">
        <v>3256.0</v>
      </c>
      <c r="C15" s="99" t="s">
        <v>354</v>
      </c>
      <c r="D15" s="99" t="s">
        <v>360</v>
      </c>
      <c r="E15" s="99">
        <v>4.0</v>
      </c>
      <c r="F15" s="99" t="s">
        <v>351</v>
      </c>
      <c r="G15" s="99" t="s">
        <v>353</v>
      </c>
      <c r="H15" s="99">
        <v>9.0</v>
      </c>
      <c r="I15" s="99">
        <v>9.0</v>
      </c>
      <c r="J15" s="99" t="s">
        <v>351</v>
      </c>
      <c r="K15" s="99" t="s">
        <v>352</v>
      </c>
    </row>
    <row r="16">
      <c r="A16" s="170">
        <v>42804.39285670139</v>
      </c>
      <c r="B16" s="99">
        <v>2135.0</v>
      </c>
      <c r="C16" s="99" t="s">
        <v>354</v>
      </c>
      <c r="D16" s="99" t="s">
        <v>360</v>
      </c>
      <c r="E16" s="99">
        <v>4.0</v>
      </c>
      <c r="F16" s="99" t="s">
        <v>351</v>
      </c>
      <c r="G16" s="99" t="s">
        <v>350</v>
      </c>
      <c r="H16" s="99">
        <v>13.0</v>
      </c>
      <c r="I16" s="99">
        <v>5.0</v>
      </c>
      <c r="J16" s="99" t="s">
        <v>351</v>
      </c>
      <c r="K16" s="99" t="s">
        <v>358</v>
      </c>
    </row>
    <row r="17">
      <c r="A17" s="170">
        <v>42804.393200694445</v>
      </c>
      <c r="B17" s="99">
        <v>6699.0</v>
      </c>
      <c r="C17" s="99" t="s">
        <v>354</v>
      </c>
      <c r="D17" s="99" t="s">
        <v>355</v>
      </c>
      <c r="E17" s="99">
        <v>4.0</v>
      </c>
      <c r="F17" s="99" t="s">
        <v>349</v>
      </c>
      <c r="G17" s="99" t="s">
        <v>350</v>
      </c>
      <c r="H17" s="99">
        <v>5.0</v>
      </c>
      <c r="I17" s="99">
        <v>4.0</v>
      </c>
      <c r="J17" s="99" t="s">
        <v>351</v>
      </c>
      <c r="K17" s="99" t="s">
        <v>352</v>
      </c>
    </row>
    <row r="18">
      <c r="A18" s="170">
        <v>42804.394118854165</v>
      </c>
      <c r="B18" s="99">
        <v>1072.0</v>
      </c>
      <c r="C18" s="99" t="s">
        <v>354</v>
      </c>
      <c r="D18" s="99" t="s">
        <v>355</v>
      </c>
      <c r="E18" s="99">
        <v>4.0</v>
      </c>
      <c r="F18" s="99" t="s">
        <v>349</v>
      </c>
      <c r="G18" s="99" t="s">
        <v>353</v>
      </c>
      <c r="H18" s="99">
        <v>4.0</v>
      </c>
      <c r="I18" s="99">
        <v>6.0</v>
      </c>
      <c r="J18" s="99" t="s">
        <v>351</v>
      </c>
      <c r="K18" s="99" t="s">
        <v>352</v>
      </c>
    </row>
    <row r="19">
      <c r="A19" s="170">
        <v>42804.394972662034</v>
      </c>
      <c r="B19" s="99">
        <v>2085.0</v>
      </c>
      <c r="C19" s="99" t="s">
        <v>354</v>
      </c>
      <c r="D19" s="99" t="s">
        <v>355</v>
      </c>
      <c r="E19" s="99">
        <v>4.0</v>
      </c>
      <c r="F19" s="99" t="s">
        <v>349</v>
      </c>
      <c r="G19" s="99" t="s">
        <v>350</v>
      </c>
      <c r="H19" s="99">
        <v>5.0</v>
      </c>
      <c r="I19" s="99">
        <v>6.0</v>
      </c>
      <c r="J19" s="99" t="s">
        <v>351</v>
      </c>
      <c r="K19" s="99" t="s">
        <v>352</v>
      </c>
    </row>
    <row r="20">
      <c r="A20" s="170">
        <v>42804.39638697916</v>
      </c>
      <c r="B20" s="99">
        <v>5104.0</v>
      </c>
      <c r="C20" s="99" t="s">
        <v>354</v>
      </c>
      <c r="D20" s="99" t="s">
        <v>355</v>
      </c>
      <c r="E20" s="99">
        <v>4.0</v>
      </c>
      <c r="F20" s="99" t="s">
        <v>351</v>
      </c>
      <c r="G20" s="99" t="s">
        <v>353</v>
      </c>
      <c r="H20" s="99">
        <v>7.0</v>
      </c>
      <c r="I20" s="99">
        <v>6.0</v>
      </c>
      <c r="J20" s="99" t="s">
        <v>351</v>
      </c>
      <c r="K20" s="99" t="s">
        <v>358</v>
      </c>
    </row>
    <row r="21">
      <c r="A21" s="170">
        <v>42804.396464756945</v>
      </c>
      <c r="B21" s="99">
        <v>3501.0</v>
      </c>
      <c r="C21" s="99" t="s">
        <v>354</v>
      </c>
      <c r="D21" s="99" t="s">
        <v>355</v>
      </c>
      <c r="E21" s="99">
        <v>4.0</v>
      </c>
      <c r="F21" s="99" t="s">
        <v>351</v>
      </c>
      <c r="G21" s="99" t="s">
        <v>350</v>
      </c>
      <c r="H21" s="99">
        <v>5.0</v>
      </c>
      <c r="I21" s="99">
        <v>3.0</v>
      </c>
      <c r="J21" s="99" t="s">
        <v>351</v>
      </c>
      <c r="K21" s="99" t="s">
        <v>352</v>
      </c>
    </row>
    <row r="22">
      <c r="A22" s="170">
        <v>42804.39734427084</v>
      </c>
      <c r="B22" s="99">
        <v>1868.0</v>
      </c>
      <c r="C22" s="99" t="s">
        <v>354</v>
      </c>
      <c r="D22" s="99" t="s">
        <v>355</v>
      </c>
      <c r="E22" s="99">
        <v>4.0</v>
      </c>
      <c r="F22" s="99" t="s">
        <v>351</v>
      </c>
      <c r="G22" s="99" t="s">
        <v>350</v>
      </c>
      <c r="H22" s="99">
        <v>13.0</v>
      </c>
      <c r="I22" s="99">
        <v>12.0</v>
      </c>
      <c r="J22" s="99" t="s">
        <v>351</v>
      </c>
      <c r="K22" s="99" t="s">
        <v>358</v>
      </c>
    </row>
    <row r="23">
      <c r="A23" s="170">
        <v>42804.397425243056</v>
      </c>
      <c r="B23" s="99">
        <v>980.0</v>
      </c>
      <c r="C23" s="99" t="s">
        <v>354</v>
      </c>
      <c r="D23" s="99" t="s">
        <v>355</v>
      </c>
      <c r="E23" s="99">
        <v>6.0</v>
      </c>
      <c r="F23" s="99" t="s">
        <v>349</v>
      </c>
      <c r="G23" s="99" t="s">
        <v>350</v>
      </c>
      <c r="H23" s="99">
        <v>9.0</v>
      </c>
      <c r="I23" s="99">
        <v>8.0</v>
      </c>
      <c r="J23" s="99" t="s">
        <v>351</v>
      </c>
      <c r="K23" s="99" t="s">
        <v>352</v>
      </c>
    </row>
    <row r="24">
      <c r="A24" s="170">
        <v>42804.39859607639</v>
      </c>
      <c r="B24" s="99">
        <v>5677.0</v>
      </c>
      <c r="C24" s="99" t="s">
        <v>354</v>
      </c>
      <c r="D24" s="99" t="s">
        <v>355</v>
      </c>
      <c r="E24" s="99">
        <v>6.0</v>
      </c>
      <c r="F24" s="99" t="s">
        <v>351</v>
      </c>
      <c r="G24" s="99" t="s">
        <v>353</v>
      </c>
      <c r="H24" s="99">
        <v>10.0</v>
      </c>
      <c r="I24" s="99">
        <v>6.0</v>
      </c>
      <c r="J24" s="99" t="s">
        <v>351</v>
      </c>
      <c r="K24" s="99" t="s">
        <v>352</v>
      </c>
    </row>
    <row r="25">
      <c r="A25" s="170">
        <v>42804.39891293981</v>
      </c>
      <c r="B25" s="99">
        <v>3970.0</v>
      </c>
      <c r="C25" s="99" t="s">
        <v>354</v>
      </c>
      <c r="D25" s="99" t="s">
        <v>355</v>
      </c>
      <c r="E25" s="99">
        <v>4.0</v>
      </c>
      <c r="F25" s="99" t="s">
        <v>351</v>
      </c>
      <c r="G25" s="99" t="s">
        <v>362</v>
      </c>
      <c r="H25" s="99">
        <v>8.0</v>
      </c>
      <c r="I25" s="99">
        <v>8.0</v>
      </c>
      <c r="J25" s="99" t="s">
        <v>351</v>
      </c>
      <c r="K25" s="99" t="s">
        <v>352</v>
      </c>
    </row>
    <row r="26">
      <c r="A26" s="170">
        <v>42804.40016982639</v>
      </c>
      <c r="B26" s="99">
        <v>1678.0</v>
      </c>
      <c r="C26" s="99" t="s">
        <v>354</v>
      </c>
      <c r="D26" s="99" t="s">
        <v>355</v>
      </c>
      <c r="E26" s="99">
        <v>4.0</v>
      </c>
      <c r="F26" s="99" t="s">
        <v>349</v>
      </c>
      <c r="G26" s="99" t="s">
        <v>363</v>
      </c>
      <c r="H26" s="99">
        <v>10.0</v>
      </c>
      <c r="I26" s="99">
        <v>9.0</v>
      </c>
      <c r="J26" s="99" t="s">
        <v>351</v>
      </c>
      <c r="K26" s="99" t="s">
        <v>358</v>
      </c>
    </row>
    <row r="27">
      <c r="A27" s="170">
        <v>42804.40025806713</v>
      </c>
      <c r="B27" s="99">
        <v>972.0</v>
      </c>
      <c r="C27" s="99" t="s">
        <v>354</v>
      </c>
      <c r="D27" s="99" t="s">
        <v>357</v>
      </c>
      <c r="E27" s="99">
        <v>4.0</v>
      </c>
      <c r="F27" s="99" t="s">
        <v>349</v>
      </c>
      <c r="G27" s="99" t="s">
        <v>350</v>
      </c>
      <c r="H27" s="99">
        <v>8.0</v>
      </c>
      <c r="I27" s="99">
        <v>6.0</v>
      </c>
      <c r="J27" s="99" t="s">
        <v>351</v>
      </c>
      <c r="K27" s="99" t="s">
        <v>352</v>
      </c>
    </row>
    <row r="28">
      <c r="A28" s="170">
        <v>42804.401191122684</v>
      </c>
      <c r="B28" s="99">
        <v>4255.0</v>
      </c>
      <c r="C28" s="99" t="s">
        <v>354</v>
      </c>
      <c r="D28" s="99" t="s">
        <v>355</v>
      </c>
      <c r="E28" s="99">
        <v>4.0</v>
      </c>
      <c r="F28" s="99" t="s">
        <v>351</v>
      </c>
      <c r="G28" s="99" t="s">
        <v>350</v>
      </c>
      <c r="H28" s="99">
        <v>6.0</v>
      </c>
      <c r="I28" s="99">
        <v>5.0</v>
      </c>
      <c r="J28" s="99" t="s">
        <v>351</v>
      </c>
      <c r="K28" s="99" t="s">
        <v>352</v>
      </c>
    </row>
    <row r="29">
      <c r="A29" s="170">
        <v>42804.40153091435</v>
      </c>
      <c r="B29" s="99">
        <v>5817.0</v>
      </c>
      <c r="C29" s="99" t="s">
        <v>364</v>
      </c>
      <c r="D29" s="99" t="s">
        <v>355</v>
      </c>
      <c r="E29" s="99">
        <v>2.0</v>
      </c>
      <c r="F29" s="99" t="s">
        <v>349</v>
      </c>
      <c r="G29" s="99" t="s">
        <v>350</v>
      </c>
      <c r="H29" s="99">
        <v>15.0</v>
      </c>
      <c r="I29" s="99">
        <v>7.0</v>
      </c>
      <c r="J29" s="99" t="s">
        <v>351</v>
      </c>
      <c r="K29" s="99" t="s">
        <v>352</v>
      </c>
    </row>
    <row r="30">
      <c r="A30" s="170">
        <v>42804.402367083334</v>
      </c>
      <c r="B30" s="99">
        <v>1662.0</v>
      </c>
      <c r="C30" s="99" t="s">
        <v>354</v>
      </c>
      <c r="D30" s="99" t="s">
        <v>360</v>
      </c>
      <c r="E30" s="99">
        <v>4.0</v>
      </c>
      <c r="F30" s="99" t="s">
        <v>351</v>
      </c>
      <c r="G30" s="99" t="s">
        <v>353</v>
      </c>
      <c r="H30" s="99">
        <v>16.0</v>
      </c>
      <c r="I30" s="99">
        <v>6.0</v>
      </c>
      <c r="J30" s="99" t="s">
        <v>351</v>
      </c>
      <c r="K30" s="99" t="s">
        <v>358</v>
      </c>
    </row>
    <row r="31">
      <c r="A31" s="170">
        <v>42804.4025837963</v>
      </c>
      <c r="B31" s="99">
        <v>5134.0</v>
      </c>
      <c r="C31" s="99" t="s">
        <v>347</v>
      </c>
      <c r="D31" s="99" t="s">
        <v>348</v>
      </c>
      <c r="E31" s="99">
        <v>4.0</v>
      </c>
      <c r="F31" s="99" t="s">
        <v>349</v>
      </c>
      <c r="G31" s="99" t="s">
        <v>350</v>
      </c>
      <c r="H31" s="99">
        <v>7.0</v>
      </c>
      <c r="I31" s="99">
        <v>2.0</v>
      </c>
      <c r="J31" s="99" t="s">
        <v>351</v>
      </c>
      <c r="K31" s="99" t="s">
        <v>358</v>
      </c>
    </row>
    <row r="32">
      <c r="A32" s="170">
        <v>42804.40317258102</v>
      </c>
      <c r="B32" s="99">
        <v>4276.0</v>
      </c>
      <c r="C32" s="99" t="s">
        <v>347</v>
      </c>
      <c r="D32" s="99" t="s">
        <v>348</v>
      </c>
      <c r="E32" s="99">
        <v>4.0</v>
      </c>
      <c r="F32" s="99" t="s">
        <v>349</v>
      </c>
      <c r="G32" s="99" t="s">
        <v>363</v>
      </c>
      <c r="H32" s="99">
        <v>7.0</v>
      </c>
      <c r="I32" s="99">
        <v>3.0</v>
      </c>
      <c r="J32" s="99" t="s">
        <v>351</v>
      </c>
      <c r="K32" s="99" t="s">
        <v>352</v>
      </c>
    </row>
    <row r="33">
      <c r="A33" s="170">
        <v>42804.4039253125</v>
      </c>
      <c r="B33" s="99">
        <v>1422.0</v>
      </c>
      <c r="C33" s="99" t="s">
        <v>354</v>
      </c>
      <c r="D33" s="99" t="s">
        <v>355</v>
      </c>
      <c r="E33" s="99">
        <v>6.0</v>
      </c>
      <c r="F33" s="99" t="s">
        <v>351</v>
      </c>
      <c r="G33" s="99" t="s">
        <v>353</v>
      </c>
      <c r="H33" s="99">
        <v>10.0</v>
      </c>
      <c r="I33" s="99">
        <v>5.0</v>
      </c>
      <c r="J33" s="99" t="s">
        <v>351</v>
      </c>
      <c r="K33" s="99" t="s">
        <v>352</v>
      </c>
    </row>
    <row r="34">
      <c r="A34" s="170">
        <v>42804.404227129635</v>
      </c>
      <c r="B34" s="99">
        <v>1671.0</v>
      </c>
      <c r="C34" s="99" t="s">
        <v>354</v>
      </c>
      <c r="D34" s="99" t="s">
        <v>355</v>
      </c>
      <c r="E34" s="99">
        <v>4.0</v>
      </c>
      <c r="F34" s="99" t="s">
        <v>351</v>
      </c>
      <c r="G34" s="99" t="s">
        <v>353</v>
      </c>
      <c r="H34" s="99">
        <v>14.0</v>
      </c>
      <c r="I34" s="99">
        <v>12.0</v>
      </c>
      <c r="J34" s="99" t="s">
        <v>351</v>
      </c>
      <c r="K34" s="99" t="s">
        <v>352</v>
      </c>
    </row>
    <row r="35">
      <c r="A35" s="170">
        <v>42804.405708182865</v>
      </c>
      <c r="B35" s="99">
        <v>4415.0</v>
      </c>
      <c r="C35" s="99" t="s">
        <v>361</v>
      </c>
      <c r="D35" s="99" t="s">
        <v>348</v>
      </c>
      <c r="E35" s="99">
        <v>4.0</v>
      </c>
      <c r="F35" s="99" t="s">
        <v>351</v>
      </c>
      <c r="G35" s="99" t="s">
        <v>363</v>
      </c>
      <c r="H35" s="99">
        <v>12.0</v>
      </c>
      <c r="I35" s="99">
        <v>12.0</v>
      </c>
      <c r="J35" s="99" t="s">
        <v>351</v>
      </c>
      <c r="K35" s="99" t="s">
        <v>352</v>
      </c>
    </row>
    <row r="36">
      <c r="A36" s="170">
        <v>42804.53432505787</v>
      </c>
      <c r="B36" s="99">
        <v>6305.0</v>
      </c>
      <c r="C36" s="99" t="s">
        <v>354</v>
      </c>
      <c r="D36" s="99" t="s">
        <v>355</v>
      </c>
      <c r="E36" s="99">
        <v>4.0</v>
      </c>
      <c r="F36" s="99" t="s">
        <v>349</v>
      </c>
      <c r="G36" s="99" t="s">
        <v>362</v>
      </c>
      <c r="H36" s="99">
        <v>4.0</v>
      </c>
      <c r="I36" s="99">
        <v>3.0</v>
      </c>
      <c r="J36" s="99" t="s">
        <v>351</v>
      </c>
      <c r="K36" s="99" t="s">
        <v>352</v>
      </c>
    </row>
    <row r="37">
      <c r="A37" s="170">
        <v>42804.53552194445</v>
      </c>
      <c r="B37" s="99">
        <v>3495.0</v>
      </c>
      <c r="C37" s="99" t="s">
        <v>354</v>
      </c>
      <c r="D37" s="99" t="s">
        <v>360</v>
      </c>
      <c r="E37" s="99">
        <v>4.0</v>
      </c>
      <c r="F37" s="99" t="s">
        <v>349</v>
      </c>
      <c r="G37" s="99" t="s">
        <v>363</v>
      </c>
      <c r="H37" s="99">
        <v>10.0</v>
      </c>
      <c r="I37" s="99">
        <v>8.0</v>
      </c>
      <c r="J37" s="99" t="s">
        <v>351</v>
      </c>
      <c r="K37" s="99" t="s">
        <v>352</v>
      </c>
    </row>
    <row r="38">
      <c r="A38" s="170">
        <v>42804.538138020835</v>
      </c>
      <c r="B38" s="99">
        <v>6650.0</v>
      </c>
      <c r="C38" s="99" t="s">
        <v>354</v>
      </c>
      <c r="D38" s="99" t="s">
        <v>355</v>
      </c>
      <c r="E38" s="99">
        <v>4.0</v>
      </c>
      <c r="F38" s="99" t="s">
        <v>349</v>
      </c>
      <c r="G38" s="99" t="s">
        <v>362</v>
      </c>
      <c r="H38" s="99">
        <v>7.0</v>
      </c>
      <c r="I38" s="99">
        <v>100.0</v>
      </c>
      <c r="J38" s="99" t="s">
        <v>351</v>
      </c>
      <c r="K38" s="99" t="s">
        <v>352</v>
      </c>
    </row>
    <row r="39">
      <c r="A39" s="170">
        <v>42804.53908081018</v>
      </c>
      <c r="B39" s="99">
        <v>6657.0</v>
      </c>
      <c r="C39" s="99" t="s">
        <v>354</v>
      </c>
      <c r="D39" s="99" t="s">
        <v>355</v>
      </c>
      <c r="E39" s="99">
        <v>4.0</v>
      </c>
      <c r="F39" s="99" t="s">
        <v>349</v>
      </c>
      <c r="G39" s="99" t="s">
        <v>350</v>
      </c>
      <c r="H39" s="99">
        <v>2.0</v>
      </c>
      <c r="I39" s="99">
        <v>1.0</v>
      </c>
      <c r="J39" s="99" t="s">
        <v>351</v>
      </c>
      <c r="K39" s="99" t="s">
        <v>352</v>
      </c>
    </row>
    <row r="40">
      <c r="A40" s="170">
        <v>42804.54283651621</v>
      </c>
      <c r="B40" s="99">
        <v>294.0</v>
      </c>
      <c r="C40" s="99" t="s">
        <v>354</v>
      </c>
      <c r="D40" s="99" t="s">
        <v>355</v>
      </c>
      <c r="E40" s="99">
        <v>6.0</v>
      </c>
      <c r="F40" s="99" t="s">
        <v>351</v>
      </c>
      <c r="G40" s="99" t="s">
        <v>353</v>
      </c>
      <c r="H40" s="99">
        <v>11.0</v>
      </c>
      <c r="I40" s="99">
        <v>5.0</v>
      </c>
      <c r="J40" s="99" t="s">
        <v>351</v>
      </c>
      <c r="K40" s="99" t="s">
        <v>352</v>
      </c>
    </row>
    <row r="41">
      <c r="A41" s="170">
        <v>42804.550421215274</v>
      </c>
      <c r="B41" s="99">
        <v>973.0</v>
      </c>
      <c r="C41" s="99" t="s">
        <v>361</v>
      </c>
      <c r="D41" s="99" t="s">
        <v>355</v>
      </c>
      <c r="E41" s="99">
        <v>6.0</v>
      </c>
      <c r="F41" s="99" t="s">
        <v>351</v>
      </c>
      <c r="G41" s="99" t="s">
        <v>363</v>
      </c>
      <c r="H41" s="99">
        <v>22.0</v>
      </c>
      <c r="I41" s="99">
        <v>10.0</v>
      </c>
      <c r="J41" s="99" t="s">
        <v>351</v>
      </c>
      <c r="K41" s="99" t="s">
        <v>358</v>
      </c>
    </row>
    <row r="42">
      <c r="A42" s="170">
        <v>42804.55655270834</v>
      </c>
      <c r="B42" s="99">
        <v>1323.0</v>
      </c>
      <c r="C42" s="99" t="s">
        <v>364</v>
      </c>
      <c r="D42" s="99" t="s">
        <v>355</v>
      </c>
      <c r="E42" s="99">
        <v>2.0</v>
      </c>
      <c r="F42" s="99" t="s">
        <v>349</v>
      </c>
      <c r="G42" s="99" t="s">
        <v>363</v>
      </c>
      <c r="H42" s="99">
        <v>12.0</v>
      </c>
      <c r="I42" s="99">
        <v>12.0</v>
      </c>
      <c r="J42" s="99" t="s">
        <v>351</v>
      </c>
      <c r="K42" s="99" t="s">
        <v>352</v>
      </c>
    </row>
    <row r="43">
      <c r="A43" s="170">
        <v>42804.55806488426</v>
      </c>
      <c r="B43" s="99">
        <v>2761.0</v>
      </c>
      <c r="C43" s="99" t="s">
        <v>354</v>
      </c>
      <c r="D43" s="99" t="s">
        <v>355</v>
      </c>
      <c r="E43" s="99">
        <v>4.0</v>
      </c>
      <c r="F43" s="99" t="s">
        <v>349</v>
      </c>
      <c r="G43" s="99" t="s">
        <v>353</v>
      </c>
      <c r="H43" s="99">
        <v>30.0</v>
      </c>
      <c r="I43" s="99">
        <v>5.0</v>
      </c>
      <c r="J43" s="99" t="s">
        <v>351</v>
      </c>
      <c r="K43" s="99" t="s">
        <v>352</v>
      </c>
    </row>
    <row r="44">
      <c r="A44" s="170">
        <v>42804.559650752315</v>
      </c>
      <c r="B44" s="99">
        <v>4543.0</v>
      </c>
      <c r="C44" s="99" t="s">
        <v>354</v>
      </c>
      <c r="D44" s="99" t="s">
        <v>357</v>
      </c>
      <c r="E44" s="99">
        <v>4.0</v>
      </c>
      <c r="F44" s="99" t="s">
        <v>349</v>
      </c>
      <c r="G44" s="99" t="s">
        <v>363</v>
      </c>
      <c r="H44" s="99">
        <v>18.0</v>
      </c>
      <c r="I44" s="99">
        <v>10.0</v>
      </c>
      <c r="J44" s="99" t="s">
        <v>351</v>
      </c>
      <c r="K44" s="99" t="s">
        <v>365</v>
      </c>
    </row>
    <row r="45">
      <c r="A45" s="170">
        <v>42804.56128040509</v>
      </c>
      <c r="B45" s="99">
        <v>4643.0</v>
      </c>
      <c r="C45" s="99" t="s">
        <v>354</v>
      </c>
      <c r="D45" s="99" t="s">
        <v>355</v>
      </c>
      <c r="E45" s="99">
        <v>6.0</v>
      </c>
      <c r="F45" s="99" t="s">
        <v>349</v>
      </c>
      <c r="G45" s="99" t="s">
        <v>353</v>
      </c>
      <c r="H45" s="99">
        <v>10.0</v>
      </c>
      <c r="I45" s="99">
        <v>10.0</v>
      </c>
      <c r="J45" s="99" t="s">
        <v>351</v>
      </c>
      <c r="K45" s="99" t="s">
        <v>352</v>
      </c>
    </row>
    <row r="46">
      <c r="A46" s="170">
        <v>42804.56509685185</v>
      </c>
      <c r="B46" s="99">
        <v>670.0</v>
      </c>
      <c r="C46" s="99" t="s">
        <v>347</v>
      </c>
      <c r="D46" s="99" t="s">
        <v>357</v>
      </c>
      <c r="E46" s="99">
        <v>4.0</v>
      </c>
      <c r="F46" s="99" t="s">
        <v>349</v>
      </c>
      <c r="G46" s="99" t="s">
        <v>350</v>
      </c>
      <c r="H46" s="99">
        <v>10.0</v>
      </c>
      <c r="I46" s="99">
        <v>5.0</v>
      </c>
      <c r="J46" s="99" t="s">
        <v>351</v>
      </c>
      <c r="K46" s="99" t="s">
        <v>352</v>
      </c>
    </row>
    <row r="47">
      <c r="A47" s="170">
        <v>42804.5672115162</v>
      </c>
      <c r="B47" s="99">
        <v>3303.0</v>
      </c>
      <c r="C47" s="99" t="s">
        <v>354</v>
      </c>
      <c r="D47" s="99" t="s">
        <v>357</v>
      </c>
      <c r="E47" s="99">
        <v>6.0</v>
      </c>
      <c r="F47" s="99" t="s">
        <v>349</v>
      </c>
      <c r="G47" s="99" t="s">
        <v>350</v>
      </c>
      <c r="H47" s="99">
        <v>5.0</v>
      </c>
      <c r="I47" s="99">
        <v>1.0</v>
      </c>
      <c r="J47" s="99" t="s">
        <v>351</v>
      </c>
      <c r="K47" s="99" t="s">
        <v>358</v>
      </c>
    </row>
    <row r="48">
      <c r="A48" s="170">
        <v>42804.56855326389</v>
      </c>
      <c r="B48" s="99">
        <v>3189.0</v>
      </c>
      <c r="C48" s="99" t="s">
        <v>354</v>
      </c>
      <c r="D48" s="99" t="s">
        <v>355</v>
      </c>
      <c r="E48" s="99">
        <v>6.0</v>
      </c>
      <c r="F48" s="99" t="s">
        <v>351</v>
      </c>
      <c r="G48" s="99" t="s">
        <v>353</v>
      </c>
      <c r="H48" s="99">
        <v>6.0</v>
      </c>
      <c r="I48" s="99">
        <v>3.0</v>
      </c>
      <c r="J48" s="99" t="s">
        <v>351</v>
      </c>
      <c r="K48" s="99" t="s">
        <v>352</v>
      </c>
    </row>
    <row r="49">
      <c r="A49" s="170">
        <v>42804.74047804398</v>
      </c>
      <c r="B49" s="99">
        <v>1388.0</v>
      </c>
      <c r="C49" s="99" t="s">
        <v>354</v>
      </c>
      <c r="D49" s="99" t="s">
        <v>360</v>
      </c>
      <c r="E49" s="99">
        <v>4.0</v>
      </c>
      <c r="F49" s="99" t="s">
        <v>349</v>
      </c>
      <c r="G49" s="99" t="s">
        <v>350</v>
      </c>
      <c r="H49" s="99">
        <v>5.0</v>
      </c>
      <c r="I49" s="99">
        <v>1.0</v>
      </c>
      <c r="J49" s="99" t="s">
        <v>351</v>
      </c>
      <c r="K49" s="99" t="s">
        <v>358</v>
      </c>
    </row>
    <row r="50">
      <c r="A50" s="170">
        <v>42805.48904712963</v>
      </c>
      <c r="B50" s="99">
        <v>3189.0</v>
      </c>
      <c r="C50" s="99" t="s">
        <v>354</v>
      </c>
      <c r="D50" s="99" t="s">
        <v>355</v>
      </c>
      <c r="E50" s="99">
        <v>6.0</v>
      </c>
      <c r="F50" s="99" t="s">
        <v>351</v>
      </c>
      <c r="G50" s="99" t="s">
        <v>353</v>
      </c>
      <c r="H50" s="99">
        <v>6.0</v>
      </c>
      <c r="I50" s="99">
        <v>3.0</v>
      </c>
      <c r="J50" s="99" t="s">
        <v>351</v>
      </c>
      <c r="K50" s="99" t="s">
        <v>352</v>
      </c>
    </row>
  </sheetData>
  <conditionalFormatting sqref="A1:K2">
    <cfRule type="notContainsBlanks" dxfId="0" priority="1">
      <formula>LEN(TRIM(A1))&gt;0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t="str">
        <f>IFERROR(__xludf.DUMMYFUNCTION("importrange('Control PanelOur Matches'!O9,""cama_opr!A:L"")"),"#REF!")</f>
        <v>#REF!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0"/>
    <col customWidth="1" min="2" max="8" width="5.14"/>
    <col customWidth="1" min="9" max="18" width="4.43"/>
    <col customWidth="1" min="19" max="20" width="5.86"/>
    <col customWidth="1" min="21" max="24" width="4.43"/>
    <col customWidth="1" min="25" max="25" width="8.71"/>
    <col customWidth="1" min="26" max="26" width="3.0"/>
    <col customWidth="1" min="27" max="38" width="6.57"/>
  </cols>
  <sheetData>
    <row r="1">
      <c r="A1" s="171" t="s">
        <v>366</v>
      </c>
      <c r="B1" s="12"/>
      <c r="C1" s="12"/>
      <c r="D1" s="12"/>
      <c r="E1" s="12"/>
      <c r="F1" s="12"/>
      <c r="G1" s="12"/>
      <c r="H1" s="12"/>
      <c r="I1" s="172" t="s">
        <v>367</v>
      </c>
      <c r="J1" s="7"/>
      <c r="K1" s="173" t="s">
        <v>3</v>
      </c>
      <c r="L1" s="7"/>
      <c r="M1" s="173" t="s">
        <v>121</v>
      </c>
      <c r="N1" s="7"/>
      <c r="O1" s="173" t="s">
        <v>10</v>
      </c>
      <c r="P1" s="7"/>
      <c r="Q1" s="173" t="s">
        <v>368</v>
      </c>
      <c r="R1" s="7"/>
      <c r="S1" s="173" t="s">
        <v>369</v>
      </c>
      <c r="T1" s="7"/>
      <c r="U1" s="173" t="s">
        <v>52</v>
      </c>
      <c r="V1" s="7"/>
      <c r="W1" s="173" t="s">
        <v>121</v>
      </c>
      <c r="X1" s="7"/>
      <c r="Y1" s="25" t="s">
        <v>370</v>
      </c>
      <c r="Z1" s="174"/>
      <c r="AA1" s="175" t="s">
        <v>371</v>
      </c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7"/>
    </row>
    <row r="2">
      <c r="A2" s="176" t="s">
        <v>2</v>
      </c>
      <c r="B2" s="177" t="s">
        <v>372</v>
      </c>
      <c r="C2" s="176" t="s">
        <v>39</v>
      </c>
      <c r="D2" s="176" t="s">
        <v>40</v>
      </c>
      <c r="E2" s="176" t="s">
        <v>41</v>
      </c>
      <c r="F2" s="176" t="s">
        <v>42</v>
      </c>
      <c r="G2" s="176" t="s">
        <v>43</v>
      </c>
      <c r="H2" s="176" t="s">
        <v>44</v>
      </c>
      <c r="I2" s="176" t="s">
        <v>373</v>
      </c>
      <c r="J2" s="176" t="s">
        <v>374</v>
      </c>
      <c r="K2" s="178" t="s">
        <v>373</v>
      </c>
      <c r="L2" s="178" t="s">
        <v>374</v>
      </c>
      <c r="M2" s="178" t="s">
        <v>373</v>
      </c>
      <c r="N2" s="178" t="s">
        <v>374</v>
      </c>
      <c r="O2" s="178" t="s">
        <v>373</v>
      </c>
      <c r="P2" s="178" t="s">
        <v>374</v>
      </c>
      <c r="Q2" s="178" t="s">
        <v>373</v>
      </c>
      <c r="R2" s="178" t="s">
        <v>374</v>
      </c>
      <c r="S2" s="178" t="s">
        <v>375</v>
      </c>
      <c r="T2" s="178" t="s">
        <v>367</v>
      </c>
      <c r="U2" s="178" t="s">
        <v>373</v>
      </c>
      <c r="V2" s="178" t="s">
        <v>374</v>
      </c>
      <c r="W2" s="178" t="s">
        <v>376</v>
      </c>
      <c r="X2" s="178" t="s">
        <v>374</v>
      </c>
      <c r="Y2" s="28"/>
      <c r="Z2" s="174"/>
      <c r="AA2" s="178" t="s">
        <v>1</v>
      </c>
      <c r="AB2" s="178" t="s">
        <v>377</v>
      </c>
      <c r="AC2" s="178" t="s">
        <v>378</v>
      </c>
      <c r="AD2" s="178" t="s">
        <v>52</v>
      </c>
      <c r="AE2" s="178" t="s">
        <v>379</v>
      </c>
      <c r="AF2" s="178" t="s">
        <v>380</v>
      </c>
      <c r="AG2" s="178" t="s">
        <v>50</v>
      </c>
      <c r="AH2" s="178" t="s">
        <v>381</v>
      </c>
      <c r="AI2" s="178" t="s">
        <v>48</v>
      </c>
      <c r="AJ2" s="178" t="s">
        <v>1</v>
      </c>
      <c r="AK2" s="179" t="s">
        <v>52</v>
      </c>
      <c r="AL2" s="179" t="s">
        <v>50</v>
      </c>
    </row>
    <row r="3">
      <c r="A3" s="83">
        <v>1.0</v>
      </c>
      <c r="B3" s="180" t="s">
        <v>382</v>
      </c>
      <c r="C3" s="181">
        <v>2643.0</v>
      </c>
      <c r="D3" s="181">
        <v>5134.0</v>
      </c>
      <c r="E3" s="181">
        <v>6699.0</v>
      </c>
      <c r="F3" s="182">
        <v>4255.0</v>
      </c>
      <c r="G3" s="182">
        <v>294.0</v>
      </c>
      <c r="H3" s="182">
        <v>5817.0</v>
      </c>
      <c r="I3" s="183"/>
      <c r="J3" s="184"/>
      <c r="K3" s="185">
        <f t="array" ref="K3">if( Rankings!$Q$6="y",index(Avgs!B:B,match(C3,Avgs!A:A,0))+index(Avgs!B:B,match(D3,Avgs!A:A,0))+index(Avgs!B:B,match(E3,Avgs!A:A,0)),0)</f>
        <v>0</v>
      </c>
      <c r="L3" s="186">
        <f t="array" ref="L3">if( Rankings!$Q$6="y",index(Avgs!B:B,match(F3,Avgs!A:A,0))+index(Avgs!B:B,match(G3,Avgs!A:A,0))+index(Avgs!B:B,match(H3,Avgs!A:A,0)),0)</f>
        <v>0</v>
      </c>
      <c r="M3" s="187">
        <f>if( Rankings!$Q$6="y",K3,0)</f>
        <v>0</v>
      </c>
      <c r="N3" s="186">
        <f>if( Rankings!$Q$6="y",L3,0)</f>
        <v>0</v>
      </c>
      <c r="O3" s="185">
        <f t="array" ref="O3">if( Rankings!$Q$6="y",index(Avgs!Q:Q,match(C3,Avgs!A:A,0))+index(Avgs!Q:Q,match(D3,Avgs!A:A,0))+index(Avgs!Q:Q,match(E3,Avgs!A:A,0)),0)</f>
        <v>0</v>
      </c>
      <c r="P3" s="186">
        <f t="array" ref="P3">if( Rankings!$Q$6="y",index(Avgs!Q:Q,match(F3,Avgs!A:A,0))+index(Avgs!Q:Q,match(G3,Avgs!A:A,0))+index(Avgs!Q:Q,match(H3,Avgs!A:A,0)),0)</f>
        <v>0</v>
      </c>
      <c r="Q3" s="185">
        <f t="array" ref="Q3">if( Rankings!$Q$6="y",index(Avgs!P:P,match(C3,Avgs!A:A,0))+index(Avgs!P:P,match(D3,Avgs!A:A,0))+index(Avgs!P:P,match(E3,Avgs!A:A,0)),0)</f>
        <v>0</v>
      </c>
      <c r="R3" s="186">
        <f t="array" ref="R3">if( Rankings!$Q$6="y",index(Avgs!P:P,match(F3,Avgs!A:A,0))+index(Avgs!P:P,match(G3,Avgs!A:A,0))+index(Avgs!P:P,match(H3,Avgs!A:A,0)),0)</f>
        <v>0</v>
      </c>
      <c r="S3" s="188" t="str">
        <f t="shared" ref="S3:S127" si="1">if(K3&gt;L3,"red",if(K3&lt;L3,"blue","tie"))</f>
        <v>tie</v>
      </c>
      <c r="T3" s="188" t="str">
        <f t="shared" ref="T3:T127" si="2">if(I3&gt;J3,"red",if(I3&lt;J3,"blue","tie"))</f>
        <v>tie</v>
      </c>
      <c r="U3" s="185">
        <f>if($A3&gt;Rankings!$Q$2,if(S3="red",2,if(S3="tie",1,0))+if(O3&gt;=12,1,0)+if(Q3&gt;=40,1,0),0)</f>
        <v>0</v>
      </c>
      <c r="V3" s="186">
        <f>if($A3&gt;Rankings!$Q$2,if(S3="blue",2,if(S3="tie",1,0))+if(P3&gt;=12,1,0)+if(R3&gt;=40,1,0),0)</f>
        <v>0</v>
      </c>
      <c r="W3" s="185">
        <f>if($A3&gt;Rankings!$Q$2,M3,0)</f>
        <v>0</v>
      </c>
      <c r="X3" s="186">
        <f>if($A3&gt;Rankings!$Q$2,N3,0)</f>
        <v>0</v>
      </c>
      <c r="Y3" s="81" t="str">
        <f t="shared" ref="Y3:Y127" si="3">if(countif(C3:H3,973),concatenate(973,"-",countif(C$3:H3,973)),"")</f>
        <v/>
      </c>
      <c r="Z3" s="77"/>
      <c r="AA3" s="84">
        <f>Avgs!A3</f>
        <v>1323</v>
      </c>
      <c r="AB3" s="188">
        <f t="shared" ref="AB3:AB102" si="4">sumif(C:C,AA3,U:U)+sumif(D:D,AA3,U:U)+sumif(E:E,AA3,U:U)+sumif(F:F,AA3,V:V)+sumif(G:G,AA3,V:V)+sumif(H:H,AA3,V:V)</f>
        <v>4</v>
      </c>
      <c r="AC3" s="188">
        <f t="array" ref="AC3">if(Rankings!$Q$6="n",0,index(Rankings!$C$3:$C127,match(AA3,Rankings!$B$3:$B127,0)))</f>
        <v>0</v>
      </c>
      <c r="AD3" s="188">
        <f t="shared" ref="AD3:AD102" si="5">sum(AB3:AC3)</f>
        <v>4</v>
      </c>
      <c r="AE3" s="188">
        <f t="shared" ref="AE3:AE102" si="6">sumif(C:C,AA3,W:W)+sumif(D:D,AA3,W:W)+sumif(E:E,AA3,W:W)+sumif(F:F,AA3,X:X)+sumif(G:G,AA3,X:X)+sumif(H:H,AA3,X:X)</f>
        <v>0</v>
      </c>
      <c r="AF3" s="188">
        <f t="array" ref="AF3">if(Rankings!$Q$6="n",0,index(Rankings!$D$3:$D127,match(AA3,Rankings!$B$3:$B127,0)))</f>
        <v>0</v>
      </c>
      <c r="AG3" s="188">
        <f t="shared" ref="AG3:AG102" si="7">sum(AE3:AF3)</f>
        <v>0</v>
      </c>
      <c r="AH3" s="188">
        <f t="shared" ref="AH3:AH102" si="8">if(isblank(AA3),-rand()*rand()*rand()*rand(),AD3+AG3/10000+AA3/100000000000)</f>
        <v>4.000000013</v>
      </c>
      <c r="AI3" s="188">
        <f t="shared" ref="AI3:AI102" si="9">rank(AH3,$AH$3:$AH$112)</f>
        <v>44</v>
      </c>
      <c r="AJ3" s="188">
        <f t="shared" ref="AJ3:AJ102" si="10">AA3</f>
        <v>1323</v>
      </c>
      <c r="AK3" s="188">
        <f t="shared" ref="AK3:AK102" si="11">AD3</f>
        <v>4</v>
      </c>
      <c r="AL3" s="188">
        <f t="shared" ref="AL3:AL102" si="12">AG3</f>
        <v>0</v>
      </c>
    </row>
    <row r="4">
      <c r="A4" s="83">
        <v>2.0</v>
      </c>
      <c r="B4" s="180" t="s">
        <v>383</v>
      </c>
      <c r="C4" s="189">
        <v>3045.0</v>
      </c>
      <c r="D4" s="181">
        <v>2493.0</v>
      </c>
      <c r="E4" s="181">
        <v>1323.0</v>
      </c>
      <c r="F4" s="182">
        <v>2761.0</v>
      </c>
      <c r="G4" s="182">
        <v>2085.0</v>
      </c>
      <c r="H4" s="182">
        <v>3303.0</v>
      </c>
      <c r="I4" s="183"/>
      <c r="J4" s="184"/>
      <c r="K4" s="185">
        <f t="array" ref="K4">if( Rankings!$Q$6="y",index(Avgs!B:B,match(C4,Avgs!A:A,0))+index(Avgs!B:B,match(D4,Avgs!A:A,0))+index(Avgs!B:B,match(E4,Avgs!A:A,0)),0)</f>
        <v>0</v>
      </c>
      <c r="L4" s="186">
        <f t="array" ref="L4">if( Rankings!$Q$6="y",index(Avgs!B:B,match(F4,Avgs!A:A,0))+index(Avgs!B:B,match(G4,Avgs!A:A,0))+index(Avgs!B:B,match(H4,Avgs!A:A,0)),0)</f>
        <v>0</v>
      </c>
      <c r="M4" s="187">
        <f>if( Rankings!$Q$6="y",K4,0)</f>
        <v>0</v>
      </c>
      <c r="N4" s="186">
        <f>if( Rankings!$Q$6="y",L4,0)</f>
        <v>0</v>
      </c>
      <c r="O4" s="185">
        <f t="array" ref="O4">if( Rankings!$Q$6="y",index(Avgs!Q:Q,match(C4,Avgs!A:A,0))+index(Avgs!Q:Q,match(D4,Avgs!A:A,0))+index(Avgs!Q:Q,match(E4,Avgs!A:A,0)),0)</f>
        <v>0</v>
      </c>
      <c r="P4" s="186">
        <f t="array" ref="P4">if( Rankings!$Q$6="y",index(Avgs!Q:Q,match(F4,Avgs!A:A,0))+index(Avgs!Q:Q,match(G4,Avgs!A:A,0))+index(Avgs!Q:Q,match(H4,Avgs!A:A,0)),0)</f>
        <v>0</v>
      </c>
      <c r="Q4" s="185">
        <f t="array" ref="Q4">if( Rankings!$Q$6="y",index(Avgs!P:P,match(C4,Avgs!A:A,0))+index(Avgs!P:P,match(D4,Avgs!A:A,0))+index(Avgs!P:P,match(E4,Avgs!A:A,0)),0)</f>
        <v>0</v>
      </c>
      <c r="R4" s="186">
        <f t="array" ref="R4">if( Rankings!$Q$6="y",index(Avgs!P:P,match(F4,Avgs!A:A,0))+index(Avgs!P:P,match(G4,Avgs!A:A,0))+index(Avgs!P:P,match(H4,Avgs!A:A,0)),0)</f>
        <v>0</v>
      </c>
      <c r="S4" s="188" t="str">
        <f t="shared" si="1"/>
        <v>tie</v>
      </c>
      <c r="T4" s="188" t="str">
        <f t="shared" si="2"/>
        <v>tie</v>
      </c>
      <c r="U4" s="185">
        <f>if($A4&gt;Rankings!$Q$2,if(S4="red",2,if(S4="tie",1,0))+if(O4&gt;=12,1,0)+if(Q4&gt;=40,1,0),0)</f>
        <v>0</v>
      </c>
      <c r="V4" s="186">
        <f>if($A4&gt;Rankings!$Q$2,if(S4="blue",2,if(S4="tie",1,0))+if(P4&gt;=12,1,0)+if(R4&gt;=40,1,0),0)</f>
        <v>0</v>
      </c>
      <c r="W4" s="185">
        <f>if($A4&gt;Rankings!$Q$2,M4,0)</f>
        <v>0</v>
      </c>
      <c r="X4" s="186">
        <f>if($A4&gt;Rankings!$Q$2,N4,0)</f>
        <v>0</v>
      </c>
      <c r="Y4" s="81" t="str">
        <f t="shared" si="3"/>
        <v/>
      </c>
      <c r="Z4" s="77"/>
      <c r="AA4" s="84">
        <f>Avgs!A4</f>
        <v>973</v>
      </c>
      <c r="AB4" s="188">
        <f t="shared" si="4"/>
        <v>5</v>
      </c>
      <c r="AC4" s="188">
        <f t="array" ref="AC4">if(Rankings!$Q$6="n",0,index(Rankings!$C$3:$C127,match(AA4,Rankings!$B$3:$B127,0)))</f>
        <v>0</v>
      </c>
      <c r="AD4" s="188">
        <f t="shared" si="5"/>
        <v>5</v>
      </c>
      <c r="AE4" s="188">
        <f t="shared" si="6"/>
        <v>0</v>
      </c>
      <c r="AF4" s="188">
        <f t="array" ref="AF4">if(Rankings!$Q$6="n",0,index(Rankings!$D$3:$D127,match(AA4,Rankings!$B$3:$B127,0)))</f>
        <v>0</v>
      </c>
      <c r="AG4" s="188">
        <f t="shared" si="7"/>
        <v>0</v>
      </c>
      <c r="AH4" s="188">
        <f t="shared" si="8"/>
        <v>5.00000001</v>
      </c>
      <c r="AI4" s="188">
        <f t="shared" si="9"/>
        <v>24</v>
      </c>
      <c r="AJ4" s="188">
        <f t="shared" si="10"/>
        <v>973</v>
      </c>
      <c r="AK4" s="188">
        <f t="shared" si="11"/>
        <v>5</v>
      </c>
      <c r="AL4" s="188">
        <f t="shared" si="12"/>
        <v>0</v>
      </c>
    </row>
    <row r="5">
      <c r="A5" s="83">
        <v>3.0</v>
      </c>
      <c r="B5" s="180" t="s">
        <v>384</v>
      </c>
      <c r="C5" s="181">
        <v>1388.0</v>
      </c>
      <c r="D5" s="181">
        <v>5852.0</v>
      </c>
      <c r="E5" s="181">
        <v>6619.0</v>
      </c>
      <c r="F5" s="182">
        <v>6657.0</v>
      </c>
      <c r="G5" s="182">
        <v>3256.0</v>
      </c>
      <c r="H5" s="182">
        <v>2367.0</v>
      </c>
      <c r="I5" s="183"/>
      <c r="J5" s="184"/>
      <c r="K5" s="185">
        <f t="array" ref="K5">if( Rankings!$Q$6="y",index(Avgs!B:B,match(C5,Avgs!A:A,0))+index(Avgs!B:B,match(D5,Avgs!A:A,0))+index(Avgs!B:B,match(E5,Avgs!A:A,0)),0)</f>
        <v>0</v>
      </c>
      <c r="L5" s="186">
        <f t="array" ref="L5">if( Rankings!$Q$6="y",index(Avgs!B:B,match(F5,Avgs!A:A,0))+index(Avgs!B:B,match(G5,Avgs!A:A,0))+index(Avgs!B:B,match(H5,Avgs!A:A,0)),0)</f>
        <v>0</v>
      </c>
      <c r="M5" s="187">
        <f>if( Rankings!$Q$6="y",K5,0)</f>
        <v>0</v>
      </c>
      <c r="N5" s="186">
        <f>if( Rankings!$Q$6="y",L5,0)</f>
        <v>0</v>
      </c>
      <c r="O5" s="185">
        <f t="array" ref="O5">if( Rankings!$Q$6="y",index(Avgs!Q:Q,match(C5,Avgs!A:A,0))+index(Avgs!Q:Q,match(D5,Avgs!A:A,0))+index(Avgs!Q:Q,match(E5,Avgs!A:A,0)),0)</f>
        <v>0</v>
      </c>
      <c r="P5" s="186">
        <f t="array" ref="P5">if( Rankings!$Q$6="y",index(Avgs!Q:Q,match(F5,Avgs!A:A,0))+index(Avgs!Q:Q,match(G5,Avgs!A:A,0))+index(Avgs!Q:Q,match(H5,Avgs!A:A,0)),0)</f>
        <v>0</v>
      </c>
      <c r="Q5" s="185">
        <f t="array" ref="Q5">if( Rankings!$Q$6="y",index(Avgs!P:P,match(C5,Avgs!A:A,0))+index(Avgs!P:P,match(D5,Avgs!A:A,0))+index(Avgs!P:P,match(E5,Avgs!A:A,0)),0)</f>
        <v>0</v>
      </c>
      <c r="R5" s="186">
        <f t="array" ref="R5">if( Rankings!$Q$6="y",index(Avgs!P:P,match(F5,Avgs!A:A,0))+index(Avgs!P:P,match(G5,Avgs!A:A,0))+index(Avgs!P:P,match(H5,Avgs!A:A,0)),0)</f>
        <v>0</v>
      </c>
      <c r="S5" s="188" t="str">
        <f t="shared" si="1"/>
        <v>tie</v>
      </c>
      <c r="T5" s="188" t="str">
        <f t="shared" si="2"/>
        <v>tie</v>
      </c>
      <c r="U5" s="185">
        <f>if($A5&gt;Rankings!$Q$2,if(S5="red",2,if(S5="tie",1,0))+if(O5&gt;=12,1,0)+if(Q5&gt;=40,1,0),0)</f>
        <v>0</v>
      </c>
      <c r="V5" s="186">
        <f>if($A5&gt;Rankings!$Q$2,if(S5="blue",2,if(S5="tie",1,0))+if(P5&gt;=12,1,0)+if(R5&gt;=40,1,0),0)</f>
        <v>0</v>
      </c>
      <c r="W5" s="185">
        <f>if($A5&gt;Rankings!$Q$2,M5,0)</f>
        <v>0</v>
      </c>
      <c r="X5" s="186">
        <f>if($A5&gt;Rankings!$Q$2,N5,0)</f>
        <v>0</v>
      </c>
      <c r="Y5" s="81" t="str">
        <f t="shared" si="3"/>
        <v/>
      </c>
      <c r="Z5" s="77"/>
      <c r="AA5" s="84">
        <f>Avgs!A5</f>
        <v>751</v>
      </c>
      <c r="AB5" s="188">
        <f t="shared" si="4"/>
        <v>4</v>
      </c>
      <c r="AC5" s="188">
        <f t="array" ref="AC5">if(Rankings!$Q$6="n",0,index(Rankings!$C$3:$C127,match(AA5,Rankings!$B$3:$B127,0)))</f>
        <v>0</v>
      </c>
      <c r="AD5" s="188">
        <f t="shared" si="5"/>
        <v>4</v>
      </c>
      <c r="AE5" s="188">
        <f t="shared" si="6"/>
        <v>0</v>
      </c>
      <c r="AF5" s="188">
        <f t="array" ref="AF5">if(Rankings!$Q$6="n",0,index(Rankings!$D$3:$D127,match(AA5,Rankings!$B$3:$B127,0)))</f>
        <v>0</v>
      </c>
      <c r="AG5" s="188">
        <f t="shared" si="7"/>
        <v>0</v>
      </c>
      <c r="AH5" s="188">
        <f t="shared" si="8"/>
        <v>4.000000008</v>
      </c>
      <c r="AI5" s="188">
        <f t="shared" si="9"/>
        <v>45</v>
      </c>
      <c r="AJ5" s="188">
        <f t="shared" si="10"/>
        <v>751</v>
      </c>
      <c r="AK5" s="188">
        <f t="shared" si="11"/>
        <v>4</v>
      </c>
      <c r="AL5" s="188">
        <f t="shared" si="12"/>
        <v>0</v>
      </c>
    </row>
    <row r="6">
      <c r="A6" s="83">
        <v>4.0</v>
      </c>
      <c r="B6" s="180" t="s">
        <v>385</v>
      </c>
      <c r="C6" s="181">
        <v>1422.0</v>
      </c>
      <c r="D6" s="181">
        <v>2813.0</v>
      </c>
      <c r="E6" s="181">
        <v>4276.0</v>
      </c>
      <c r="F6" s="182">
        <v>5104.0</v>
      </c>
      <c r="G6" s="182">
        <v>6650.0</v>
      </c>
      <c r="H6" s="182">
        <v>6711.0</v>
      </c>
      <c r="I6" s="183"/>
      <c r="J6" s="184"/>
      <c r="K6" s="185">
        <f t="array" ref="K6">if( Rankings!$Q$6="y",index(Avgs!B:B,match(C6,Avgs!A:A,0))+index(Avgs!B:B,match(D6,Avgs!A:A,0))+index(Avgs!B:B,match(E6,Avgs!A:A,0)),0)</f>
        <v>0</v>
      </c>
      <c r="L6" s="186">
        <f t="array" ref="L6">if( Rankings!$Q$6="y",index(Avgs!B:B,match(F6,Avgs!A:A,0))+index(Avgs!B:B,match(G6,Avgs!A:A,0))+index(Avgs!B:B,match(H6,Avgs!A:A,0)),0)</f>
        <v>0</v>
      </c>
      <c r="M6" s="187">
        <f>if( Rankings!$Q$6="y",K6,0)</f>
        <v>0</v>
      </c>
      <c r="N6" s="186">
        <f>if( Rankings!$Q$6="y",L6,0)</f>
        <v>0</v>
      </c>
      <c r="O6" s="185">
        <f t="array" ref="O6">if( Rankings!$Q$6="y",index(Avgs!Q:Q,match(C6,Avgs!A:A,0))+index(Avgs!Q:Q,match(D6,Avgs!A:A,0))+index(Avgs!Q:Q,match(E6,Avgs!A:A,0)),0)</f>
        <v>0</v>
      </c>
      <c r="P6" s="186">
        <f t="array" ref="P6">if( Rankings!$Q$6="y",index(Avgs!Q:Q,match(F6,Avgs!A:A,0))+index(Avgs!Q:Q,match(G6,Avgs!A:A,0))+index(Avgs!Q:Q,match(H6,Avgs!A:A,0)),0)</f>
        <v>0</v>
      </c>
      <c r="Q6" s="185">
        <f t="array" ref="Q6">if( Rankings!$Q$6="y",index(Avgs!P:P,match(C6,Avgs!A:A,0))+index(Avgs!P:P,match(D6,Avgs!A:A,0))+index(Avgs!P:P,match(E6,Avgs!A:A,0)),0)</f>
        <v>0</v>
      </c>
      <c r="R6" s="186">
        <f t="array" ref="R6">if( Rankings!$Q$6="y",index(Avgs!P:P,match(F6,Avgs!A:A,0))+index(Avgs!P:P,match(G6,Avgs!A:A,0))+index(Avgs!P:P,match(H6,Avgs!A:A,0)),0)</f>
        <v>0</v>
      </c>
      <c r="S6" s="188" t="str">
        <f t="shared" si="1"/>
        <v>tie</v>
      </c>
      <c r="T6" s="188" t="str">
        <f t="shared" si="2"/>
        <v>tie</v>
      </c>
      <c r="U6" s="185">
        <f>if($A6&gt;Rankings!$Q$2,if(S6="red",2,if(S6="tie",1,0))+if(O6&gt;=12,1,0)+if(Q6&gt;=40,1,0),0)</f>
        <v>0</v>
      </c>
      <c r="V6" s="186">
        <f>if($A6&gt;Rankings!$Q$2,if(S6="blue",2,if(S6="tie",1,0))+if(P6&gt;=12,1,0)+if(R6&gt;=40,1,0),0)</f>
        <v>0</v>
      </c>
      <c r="W6" s="185">
        <f>if($A6&gt;Rankings!$Q$2,M6,0)</f>
        <v>0</v>
      </c>
      <c r="X6" s="186">
        <f>if($A6&gt;Rankings!$Q$2,N6,0)</f>
        <v>0</v>
      </c>
      <c r="Y6" s="81" t="str">
        <f t="shared" si="3"/>
        <v/>
      </c>
      <c r="Z6" s="77"/>
      <c r="AA6" s="84">
        <f>Avgs!A6</f>
        <v>4643</v>
      </c>
      <c r="AB6" s="188">
        <f t="shared" si="4"/>
        <v>4</v>
      </c>
      <c r="AC6" s="188">
        <f t="array" ref="AC6">if(Rankings!$Q$6="n",0,index(Rankings!$C$3:$C127,match(AA6,Rankings!$B$3:$B127,0)))</f>
        <v>0</v>
      </c>
      <c r="AD6" s="188">
        <f t="shared" si="5"/>
        <v>4</v>
      </c>
      <c r="AE6" s="188">
        <f t="shared" si="6"/>
        <v>0</v>
      </c>
      <c r="AF6" s="188">
        <f t="array" ref="AF6">if(Rankings!$Q$6="n",0,index(Rankings!$D$3:$D127,match(AA6,Rankings!$B$3:$B127,0)))</f>
        <v>0</v>
      </c>
      <c r="AG6" s="188">
        <f t="shared" si="7"/>
        <v>0</v>
      </c>
      <c r="AH6" s="188">
        <f t="shared" si="8"/>
        <v>4.000000046</v>
      </c>
      <c r="AI6" s="188">
        <f t="shared" si="9"/>
        <v>35</v>
      </c>
      <c r="AJ6" s="188">
        <f t="shared" si="10"/>
        <v>4643</v>
      </c>
      <c r="AK6" s="188">
        <f t="shared" si="11"/>
        <v>4</v>
      </c>
      <c r="AL6" s="188">
        <f t="shared" si="12"/>
        <v>0</v>
      </c>
    </row>
    <row r="7">
      <c r="A7" s="83">
        <v>5.0</v>
      </c>
      <c r="B7" s="180" t="s">
        <v>386</v>
      </c>
      <c r="C7" s="181">
        <v>4543.0</v>
      </c>
      <c r="D7" s="181">
        <v>5677.0</v>
      </c>
      <c r="E7" s="181">
        <v>973.0</v>
      </c>
      <c r="F7" s="182">
        <v>3495.0</v>
      </c>
      <c r="G7" s="182">
        <v>3189.0</v>
      </c>
      <c r="H7" s="182">
        <v>1671.0</v>
      </c>
      <c r="I7" s="183"/>
      <c r="J7" s="184"/>
      <c r="K7" s="185">
        <f t="array" ref="K7">if( Rankings!$Q$6="y",index(Avgs!B:B,match(C7,Avgs!A:A,0))+index(Avgs!B:B,match(D7,Avgs!A:A,0))+index(Avgs!B:B,match(E7,Avgs!A:A,0)),0)</f>
        <v>0</v>
      </c>
      <c r="L7" s="186">
        <f t="array" ref="L7">if( Rankings!$Q$6="y",index(Avgs!B:B,match(F7,Avgs!A:A,0))+index(Avgs!B:B,match(G7,Avgs!A:A,0))+index(Avgs!B:B,match(H7,Avgs!A:A,0)),0)</f>
        <v>0</v>
      </c>
      <c r="M7" s="187">
        <f>if( Rankings!$Q$6="y",K7,0)</f>
        <v>0</v>
      </c>
      <c r="N7" s="186">
        <f>if( Rankings!$Q$6="y",L7,0)</f>
        <v>0</v>
      </c>
      <c r="O7" s="185">
        <f t="array" ref="O7">if( Rankings!$Q$6="y",index(Avgs!Q:Q,match(C7,Avgs!A:A,0))+index(Avgs!Q:Q,match(D7,Avgs!A:A,0))+index(Avgs!Q:Q,match(E7,Avgs!A:A,0)),0)</f>
        <v>0</v>
      </c>
      <c r="P7" s="186">
        <f t="array" ref="P7">if( Rankings!$Q$6="y",index(Avgs!Q:Q,match(F7,Avgs!A:A,0))+index(Avgs!Q:Q,match(G7,Avgs!A:A,0))+index(Avgs!Q:Q,match(H7,Avgs!A:A,0)),0)</f>
        <v>0</v>
      </c>
      <c r="Q7" s="185">
        <f t="array" ref="Q7">if( Rankings!$Q$6="y",index(Avgs!P:P,match(C7,Avgs!A:A,0))+index(Avgs!P:P,match(D7,Avgs!A:A,0))+index(Avgs!P:P,match(E7,Avgs!A:A,0)),0)</f>
        <v>0</v>
      </c>
      <c r="R7" s="186">
        <f t="array" ref="R7">if( Rankings!$Q$6="y",index(Avgs!P:P,match(F7,Avgs!A:A,0))+index(Avgs!P:P,match(G7,Avgs!A:A,0))+index(Avgs!P:P,match(H7,Avgs!A:A,0)),0)</f>
        <v>0</v>
      </c>
      <c r="S7" s="188" t="str">
        <f t="shared" si="1"/>
        <v>tie</v>
      </c>
      <c r="T7" s="188" t="str">
        <f t="shared" si="2"/>
        <v>tie</v>
      </c>
      <c r="U7" s="185">
        <f>if($A7&gt;Rankings!$Q$2,if(S7="red",2,if(S7="tie",1,0))+if(O7&gt;=12,1,0)+if(Q7&gt;=40,1,0),0)</f>
        <v>0</v>
      </c>
      <c r="V7" s="186">
        <f>if($A7&gt;Rankings!$Q$2,if(S7="blue",2,if(S7="tie",1,0))+if(P7&gt;=12,1,0)+if(R7&gt;=40,1,0),0)</f>
        <v>0</v>
      </c>
      <c r="W7" s="185">
        <f>if($A7&gt;Rankings!$Q$2,M7,0)</f>
        <v>0</v>
      </c>
      <c r="X7" s="186">
        <f>if($A7&gt;Rankings!$Q$2,N7,0)</f>
        <v>0</v>
      </c>
      <c r="Y7" s="81" t="str">
        <f t="shared" si="3"/>
        <v>973-1</v>
      </c>
      <c r="Z7" s="77"/>
      <c r="AA7" s="84">
        <f>Avgs!A7</f>
        <v>4415</v>
      </c>
      <c r="AB7" s="188">
        <f t="shared" si="4"/>
        <v>4</v>
      </c>
      <c r="AC7" s="188">
        <f t="array" ref="AC7">if(Rankings!$Q$6="n",0,index(Rankings!$C$3:$C127,match(AA7,Rankings!$B$3:$B127,0)))</f>
        <v>0</v>
      </c>
      <c r="AD7" s="188">
        <f t="shared" si="5"/>
        <v>4</v>
      </c>
      <c r="AE7" s="188">
        <f t="shared" si="6"/>
        <v>0</v>
      </c>
      <c r="AF7" s="188">
        <f t="array" ref="AF7">if(Rankings!$Q$6="n",0,index(Rankings!$D$3:$D127,match(AA7,Rankings!$B$3:$B127,0)))</f>
        <v>0</v>
      </c>
      <c r="AG7" s="188">
        <f t="shared" si="7"/>
        <v>0</v>
      </c>
      <c r="AH7" s="188">
        <f t="shared" si="8"/>
        <v>4.000000044</v>
      </c>
      <c r="AI7" s="188">
        <f t="shared" si="9"/>
        <v>36</v>
      </c>
      <c r="AJ7" s="188">
        <f t="shared" si="10"/>
        <v>4415</v>
      </c>
      <c r="AK7" s="188">
        <f t="shared" si="11"/>
        <v>4</v>
      </c>
      <c r="AL7" s="188">
        <f t="shared" si="12"/>
        <v>0</v>
      </c>
    </row>
    <row r="8">
      <c r="A8" s="83">
        <v>6.0</v>
      </c>
      <c r="B8" s="180" t="s">
        <v>387</v>
      </c>
      <c r="C8" s="181">
        <v>1868.0</v>
      </c>
      <c r="D8" s="181">
        <v>2135.0</v>
      </c>
      <c r="E8" s="181">
        <v>751.0</v>
      </c>
      <c r="F8" s="182">
        <v>1662.0</v>
      </c>
      <c r="G8" s="182">
        <v>1072.0</v>
      </c>
      <c r="H8" s="182">
        <v>852.0</v>
      </c>
      <c r="I8" s="183"/>
      <c r="J8" s="184"/>
      <c r="K8" s="185">
        <f t="array" ref="K8">if( Rankings!$Q$6="y",index(Avgs!B:B,match(C8,Avgs!A:A,0))+index(Avgs!B:B,match(D8,Avgs!A:A,0))+index(Avgs!B:B,match(E8,Avgs!A:A,0)),0)</f>
        <v>0</v>
      </c>
      <c r="L8" s="186">
        <f t="array" ref="L8">if( Rankings!$Q$6="y",index(Avgs!B:B,match(F8,Avgs!A:A,0))+index(Avgs!B:B,match(G8,Avgs!A:A,0))+index(Avgs!B:B,match(H8,Avgs!A:A,0)),0)</f>
        <v>0</v>
      </c>
      <c r="M8" s="187">
        <f>if( Rankings!$Q$6="y",K8,0)</f>
        <v>0</v>
      </c>
      <c r="N8" s="186">
        <f>if( Rankings!$Q$6="y",L8,0)</f>
        <v>0</v>
      </c>
      <c r="O8" s="185">
        <f t="array" ref="O8">if( Rankings!$Q$6="y",index(Avgs!Q:Q,match(C8,Avgs!A:A,0))+index(Avgs!Q:Q,match(D8,Avgs!A:A,0))+index(Avgs!Q:Q,match(E8,Avgs!A:A,0)),0)</f>
        <v>0</v>
      </c>
      <c r="P8" s="186">
        <f t="array" ref="P8">if( Rankings!$Q$6="y",index(Avgs!Q:Q,match(F8,Avgs!A:A,0))+index(Avgs!Q:Q,match(G8,Avgs!A:A,0))+index(Avgs!Q:Q,match(H8,Avgs!A:A,0)),0)</f>
        <v>0</v>
      </c>
      <c r="Q8" s="185">
        <f t="array" ref="Q8">if( Rankings!$Q$6="y",index(Avgs!P:P,match(C8,Avgs!A:A,0))+index(Avgs!P:P,match(D8,Avgs!A:A,0))+index(Avgs!P:P,match(E8,Avgs!A:A,0)),0)</f>
        <v>0</v>
      </c>
      <c r="R8" s="186">
        <f t="array" ref="R8">if( Rankings!$Q$6="y",index(Avgs!P:P,match(F8,Avgs!A:A,0))+index(Avgs!P:P,match(G8,Avgs!A:A,0))+index(Avgs!P:P,match(H8,Avgs!A:A,0)),0)</f>
        <v>0</v>
      </c>
      <c r="S8" s="188" t="str">
        <f t="shared" si="1"/>
        <v>tie</v>
      </c>
      <c r="T8" s="188" t="str">
        <f t="shared" si="2"/>
        <v>tie</v>
      </c>
      <c r="U8" s="185">
        <f>if($A8&gt;Rankings!$Q$2,if(S8="red",2,if(S8="tie",1,0))+if(O8&gt;=12,1,0)+if(Q8&gt;=40,1,0),0)</f>
        <v>0</v>
      </c>
      <c r="V8" s="186">
        <f>if($A8&gt;Rankings!$Q$2,if(S8="blue",2,if(S8="tie",1,0))+if(P8&gt;=12,1,0)+if(R8&gt;=40,1,0),0)</f>
        <v>0</v>
      </c>
      <c r="W8" s="185">
        <f>if($A8&gt;Rankings!$Q$2,M8,0)</f>
        <v>0</v>
      </c>
      <c r="X8" s="186">
        <f>if($A8&gt;Rankings!$Q$2,N8,0)</f>
        <v>0</v>
      </c>
      <c r="Y8" s="81" t="str">
        <f t="shared" si="3"/>
        <v/>
      </c>
      <c r="Z8" s="77"/>
      <c r="AA8" s="84">
        <f>Avgs!A8</f>
        <v>4276</v>
      </c>
      <c r="AB8" s="188">
        <f t="shared" si="4"/>
        <v>5</v>
      </c>
      <c r="AC8" s="188">
        <f t="array" ref="AC8">if(Rankings!$Q$6="n",0,index(Rankings!$C$3:$C127,match(AA8,Rankings!$B$3:$B127,0)))</f>
        <v>0</v>
      </c>
      <c r="AD8" s="188">
        <f t="shared" si="5"/>
        <v>5</v>
      </c>
      <c r="AE8" s="188">
        <f t="shared" si="6"/>
        <v>0</v>
      </c>
      <c r="AF8" s="188">
        <f t="array" ref="AF8">if(Rankings!$Q$6="n",0,index(Rankings!$D$3:$D127,match(AA8,Rankings!$B$3:$B127,0)))</f>
        <v>0</v>
      </c>
      <c r="AG8" s="188">
        <f t="shared" si="7"/>
        <v>0</v>
      </c>
      <c r="AH8" s="188">
        <f t="shared" si="8"/>
        <v>5.000000043</v>
      </c>
      <c r="AI8" s="188">
        <f t="shared" si="9"/>
        <v>8</v>
      </c>
      <c r="AJ8" s="188">
        <f t="shared" si="10"/>
        <v>4276</v>
      </c>
      <c r="AK8" s="188">
        <f t="shared" si="11"/>
        <v>5</v>
      </c>
      <c r="AL8" s="188">
        <f t="shared" si="12"/>
        <v>0</v>
      </c>
    </row>
    <row r="9">
      <c r="A9" s="83">
        <v>7.0</v>
      </c>
      <c r="B9" s="180" t="s">
        <v>388</v>
      </c>
      <c r="C9" s="181">
        <v>972.0</v>
      </c>
      <c r="D9" s="181">
        <v>4643.0</v>
      </c>
      <c r="E9" s="181">
        <v>4415.0</v>
      </c>
      <c r="F9" s="182">
        <v>687.0</v>
      </c>
      <c r="G9" s="182">
        <v>980.0</v>
      </c>
      <c r="H9" s="182">
        <v>6059.0</v>
      </c>
      <c r="I9" s="183"/>
      <c r="J9" s="184"/>
      <c r="K9" s="185">
        <f t="array" ref="K9">if( Rankings!$Q$6="y",index(Avgs!B:B,match(C9,Avgs!A:A,0))+index(Avgs!B:B,match(D9,Avgs!A:A,0))+index(Avgs!B:B,match(E9,Avgs!A:A,0)),0)</f>
        <v>0</v>
      </c>
      <c r="L9" s="186">
        <f t="array" ref="L9">if( Rankings!$Q$6="y",index(Avgs!B:B,match(F9,Avgs!A:A,0))+index(Avgs!B:B,match(G9,Avgs!A:A,0))+index(Avgs!B:B,match(H9,Avgs!A:A,0)),0)</f>
        <v>0</v>
      </c>
      <c r="M9" s="187">
        <f>if( Rankings!$Q$6="y",K9,0)</f>
        <v>0</v>
      </c>
      <c r="N9" s="186">
        <f>if( Rankings!$Q$6="y",L9,0)</f>
        <v>0</v>
      </c>
      <c r="O9" s="185">
        <f t="array" ref="O9">if( Rankings!$Q$6="y",index(Avgs!Q:Q,match(C9,Avgs!A:A,0))+index(Avgs!Q:Q,match(D9,Avgs!A:A,0))+index(Avgs!Q:Q,match(E9,Avgs!A:A,0)),0)</f>
        <v>0</v>
      </c>
      <c r="P9" s="186">
        <f t="array" ref="P9">if( Rankings!$Q$6="y",index(Avgs!Q:Q,match(F9,Avgs!A:A,0))+index(Avgs!Q:Q,match(G9,Avgs!A:A,0))+index(Avgs!Q:Q,match(H9,Avgs!A:A,0)),0)</f>
        <v>0</v>
      </c>
      <c r="Q9" s="185">
        <f t="array" ref="Q9">if( Rankings!$Q$6="y",index(Avgs!P:P,match(C9,Avgs!A:A,0))+index(Avgs!P:P,match(D9,Avgs!A:A,0))+index(Avgs!P:P,match(E9,Avgs!A:A,0)),0)</f>
        <v>0</v>
      </c>
      <c r="R9" s="186">
        <f t="array" ref="R9">if( Rankings!$Q$6="y",index(Avgs!P:P,match(F9,Avgs!A:A,0))+index(Avgs!P:P,match(G9,Avgs!A:A,0))+index(Avgs!P:P,match(H9,Avgs!A:A,0)),0)</f>
        <v>0</v>
      </c>
      <c r="S9" s="188" t="str">
        <f t="shared" si="1"/>
        <v>tie</v>
      </c>
      <c r="T9" s="188" t="str">
        <f t="shared" si="2"/>
        <v>tie</v>
      </c>
      <c r="U9" s="185">
        <f>if($A9&gt;Rankings!$Q$2,if(S9="red",2,if(S9="tie",1,0))+if(O9&gt;=12,1,0)+if(Q9&gt;=40,1,0),0)</f>
        <v>0</v>
      </c>
      <c r="V9" s="186">
        <f>if($A9&gt;Rankings!$Q$2,if(S9="blue",2,if(S9="tie",1,0))+if(P9&gt;=12,1,0)+if(R9&gt;=40,1,0),0)</f>
        <v>0</v>
      </c>
      <c r="W9" s="185">
        <f>if($A9&gt;Rankings!$Q$2,M9,0)</f>
        <v>0</v>
      </c>
      <c r="X9" s="186">
        <f>if($A9&gt;Rankings!$Q$2,N9,0)</f>
        <v>0</v>
      </c>
      <c r="Y9" s="81" t="str">
        <f t="shared" si="3"/>
        <v/>
      </c>
      <c r="Z9" s="77"/>
      <c r="AA9" s="84">
        <f>Avgs!A9</f>
        <v>5817</v>
      </c>
      <c r="AB9" s="188">
        <f t="shared" si="4"/>
        <v>5</v>
      </c>
      <c r="AC9" s="188">
        <f t="array" ref="AC9">if(Rankings!$Q$6="n",0,index(Rankings!$C$3:$C127,match(AA9,Rankings!$B$3:$B127,0)))</f>
        <v>0</v>
      </c>
      <c r="AD9" s="188">
        <f t="shared" si="5"/>
        <v>5</v>
      </c>
      <c r="AE9" s="188">
        <f t="shared" si="6"/>
        <v>0</v>
      </c>
      <c r="AF9" s="188">
        <f t="array" ref="AF9">if(Rankings!$Q$6="n",0,index(Rankings!$D$3:$D127,match(AA9,Rankings!$B$3:$B127,0)))</f>
        <v>0</v>
      </c>
      <c r="AG9" s="188">
        <f t="shared" si="7"/>
        <v>0</v>
      </c>
      <c r="AH9" s="188">
        <f t="shared" si="8"/>
        <v>5.000000058</v>
      </c>
      <c r="AI9" s="188">
        <f t="shared" si="9"/>
        <v>6</v>
      </c>
      <c r="AJ9" s="188">
        <f t="shared" si="10"/>
        <v>5817</v>
      </c>
      <c r="AK9" s="188">
        <f t="shared" si="11"/>
        <v>5</v>
      </c>
      <c r="AL9" s="188">
        <f t="shared" si="12"/>
        <v>0</v>
      </c>
    </row>
    <row r="10">
      <c r="A10" s="83">
        <v>8.0</v>
      </c>
      <c r="B10" s="180" t="s">
        <v>389</v>
      </c>
      <c r="C10" s="181">
        <v>1678.0</v>
      </c>
      <c r="D10" s="181">
        <v>3501.0</v>
      </c>
      <c r="E10" s="181">
        <v>6305.0</v>
      </c>
      <c r="F10" s="182">
        <v>670.0</v>
      </c>
      <c r="G10" s="182">
        <v>3970.0</v>
      </c>
      <c r="H10" s="182">
        <v>5134.0</v>
      </c>
      <c r="I10" s="183"/>
      <c r="J10" s="184"/>
      <c r="K10" s="185">
        <f t="array" ref="K10">if( Rankings!$Q$6="y",index(Avgs!B:B,match(C10,Avgs!A:A,0))+index(Avgs!B:B,match(D10,Avgs!A:A,0))+index(Avgs!B:B,match(E10,Avgs!A:A,0)),0)</f>
        <v>0</v>
      </c>
      <c r="L10" s="186">
        <f t="array" ref="L10">if( Rankings!$Q$6="y",index(Avgs!B:B,match(F10,Avgs!A:A,0))+index(Avgs!B:B,match(G10,Avgs!A:A,0))+index(Avgs!B:B,match(H10,Avgs!A:A,0)),0)</f>
        <v>0</v>
      </c>
      <c r="M10" s="187">
        <f>if( Rankings!$Q$6="y",K10,0)</f>
        <v>0</v>
      </c>
      <c r="N10" s="186">
        <f>if( Rankings!$Q$6="y",L10,0)</f>
        <v>0</v>
      </c>
      <c r="O10" s="185">
        <f t="array" ref="O10">if( Rankings!$Q$6="y",index(Avgs!Q:Q,match(C10,Avgs!A:A,0))+index(Avgs!Q:Q,match(D10,Avgs!A:A,0))+index(Avgs!Q:Q,match(E10,Avgs!A:A,0)),0)</f>
        <v>0</v>
      </c>
      <c r="P10" s="186">
        <f t="array" ref="P10">if( Rankings!$Q$6="y",index(Avgs!Q:Q,match(F10,Avgs!A:A,0))+index(Avgs!Q:Q,match(G10,Avgs!A:A,0))+index(Avgs!Q:Q,match(H10,Avgs!A:A,0)),0)</f>
        <v>0</v>
      </c>
      <c r="Q10" s="185">
        <f t="array" ref="Q10">if( Rankings!$Q$6="y",index(Avgs!P:P,match(C10,Avgs!A:A,0))+index(Avgs!P:P,match(D10,Avgs!A:A,0))+index(Avgs!P:P,match(E10,Avgs!A:A,0)),0)</f>
        <v>0</v>
      </c>
      <c r="R10" s="186">
        <f t="array" ref="R10">if( Rankings!$Q$6="y",index(Avgs!P:P,match(F10,Avgs!A:A,0))+index(Avgs!P:P,match(G10,Avgs!A:A,0))+index(Avgs!P:P,match(H10,Avgs!A:A,0)),0)</f>
        <v>0</v>
      </c>
      <c r="S10" s="188" t="str">
        <f t="shared" si="1"/>
        <v>tie</v>
      </c>
      <c r="T10" s="188" t="str">
        <f t="shared" si="2"/>
        <v>tie</v>
      </c>
      <c r="U10" s="185">
        <f>if($A10&gt;Rankings!$Q$2,if(S10="red",2,if(S10="tie",1,0))+if(O10&gt;=12,1,0)+if(Q10&gt;=40,1,0),0)</f>
        <v>0</v>
      </c>
      <c r="V10" s="186">
        <f>if($A10&gt;Rankings!$Q$2,if(S10="blue",2,if(S10="tie",1,0))+if(P10&gt;=12,1,0)+if(R10&gt;=40,1,0),0)</f>
        <v>0</v>
      </c>
      <c r="W10" s="185">
        <f>if($A10&gt;Rankings!$Q$2,M10,0)</f>
        <v>0</v>
      </c>
      <c r="X10" s="186">
        <f>if($A10&gt;Rankings!$Q$2,N10,0)</f>
        <v>0</v>
      </c>
      <c r="Y10" s="81" t="str">
        <f t="shared" si="3"/>
        <v/>
      </c>
      <c r="Z10" s="77"/>
      <c r="AA10" s="84">
        <f>Avgs!A10</f>
        <v>1678</v>
      </c>
      <c r="AB10" s="188">
        <f t="shared" si="4"/>
        <v>5</v>
      </c>
      <c r="AC10" s="188">
        <f t="array" ref="AC10">if(Rankings!$Q$6="n",0,index(Rankings!$C$3:$C127,match(AA10,Rankings!$B$3:$B127,0)))</f>
        <v>0</v>
      </c>
      <c r="AD10" s="188">
        <f t="shared" si="5"/>
        <v>5</v>
      </c>
      <c r="AE10" s="188">
        <f t="shared" si="6"/>
        <v>0</v>
      </c>
      <c r="AF10" s="188">
        <f t="array" ref="AF10">if(Rankings!$Q$6="n",0,index(Rankings!$D$3:$D127,match(AA10,Rankings!$B$3:$B127,0)))</f>
        <v>0</v>
      </c>
      <c r="AG10" s="188">
        <f t="shared" si="7"/>
        <v>0</v>
      </c>
      <c r="AH10" s="188">
        <f t="shared" si="8"/>
        <v>5.000000017</v>
      </c>
      <c r="AI10" s="188">
        <f t="shared" si="9"/>
        <v>18</v>
      </c>
      <c r="AJ10" s="188">
        <f t="shared" si="10"/>
        <v>1678</v>
      </c>
      <c r="AK10" s="188">
        <f t="shared" si="11"/>
        <v>5</v>
      </c>
      <c r="AL10" s="188">
        <f t="shared" si="12"/>
        <v>0</v>
      </c>
    </row>
    <row r="11">
      <c r="A11" s="83">
        <v>9.0</v>
      </c>
      <c r="B11" s="180" t="s">
        <v>390</v>
      </c>
      <c r="C11" s="181">
        <v>751.0</v>
      </c>
      <c r="D11" s="181">
        <v>5104.0</v>
      </c>
      <c r="E11" s="181">
        <v>973.0</v>
      </c>
      <c r="F11" s="182">
        <v>2135.0</v>
      </c>
      <c r="G11" s="182">
        <v>4543.0</v>
      </c>
      <c r="H11" s="182">
        <v>2085.0</v>
      </c>
      <c r="I11" s="183"/>
      <c r="J11" s="184"/>
      <c r="K11" s="185">
        <f t="array" ref="K11">if( Rankings!$Q$6="y",index(Avgs!B:B,match(C11,Avgs!A:A,0))+index(Avgs!B:B,match(D11,Avgs!A:A,0))+index(Avgs!B:B,match(E11,Avgs!A:A,0)),0)</f>
        <v>0</v>
      </c>
      <c r="L11" s="186">
        <f t="array" ref="L11">if( Rankings!$Q$6="y",index(Avgs!B:B,match(F11,Avgs!A:A,0))+index(Avgs!B:B,match(G11,Avgs!A:A,0))+index(Avgs!B:B,match(H11,Avgs!A:A,0)),0)</f>
        <v>0</v>
      </c>
      <c r="M11" s="187">
        <f>if( Rankings!$Q$6="y",K11,0)</f>
        <v>0</v>
      </c>
      <c r="N11" s="186">
        <f>if( Rankings!$Q$6="y",L11,0)</f>
        <v>0</v>
      </c>
      <c r="O11" s="185">
        <f t="array" ref="O11">if( Rankings!$Q$6="y",index(Avgs!Q:Q,match(C11,Avgs!A:A,0))+index(Avgs!Q:Q,match(D11,Avgs!A:A,0))+index(Avgs!Q:Q,match(E11,Avgs!A:A,0)),0)</f>
        <v>0</v>
      </c>
      <c r="P11" s="186">
        <f t="array" ref="P11">if( Rankings!$Q$6="y",index(Avgs!Q:Q,match(F11,Avgs!A:A,0))+index(Avgs!Q:Q,match(G11,Avgs!A:A,0))+index(Avgs!Q:Q,match(H11,Avgs!A:A,0)),0)</f>
        <v>0</v>
      </c>
      <c r="Q11" s="185">
        <f t="array" ref="Q11">if( Rankings!$Q$6="y",index(Avgs!P:P,match(C11,Avgs!A:A,0))+index(Avgs!P:P,match(D11,Avgs!A:A,0))+index(Avgs!P:P,match(E11,Avgs!A:A,0)),0)</f>
        <v>0</v>
      </c>
      <c r="R11" s="186">
        <f t="array" ref="R11">if( Rankings!$Q$6="y",index(Avgs!P:P,match(F11,Avgs!A:A,0))+index(Avgs!P:P,match(G11,Avgs!A:A,0))+index(Avgs!P:P,match(H11,Avgs!A:A,0)),0)</f>
        <v>0</v>
      </c>
      <c r="S11" s="188" t="str">
        <f t="shared" si="1"/>
        <v>tie</v>
      </c>
      <c r="T11" s="188" t="str">
        <f t="shared" si="2"/>
        <v>tie</v>
      </c>
      <c r="U11" s="185">
        <f>if($A11&gt;Rankings!$Q$2,if(S11="red",2,if(S11="tie",1,0))+if(O11&gt;=12,1,0)+if(Q11&gt;=40,1,0),0)</f>
        <v>0</v>
      </c>
      <c r="V11" s="186">
        <f>if($A11&gt;Rankings!$Q$2,if(S11="blue",2,if(S11="tie",1,0))+if(P11&gt;=12,1,0)+if(R11&gt;=40,1,0),0)</f>
        <v>0</v>
      </c>
      <c r="W11" s="185">
        <f>if($A11&gt;Rankings!$Q$2,M11,0)</f>
        <v>0</v>
      </c>
      <c r="X11" s="186">
        <f>if($A11&gt;Rankings!$Q$2,N11,0)</f>
        <v>0</v>
      </c>
      <c r="Y11" s="81" t="str">
        <f t="shared" si="3"/>
        <v>973-2</v>
      </c>
      <c r="Z11" s="77"/>
      <c r="AA11" s="84">
        <f>Avgs!A11</f>
        <v>4543</v>
      </c>
      <c r="AB11" s="188">
        <f t="shared" si="4"/>
        <v>5</v>
      </c>
      <c r="AC11" s="188">
        <f t="array" ref="AC11">if(Rankings!$Q$6="n",0,index(Rankings!$C$3:$C127,match(AA11,Rankings!$B$3:$B127,0)))</f>
        <v>0</v>
      </c>
      <c r="AD11" s="188">
        <f t="shared" si="5"/>
        <v>5</v>
      </c>
      <c r="AE11" s="188">
        <f t="shared" si="6"/>
        <v>0</v>
      </c>
      <c r="AF11" s="188">
        <f t="array" ref="AF11">if(Rankings!$Q$6="n",0,index(Rankings!$D$3:$D127,match(AA11,Rankings!$B$3:$B127,0)))</f>
        <v>0</v>
      </c>
      <c r="AG11" s="188">
        <f t="shared" si="7"/>
        <v>0</v>
      </c>
      <c r="AH11" s="188">
        <f t="shared" si="8"/>
        <v>5.000000045</v>
      </c>
      <c r="AI11" s="188">
        <f t="shared" si="9"/>
        <v>7</v>
      </c>
      <c r="AJ11" s="188">
        <f t="shared" si="10"/>
        <v>4543</v>
      </c>
      <c r="AK11" s="188">
        <f t="shared" si="11"/>
        <v>5</v>
      </c>
      <c r="AL11" s="188">
        <f t="shared" si="12"/>
        <v>0</v>
      </c>
    </row>
    <row r="12">
      <c r="A12" s="83">
        <v>10.0</v>
      </c>
      <c r="B12" s="180" t="s">
        <v>391</v>
      </c>
      <c r="C12" s="181">
        <v>2367.0</v>
      </c>
      <c r="D12" s="181">
        <v>852.0</v>
      </c>
      <c r="E12" s="181">
        <v>4255.0</v>
      </c>
      <c r="F12" s="182">
        <v>4276.0</v>
      </c>
      <c r="G12" s="182">
        <v>6657.0</v>
      </c>
      <c r="H12" s="182">
        <v>4415.0</v>
      </c>
      <c r="I12" s="183"/>
      <c r="J12" s="184"/>
      <c r="K12" s="185">
        <f t="array" ref="K12">if( Rankings!$Q$6="y",index(Avgs!B:B,match(C12,Avgs!A:A,0))+index(Avgs!B:B,match(D12,Avgs!A:A,0))+index(Avgs!B:B,match(E12,Avgs!A:A,0)),0)</f>
        <v>0</v>
      </c>
      <c r="L12" s="186">
        <f t="array" ref="L12">if( Rankings!$Q$6="y",index(Avgs!B:B,match(F12,Avgs!A:A,0))+index(Avgs!B:B,match(G12,Avgs!A:A,0))+index(Avgs!B:B,match(H12,Avgs!A:A,0)),0)</f>
        <v>0</v>
      </c>
      <c r="M12" s="187">
        <f>if( Rankings!$Q$6="y",K12,0)</f>
        <v>0</v>
      </c>
      <c r="N12" s="186">
        <f>if( Rankings!$Q$6="y",L12,0)</f>
        <v>0</v>
      </c>
      <c r="O12" s="185">
        <f t="array" ref="O12">if( Rankings!$Q$6="y",index(Avgs!Q:Q,match(C12,Avgs!A:A,0))+index(Avgs!Q:Q,match(D12,Avgs!A:A,0))+index(Avgs!Q:Q,match(E12,Avgs!A:A,0)),0)</f>
        <v>0</v>
      </c>
      <c r="P12" s="186">
        <f t="array" ref="P12">if( Rankings!$Q$6="y",index(Avgs!Q:Q,match(F12,Avgs!A:A,0))+index(Avgs!Q:Q,match(G12,Avgs!A:A,0))+index(Avgs!Q:Q,match(H12,Avgs!A:A,0)),0)</f>
        <v>0</v>
      </c>
      <c r="Q12" s="185">
        <f t="array" ref="Q12">if( Rankings!$Q$6="y",index(Avgs!P:P,match(C12,Avgs!A:A,0))+index(Avgs!P:P,match(D12,Avgs!A:A,0))+index(Avgs!P:P,match(E12,Avgs!A:A,0)),0)</f>
        <v>0</v>
      </c>
      <c r="R12" s="186">
        <f t="array" ref="R12">if( Rankings!$Q$6="y",index(Avgs!P:P,match(F12,Avgs!A:A,0))+index(Avgs!P:P,match(G12,Avgs!A:A,0))+index(Avgs!P:P,match(H12,Avgs!A:A,0)),0)</f>
        <v>0</v>
      </c>
      <c r="S12" s="188" t="str">
        <f t="shared" si="1"/>
        <v>tie</v>
      </c>
      <c r="T12" s="188" t="str">
        <f t="shared" si="2"/>
        <v>tie</v>
      </c>
      <c r="U12" s="185">
        <f>if($A12&gt;Rankings!$Q$2,if(S12="red",2,if(S12="tie",1,0))+if(O12&gt;=12,1,0)+if(Q12&gt;=40,1,0),0)</f>
        <v>0</v>
      </c>
      <c r="V12" s="186">
        <f>if($A12&gt;Rankings!$Q$2,if(S12="blue",2,if(S12="tie",1,0))+if(P12&gt;=12,1,0)+if(R12&gt;=40,1,0),0)</f>
        <v>0</v>
      </c>
      <c r="W12" s="185">
        <f>if($A12&gt;Rankings!$Q$2,M12,0)</f>
        <v>0</v>
      </c>
      <c r="X12" s="186">
        <f>if($A12&gt;Rankings!$Q$2,N12,0)</f>
        <v>0</v>
      </c>
      <c r="Y12" s="81" t="str">
        <f t="shared" si="3"/>
        <v/>
      </c>
      <c r="Z12" s="77"/>
      <c r="AA12" s="84">
        <f>Avgs!A12</f>
        <v>2135</v>
      </c>
      <c r="AB12" s="188">
        <f t="shared" si="4"/>
        <v>5</v>
      </c>
      <c r="AC12" s="188">
        <f t="array" ref="AC12">if(Rankings!$Q$6="n",0,index(Rankings!$C$3:$C127,match(AA12,Rankings!$B$3:$B127,0)))</f>
        <v>0</v>
      </c>
      <c r="AD12" s="188">
        <f t="shared" si="5"/>
        <v>5</v>
      </c>
      <c r="AE12" s="188">
        <f t="shared" si="6"/>
        <v>0</v>
      </c>
      <c r="AF12" s="188">
        <f t="array" ref="AF12">if(Rankings!$Q$6="n",0,index(Rankings!$D$3:$D127,match(AA12,Rankings!$B$3:$B127,0)))</f>
        <v>0</v>
      </c>
      <c r="AG12" s="188">
        <f t="shared" si="7"/>
        <v>0</v>
      </c>
      <c r="AH12" s="188">
        <f t="shared" si="8"/>
        <v>5.000000021</v>
      </c>
      <c r="AI12" s="188">
        <f t="shared" si="9"/>
        <v>15</v>
      </c>
      <c r="AJ12" s="188">
        <f t="shared" si="10"/>
        <v>2135</v>
      </c>
      <c r="AK12" s="188">
        <f t="shared" si="11"/>
        <v>5</v>
      </c>
      <c r="AL12" s="188">
        <f t="shared" si="12"/>
        <v>0</v>
      </c>
    </row>
    <row r="13">
      <c r="A13" s="83">
        <v>11.0</v>
      </c>
      <c r="B13" s="180" t="s">
        <v>392</v>
      </c>
      <c r="C13" s="181">
        <v>6711.0</v>
      </c>
      <c r="D13" s="181">
        <v>1072.0</v>
      </c>
      <c r="E13" s="181">
        <v>670.0</v>
      </c>
      <c r="F13" s="182">
        <v>4643.0</v>
      </c>
      <c r="G13" s="182">
        <v>3970.0</v>
      </c>
      <c r="H13" s="182">
        <v>3303.0</v>
      </c>
      <c r="I13" s="183"/>
      <c r="J13" s="184"/>
      <c r="K13" s="185">
        <f t="array" ref="K13">if( Rankings!$Q$6="y",index(Avgs!B:B,match(C13,Avgs!A:A,0))+index(Avgs!B:B,match(D13,Avgs!A:A,0))+index(Avgs!B:B,match(E13,Avgs!A:A,0)),0)</f>
        <v>0</v>
      </c>
      <c r="L13" s="186">
        <f t="array" ref="L13">if( Rankings!$Q$6="y",index(Avgs!B:B,match(F13,Avgs!A:A,0))+index(Avgs!B:B,match(G13,Avgs!A:A,0))+index(Avgs!B:B,match(H13,Avgs!A:A,0)),0)</f>
        <v>0</v>
      </c>
      <c r="M13" s="187">
        <f>if( Rankings!$Q$6="y",K13,0)</f>
        <v>0</v>
      </c>
      <c r="N13" s="186">
        <f>if( Rankings!$Q$6="y",L13,0)</f>
        <v>0</v>
      </c>
      <c r="O13" s="185">
        <f t="array" ref="O13">if( Rankings!$Q$6="y",index(Avgs!Q:Q,match(C13,Avgs!A:A,0))+index(Avgs!Q:Q,match(D13,Avgs!A:A,0))+index(Avgs!Q:Q,match(E13,Avgs!A:A,0)),0)</f>
        <v>0</v>
      </c>
      <c r="P13" s="186">
        <f t="array" ref="P13">if( Rankings!$Q$6="y",index(Avgs!Q:Q,match(F13,Avgs!A:A,0))+index(Avgs!Q:Q,match(G13,Avgs!A:A,0))+index(Avgs!Q:Q,match(H13,Avgs!A:A,0)),0)</f>
        <v>0</v>
      </c>
      <c r="Q13" s="185">
        <f t="array" ref="Q13">if( Rankings!$Q$6="y",index(Avgs!P:P,match(C13,Avgs!A:A,0))+index(Avgs!P:P,match(D13,Avgs!A:A,0))+index(Avgs!P:P,match(E13,Avgs!A:A,0)),0)</f>
        <v>0</v>
      </c>
      <c r="R13" s="186">
        <f t="array" ref="R13">if( Rankings!$Q$6="y",index(Avgs!P:P,match(F13,Avgs!A:A,0))+index(Avgs!P:P,match(G13,Avgs!A:A,0))+index(Avgs!P:P,match(H13,Avgs!A:A,0)),0)</f>
        <v>0</v>
      </c>
      <c r="S13" s="188" t="str">
        <f t="shared" si="1"/>
        <v>tie</v>
      </c>
      <c r="T13" s="188" t="str">
        <f t="shared" si="2"/>
        <v>tie</v>
      </c>
      <c r="U13" s="185">
        <f>if($A13&gt;Rankings!$Q$2,if(S13="red",2,if(S13="tie",1,0))+if(O13&gt;=12,1,0)+if(Q13&gt;=40,1,0),0)</f>
        <v>0</v>
      </c>
      <c r="V13" s="186">
        <f>if($A13&gt;Rankings!$Q$2,if(S13="blue",2,if(S13="tie",1,0))+if(P13&gt;=12,1,0)+if(R13&gt;=40,1,0),0)</f>
        <v>0</v>
      </c>
      <c r="W13" s="185">
        <f>if($A13&gt;Rankings!$Q$2,M13,0)</f>
        <v>0</v>
      </c>
      <c r="X13" s="186">
        <f>if($A13&gt;Rankings!$Q$2,N13,0)</f>
        <v>0</v>
      </c>
      <c r="Y13" s="81" t="str">
        <f t="shared" si="3"/>
        <v/>
      </c>
      <c r="Z13" s="77"/>
      <c r="AA13" s="84">
        <f>Avgs!A13</f>
        <v>5104</v>
      </c>
      <c r="AB13" s="188">
        <f t="shared" si="4"/>
        <v>4</v>
      </c>
      <c r="AC13" s="188">
        <f t="array" ref="AC13">if(Rankings!$Q$6="n",0,index(Rankings!$C$3:$C127,match(AA13,Rankings!$B$3:$B127,0)))</f>
        <v>0</v>
      </c>
      <c r="AD13" s="188">
        <f t="shared" si="5"/>
        <v>4</v>
      </c>
      <c r="AE13" s="188">
        <f t="shared" si="6"/>
        <v>0</v>
      </c>
      <c r="AF13" s="188">
        <f t="array" ref="AF13">if(Rankings!$Q$6="n",0,index(Rankings!$D$3:$D127,match(AA13,Rankings!$B$3:$B127,0)))</f>
        <v>0</v>
      </c>
      <c r="AG13" s="188">
        <f t="shared" si="7"/>
        <v>0</v>
      </c>
      <c r="AH13" s="188">
        <f t="shared" si="8"/>
        <v>4.000000051</v>
      </c>
      <c r="AI13" s="188">
        <f t="shared" si="9"/>
        <v>34</v>
      </c>
      <c r="AJ13" s="188">
        <f t="shared" si="10"/>
        <v>5104</v>
      </c>
      <c r="AK13" s="188">
        <f t="shared" si="11"/>
        <v>4</v>
      </c>
      <c r="AL13" s="188">
        <f t="shared" si="12"/>
        <v>0</v>
      </c>
    </row>
    <row r="14">
      <c r="A14" s="83">
        <v>12.0</v>
      </c>
      <c r="B14" s="180" t="s">
        <v>393</v>
      </c>
      <c r="C14" s="181">
        <v>2761.0</v>
      </c>
      <c r="D14" s="181">
        <v>2813.0</v>
      </c>
      <c r="E14" s="181">
        <v>6059.0</v>
      </c>
      <c r="F14" s="182">
        <v>5677.0</v>
      </c>
      <c r="G14" s="182">
        <v>5852.0</v>
      </c>
      <c r="H14" s="182">
        <v>2643.0</v>
      </c>
      <c r="I14" s="183"/>
      <c r="J14" s="184"/>
      <c r="K14" s="185">
        <f t="array" ref="K14">if( Rankings!$Q$6="y",index(Avgs!B:B,match(C14,Avgs!A:A,0))+index(Avgs!B:B,match(D14,Avgs!A:A,0))+index(Avgs!B:B,match(E14,Avgs!A:A,0)),0)</f>
        <v>0</v>
      </c>
      <c r="L14" s="186">
        <f t="array" ref="L14">if( Rankings!$Q$6="y",index(Avgs!B:B,match(F14,Avgs!A:A,0))+index(Avgs!B:B,match(G14,Avgs!A:A,0))+index(Avgs!B:B,match(H14,Avgs!A:A,0)),0)</f>
        <v>0</v>
      </c>
      <c r="M14" s="187">
        <f>if( Rankings!$Q$6="y",K14,0)</f>
        <v>0</v>
      </c>
      <c r="N14" s="186">
        <f>if( Rankings!$Q$6="y",L14,0)</f>
        <v>0</v>
      </c>
      <c r="O14" s="185">
        <f t="array" ref="O14">if( Rankings!$Q$6="y",index(Avgs!Q:Q,match(C14,Avgs!A:A,0))+index(Avgs!Q:Q,match(D14,Avgs!A:A,0))+index(Avgs!Q:Q,match(E14,Avgs!A:A,0)),0)</f>
        <v>0</v>
      </c>
      <c r="P14" s="186">
        <f t="array" ref="P14">if( Rankings!$Q$6="y",index(Avgs!Q:Q,match(F14,Avgs!A:A,0))+index(Avgs!Q:Q,match(G14,Avgs!A:A,0))+index(Avgs!Q:Q,match(H14,Avgs!A:A,0)),0)</f>
        <v>0</v>
      </c>
      <c r="Q14" s="185">
        <f t="array" ref="Q14">if( Rankings!$Q$6="y",index(Avgs!P:P,match(C14,Avgs!A:A,0))+index(Avgs!P:P,match(D14,Avgs!A:A,0))+index(Avgs!P:P,match(E14,Avgs!A:A,0)),0)</f>
        <v>0</v>
      </c>
      <c r="R14" s="186">
        <f t="array" ref="R14">if( Rankings!$Q$6="y",index(Avgs!P:P,match(F14,Avgs!A:A,0))+index(Avgs!P:P,match(G14,Avgs!A:A,0))+index(Avgs!P:P,match(H14,Avgs!A:A,0)),0)</f>
        <v>0</v>
      </c>
      <c r="S14" s="188" t="str">
        <f t="shared" si="1"/>
        <v>tie</v>
      </c>
      <c r="T14" s="188" t="str">
        <f t="shared" si="2"/>
        <v>tie</v>
      </c>
      <c r="U14" s="185">
        <f>if($A14&gt;Rankings!$Q$2,if(S14="red",2,if(S14="tie",1,0))+if(O14&gt;=12,1,0)+if(Q14&gt;=40,1,0),0)</f>
        <v>0</v>
      </c>
      <c r="V14" s="186">
        <f>if($A14&gt;Rankings!$Q$2,if(S14="blue",2,if(S14="tie",1,0))+if(P14&gt;=12,1,0)+if(R14&gt;=40,1,0),0)</f>
        <v>0</v>
      </c>
      <c r="W14" s="185">
        <f>if($A14&gt;Rankings!$Q$2,M14,0)</f>
        <v>0</v>
      </c>
      <c r="X14" s="186">
        <f>if($A14&gt;Rankings!$Q$2,N14,0)</f>
        <v>0</v>
      </c>
      <c r="Y14" s="81" t="str">
        <f t="shared" si="3"/>
        <v/>
      </c>
      <c r="Z14" s="77"/>
      <c r="AA14" s="84">
        <f>Avgs!A14</f>
        <v>1072</v>
      </c>
      <c r="AB14" s="188">
        <f t="shared" si="4"/>
        <v>5</v>
      </c>
      <c r="AC14" s="188">
        <f t="array" ref="AC14">if(Rankings!$Q$6="n",0,index(Rankings!$C$3:$C127,match(AA14,Rankings!$B$3:$B127,0)))</f>
        <v>0</v>
      </c>
      <c r="AD14" s="188">
        <f t="shared" si="5"/>
        <v>5</v>
      </c>
      <c r="AE14" s="188">
        <f t="shared" si="6"/>
        <v>0</v>
      </c>
      <c r="AF14" s="188">
        <f t="array" ref="AF14">if(Rankings!$Q$6="n",0,index(Rankings!$D$3:$D127,match(AA14,Rankings!$B$3:$B127,0)))</f>
        <v>0</v>
      </c>
      <c r="AG14" s="188">
        <f t="shared" si="7"/>
        <v>0</v>
      </c>
      <c r="AH14" s="188">
        <f t="shared" si="8"/>
        <v>5.000000011</v>
      </c>
      <c r="AI14" s="188">
        <f t="shared" si="9"/>
        <v>22</v>
      </c>
      <c r="AJ14" s="188">
        <f t="shared" si="10"/>
        <v>1072</v>
      </c>
      <c r="AK14" s="188">
        <f t="shared" si="11"/>
        <v>5</v>
      </c>
      <c r="AL14" s="188">
        <f t="shared" si="12"/>
        <v>0</v>
      </c>
    </row>
    <row r="15">
      <c r="A15" s="83">
        <v>13.0</v>
      </c>
      <c r="B15" s="180" t="s">
        <v>394</v>
      </c>
      <c r="C15" s="181">
        <v>3256.0</v>
      </c>
      <c r="D15" s="181">
        <v>3189.0</v>
      </c>
      <c r="E15" s="181">
        <v>3501.0</v>
      </c>
      <c r="F15" s="182">
        <v>1422.0</v>
      </c>
      <c r="G15" s="182">
        <v>5817.0</v>
      </c>
      <c r="H15" s="182">
        <v>972.0</v>
      </c>
      <c r="I15" s="183"/>
      <c r="J15" s="184"/>
      <c r="K15" s="185">
        <f t="array" ref="K15">if( Rankings!$Q$6="y",index(Avgs!B:B,match(C15,Avgs!A:A,0))+index(Avgs!B:B,match(D15,Avgs!A:A,0))+index(Avgs!B:B,match(E15,Avgs!A:A,0)),0)</f>
        <v>0</v>
      </c>
      <c r="L15" s="186">
        <f t="array" ref="L15">if( Rankings!$Q$6="y",index(Avgs!B:B,match(F15,Avgs!A:A,0))+index(Avgs!B:B,match(G15,Avgs!A:A,0))+index(Avgs!B:B,match(H15,Avgs!A:A,0)),0)</f>
        <v>0</v>
      </c>
      <c r="M15" s="187">
        <f>if( Rankings!$Q$6="y",K15,0)</f>
        <v>0</v>
      </c>
      <c r="N15" s="186">
        <f>if( Rankings!$Q$6="y",L15,0)</f>
        <v>0</v>
      </c>
      <c r="O15" s="185">
        <f t="array" ref="O15">if( Rankings!$Q$6="y",index(Avgs!Q:Q,match(C15,Avgs!A:A,0))+index(Avgs!Q:Q,match(D15,Avgs!A:A,0))+index(Avgs!Q:Q,match(E15,Avgs!A:A,0)),0)</f>
        <v>0</v>
      </c>
      <c r="P15" s="186">
        <f t="array" ref="P15">if( Rankings!$Q$6="y",index(Avgs!Q:Q,match(F15,Avgs!A:A,0))+index(Avgs!Q:Q,match(G15,Avgs!A:A,0))+index(Avgs!Q:Q,match(H15,Avgs!A:A,0)),0)</f>
        <v>0</v>
      </c>
      <c r="Q15" s="185">
        <f t="array" ref="Q15">if( Rankings!$Q$6="y",index(Avgs!P:P,match(C15,Avgs!A:A,0))+index(Avgs!P:P,match(D15,Avgs!A:A,0))+index(Avgs!P:P,match(E15,Avgs!A:A,0)),0)</f>
        <v>0</v>
      </c>
      <c r="R15" s="186">
        <f t="array" ref="R15">if( Rankings!$Q$6="y",index(Avgs!P:P,match(F15,Avgs!A:A,0))+index(Avgs!P:P,match(G15,Avgs!A:A,0))+index(Avgs!P:P,match(H15,Avgs!A:A,0)),0)</f>
        <v>0</v>
      </c>
      <c r="S15" s="188" t="str">
        <f t="shared" si="1"/>
        <v>tie</v>
      </c>
      <c r="T15" s="188" t="str">
        <f t="shared" si="2"/>
        <v>tie</v>
      </c>
      <c r="U15" s="185">
        <f>if($A15&gt;Rankings!$Q$2,if(S15="red",2,if(S15="tie",1,0))+if(O15&gt;=12,1,0)+if(Q15&gt;=40,1,0),0)</f>
        <v>0</v>
      </c>
      <c r="V15" s="186">
        <f>if($A15&gt;Rankings!$Q$2,if(S15="blue",2,if(S15="tie",1,0))+if(P15&gt;=12,1,0)+if(R15&gt;=40,1,0),0)</f>
        <v>0</v>
      </c>
      <c r="W15" s="185">
        <f>if($A15&gt;Rankings!$Q$2,M15,0)</f>
        <v>0</v>
      </c>
      <c r="X15" s="186">
        <f>if($A15&gt;Rankings!$Q$2,N15,0)</f>
        <v>0</v>
      </c>
      <c r="Y15" s="81" t="str">
        <f t="shared" si="3"/>
        <v/>
      </c>
      <c r="Z15" s="77"/>
      <c r="AA15" s="84">
        <f>Avgs!A15</f>
        <v>3256</v>
      </c>
      <c r="AB15" s="188">
        <f t="shared" si="4"/>
        <v>4</v>
      </c>
      <c r="AC15" s="188">
        <f t="array" ref="AC15">if(Rankings!$Q$6="n",0,index(Rankings!$C$3:$C127,match(AA15,Rankings!$B$3:$B127,0)))</f>
        <v>0</v>
      </c>
      <c r="AD15" s="188">
        <f t="shared" si="5"/>
        <v>4</v>
      </c>
      <c r="AE15" s="188">
        <f t="shared" si="6"/>
        <v>0</v>
      </c>
      <c r="AF15" s="188">
        <f t="array" ref="AF15">if(Rankings!$Q$6="n",0,index(Rankings!$D$3:$D127,match(AA15,Rankings!$B$3:$B127,0)))</f>
        <v>0</v>
      </c>
      <c r="AG15" s="188">
        <f t="shared" si="7"/>
        <v>0</v>
      </c>
      <c r="AH15" s="188">
        <f t="shared" si="8"/>
        <v>4.000000033</v>
      </c>
      <c r="AI15" s="188">
        <f t="shared" si="9"/>
        <v>38</v>
      </c>
      <c r="AJ15" s="188">
        <f t="shared" si="10"/>
        <v>3256</v>
      </c>
      <c r="AK15" s="188">
        <f t="shared" si="11"/>
        <v>4</v>
      </c>
      <c r="AL15" s="188">
        <f t="shared" si="12"/>
        <v>0</v>
      </c>
    </row>
    <row r="16">
      <c r="A16" s="83">
        <v>14.0</v>
      </c>
      <c r="B16" s="180" t="s">
        <v>395</v>
      </c>
      <c r="C16" s="181">
        <v>3495.0</v>
      </c>
      <c r="D16" s="181">
        <v>6305.0</v>
      </c>
      <c r="E16" s="181">
        <v>294.0</v>
      </c>
      <c r="F16" s="182">
        <v>1662.0</v>
      </c>
      <c r="G16" s="182">
        <v>6619.0</v>
      </c>
      <c r="H16" s="182">
        <v>3045.0</v>
      </c>
      <c r="I16" s="183"/>
      <c r="J16" s="184"/>
      <c r="K16" s="185">
        <f t="array" ref="K16">if( Rankings!$Q$6="y",index(Avgs!B:B,match(C16,Avgs!A:A,0))+index(Avgs!B:B,match(D16,Avgs!A:A,0))+index(Avgs!B:B,match(E16,Avgs!A:A,0)),0)</f>
        <v>0</v>
      </c>
      <c r="L16" s="186">
        <f t="array" ref="L16">if( Rankings!$Q$6="y",index(Avgs!B:B,match(F16,Avgs!A:A,0))+index(Avgs!B:B,match(G16,Avgs!A:A,0))+index(Avgs!B:B,match(H16,Avgs!A:A,0)),0)</f>
        <v>0</v>
      </c>
      <c r="M16" s="187">
        <f>if( Rankings!$Q$6="y",K16,0)</f>
        <v>0</v>
      </c>
      <c r="N16" s="186">
        <f>if( Rankings!$Q$6="y",L16,0)</f>
        <v>0</v>
      </c>
      <c r="O16" s="185">
        <f t="array" ref="O16">if( Rankings!$Q$6="y",index(Avgs!Q:Q,match(C16,Avgs!A:A,0))+index(Avgs!Q:Q,match(D16,Avgs!A:A,0))+index(Avgs!Q:Q,match(E16,Avgs!A:A,0)),0)</f>
        <v>0</v>
      </c>
      <c r="P16" s="186">
        <f t="array" ref="P16">if( Rankings!$Q$6="y",index(Avgs!Q:Q,match(F16,Avgs!A:A,0))+index(Avgs!Q:Q,match(G16,Avgs!A:A,0))+index(Avgs!Q:Q,match(H16,Avgs!A:A,0)),0)</f>
        <v>0</v>
      </c>
      <c r="Q16" s="185">
        <f t="array" ref="Q16">if( Rankings!$Q$6="y",index(Avgs!P:P,match(C16,Avgs!A:A,0))+index(Avgs!P:P,match(D16,Avgs!A:A,0))+index(Avgs!P:P,match(E16,Avgs!A:A,0)),0)</f>
        <v>0</v>
      </c>
      <c r="R16" s="186">
        <f t="array" ref="R16">if( Rankings!$Q$6="y",index(Avgs!P:P,match(F16,Avgs!A:A,0))+index(Avgs!P:P,match(G16,Avgs!A:A,0))+index(Avgs!P:P,match(H16,Avgs!A:A,0)),0)</f>
        <v>0</v>
      </c>
      <c r="S16" s="188" t="str">
        <f t="shared" si="1"/>
        <v>tie</v>
      </c>
      <c r="T16" s="188" t="str">
        <f t="shared" si="2"/>
        <v>tie</v>
      </c>
      <c r="U16" s="185">
        <f>if($A16&gt;Rankings!$Q$2,if(S16="red",2,if(S16="tie",1,0))+if(O16&gt;=12,1,0)+if(Q16&gt;=40,1,0),0)</f>
        <v>0</v>
      </c>
      <c r="V16" s="186">
        <f>if($A16&gt;Rankings!$Q$2,if(S16="blue",2,if(S16="tie",1,0))+if(P16&gt;=12,1,0)+if(R16&gt;=40,1,0),0)</f>
        <v>0</v>
      </c>
      <c r="W16" s="185">
        <f>if($A16&gt;Rankings!$Q$2,M16,0)</f>
        <v>0</v>
      </c>
      <c r="X16" s="186">
        <f>if($A16&gt;Rankings!$Q$2,N16,0)</f>
        <v>0</v>
      </c>
      <c r="Y16" s="81" t="str">
        <f t="shared" si="3"/>
        <v/>
      </c>
      <c r="Z16" s="77"/>
      <c r="AA16" s="84">
        <f>Avgs!A16</f>
        <v>294</v>
      </c>
      <c r="AB16" s="188">
        <f t="shared" si="4"/>
        <v>4</v>
      </c>
      <c r="AC16" s="188">
        <f t="array" ref="AC16">if(Rankings!$Q$6="n",0,index(Rankings!$C$3:$C127,match(AA16,Rankings!$B$3:$B127,0)))</f>
        <v>0</v>
      </c>
      <c r="AD16" s="188">
        <f t="shared" si="5"/>
        <v>4</v>
      </c>
      <c r="AE16" s="188">
        <f t="shared" si="6"/>
        <v>0</v>
      </c>
      <c r="AF16" s="188">
        <f t="array" ref="AF16">if(Rankings!$Q$6="n",0,index(Rankings!$D$3:$D127,match(AA16,Rankings!$B$3:$B127,0)))</f>
        <v>0</v>
      </c>
      <c r="AG16" s="188">
        <f t="shared" si="7"/>
        <v>0</v>
      </c>
      <c r="AH16" s="188">
        <f t="shared" si="8"/>
        <v>4.000000003</v>
      </c>
      <c r="AI16" s="188">
        <f t="shared" si="9"/>
        <v>47</v>
      </c>
      <c r="AJ16" s="188">
        <f t="shared" si="10"/>
        <v>294</v>
      </c>
      <c r="AK16" s="188">
        <f t="shared" si="11"/>
        <v>4</v>
      </c>
      <c r="AL16" s="188">
        <f t="shared" si="12"/>
        <v>0</v>
      </c>
    </row>
    <row r="17">
      <c r="A17" s="83">
        <v>15.0</v>
      </c>
      <c r="B17" s="180" t="s">
        <v>396</v>
      </c>
      <c r="C17" s="181">
        <v>1323.0</v>
      </c>
      <c r="D17" s="181">
        <v>1678.0</v>
      </c>
      <c r="E17" s="181">
        <v>1671.0</v>
      </c>
      <c r="F17" s="182">
        <v>1388.0</v>
      </c>
      <c r="G17" s="182">
        <v>687.0</v>
      </c>
      <c r="H17" s="182">
        <v>2493.0</v>
      </c>
      <c r="I17" s="183"/>
      <c r="J17" s="184"/>
      <c r="K17" s="185">
        <f t="array" ref="K17">if( Rankings!$Q$6="y",index(Avgs!B:B,match(C17,Avgs!A:A,0))+index(Avgs!B:B,match(D17,Avgs!A:A,0))+index(Avgs!B:B,match(E17,Avgs!A:A,0)),0)</f>
        <v>0</v>
      </c>
      <c r="L17" s="186">
        <f t="array" ref="L17">if( Rankings!$Q$6="y",index(Avgs!B:B,match(F17,Avgs!A:A,0))+index(Avgs!B:B,match(G17,Avgs!A:A,0))+index(Avgs!B:B,match(H17,Avgs!A:A,0)),0)</f>
        <v>0</v>
      </c>
      <c r="M17" s="187">
        <f>if( Rankings!$Q$6="y",K17,0)</f>
        <v>0</v>
      </c>
      <c r="N17" s="186">
        <f>if( Rankings!$Q$6="y",L17,0)</f>
        <v>0</v>
      </c>
      <c r="O17" s="185">
        <f t="array" ref="O17">if( Rankings!$Q$6="y",index(Avgs!Q:Q,match(C17,Avgs!A:A,0))+index(Avgs!Q:Q,match(D17,Avgs!A:A,0))+index(Avgs!Q:Q,match(E17,Avgs!A:A,0)),0)</f>
        <v>0</v>
      </c>
      <c r="P17" s="186">
        <f t="array" ref="P17">if( Rankings!$Q$6="y",index(Avgs!Q:Q,match(F17,Avgs!A:A,0))+index(Avgs!Q:Q,match(G17,Avgs!A:A,0))+index(Avgs!Q:Q,match(H17,Avgs!A:A,0)),0)</f>
        <v>0</v>
      </c>
      <c r="Q17" s="185">
        <f t="array" ref="Q17">if( Rankings!$Q$6="y",index(Avgs!P:P,match(C17,Avgs!A:A,0))+index(Avgs!P:P,match(D17,Avgs!A:A,0))+index(Avgs!P:P,match(E17,Avgs!A:A,0)),0)</f>
        <v>0</v>
      </c>
      <c r="R17" s="186">
        <f t="array" ref="R17">if( Rankings!$Q$6="y",index(Avgs!P:P,match(F17,Avgs!A:A,0))+index(Avgs!P:P,match(G17,Avgs!A:A,0))+index(Avgs!P:P,match(H17,Avgs!A:A,0)),0)</f>
        <v>0</v>
      </c>
      <c r="S17" s="188" t="str">
        <f t="shared" si="1"/>
        <v>tie</v>
      </c>
      <c r="T17" s="188" t="str">
        <f t="shared" si="2"/>
        <v>tie</v>
      </c>
      <c r="U17" s="185">
        <f>if($A17&gt;Rankings!$Q$2,if(S17="red",2,if(S17="tie",1,0))+if(O17&gt;=12,1,0)+if(Q17&gt;=40,1,0),0)</f>
        <v>0</v>
      </c>
      <c r="V17" s="186">
        <f>if($A17&gt;Rankings!$Q$2,if(S17="blue",2,if(S17="tie",1,0))+if(P17&gt;=12,1,0)+if(R17&gt;=40,1,0),0)</f>
        <v>0</v>
      </c>
      <c r="W17" s="185">
        <f>if($A17&gt;Rankings!$Q$2,M17,0)</f>
        <v>0</v>
      </c>
      <c r="X17" s="186">
        <f>if($A17&gt;Rankings!$Q$2,N17,0)</f>
        <v>0</v>
      </c>
      <c r="Y17" s="81" t="str">
        <f t="shared" si="3"/>
        <v/>
      </c>
      <c r="Z17" s="77"/>
      <c r="AA17" s="84">
        <f>Avgs!A17</f>
        <v>852</v>
      </c>
      <c r="AB17" s="188">
        <f t="shared" si="4"/>
        <v>5</v>
      </c>
      <c r="AC17" s="188">
        <f t="array" ref="AC17">if(Rankings!$Q$6="n",0,index(Rankings!$C$3:$C127,match(AA17,Rankings!$B$3:$B127,0)))</f>
        <v>0</v>
      </c>
      <c r="AD17" s="188">
        <f t="shared" si="5"/>
        <v>5</v>
      </c>
      <c r="AE17" s="188">
        <f t="shared" si="6"/>
        <v>0</v>
      </c>
      <c r="AF17" s="188">
        <f t="array" ref="AF17">if(Rankings!$Q$6="n",0,index(Rankings!$D$3:$D127,match(AA17,Rankings!$B$3:$B127,0)))</f>
        <v>0</v>
      </c>
      <c r="AG17" s="188">
        <f t="shared" si="7"/>
        <v>0</v>
      </c>
      <c r="AH17" s="188">
        <f t="shared" si="8"/>
        <v>5.000000009</v>
      </c>
      <c r="AI17" s="188">
        <f t="shared" si="9"/>
        <v>26</v>
      </c>
      <c r="AJ17" s="188">
        <f t="shared" si="10"/>
        <v>852</v>
      </c>
      <c r="AK17" s="188">
        <f t="shared" si="11"/>
        <v>5</v>
      </c>
      <c r="AL17" s="188">
        <f t="shared" si="12"/>
        <v>0</v>
      </c>
    </row>
    <row r="18">
      <c r="A18" s="83">
        <v>16.0</v>
      </c>
      <c r="B18" s="180" t="s">
        <v>397</v>
      </c>
      <c r="C18" s="181">
        <v>6699.0</v>
      </c>
      <c r="D18" s="181">
        <v>980.0</v>
      </c>
      <c r="E18" s="181">
        <v>2085.0</v>
      </c>
      <c r="F18" s="182">
        <v>1868.0</v>
      </c>
      <c r="G18" s="182">
        <v>3501.0</v>
      </c>
      <c r="H18" s="182">
        <v>6650.0</v>
      </c>
      <c r="I18" s="183"/>
      <c r="J18" s="184"/>
      <c r="K18" s="185">
        <f t="array" ref="K18">if( Rankings!$Q$6="y",index(Avgs!B:B,match(C18,Avgs!A:A,0))+index(Avgs!B:B,match(D18,Avgs!A:A,0))+index(Avgs!B:B,match(E18,Avgs!A:A,0)),0)</f>
        <v>0</v>
      </c>
      <c r="L18" s="186">
        <f t="array" ref="L18">if( Rankings!$Q$6="y",index(Avgs!B:B,match(F18,Avgs!A:A,0))+index(Avgs!B:B,match(G18,Avgs!A:A,0))+index(Avgs!B:B,match(H18,Avgs!A:A,0)),0)</f>
        <v>0</v>
      </c>
      <c r="M18" s="187">
        <f>if( Rankings!$Q$6="y",K18,0)</f>
        <v>0</v>
      </c>
      <c r="N18" s="186">
        <f>if( Rankings!$Q$6="y",L18,0)</f>
        <v>0</v>
      </c>
      <c r="O18" s="185">
        <f t="array" ref="O18">if( Rankings!$Q$6="y",index(Avgs!Q:Q,match(C18,Avgs!A:A,0))+index(Avgs!Q:Q,match(D18,Avgs!A:A,0))+index(Avgs!Q:Q,match(E18,Avgs!A:A,0)),0)</f>
        <v>0</v>
      </c>
      <c r="P18" s="186">
        <f t="array" ref="P18">if( Rankings!$Q$6="y",index(Avgs!Q:Q,match(F18,Avgs!A:A,0))+index(Avgs!Q:Q,match(G18,Avgs!A:A,0))+index(Avgs!Q:Q,match(H18,Avgs!A:A,0)),0)</f>
        <v>0</v>
      </c>
      <c r="Q18" s="185">
        <f t="array" ref="Q18">if( Rankings!$Q$6="y",index(Avgs!P:P,match(C18,Avgs!A:A,0))+index(Avgs!P:P,match(D18,Avgs!A:A,0))+index(Avgs!P:P,match(E18,Avgs!A:A,0)),0)</f>
        <v>0</v>
      </c>
      <c r="R18" s="186">
        <f t="array" ref="R18">if( Rankings!$Q$6="y",index(Avgs!P:P,match(F18,Avgs!A:A,0))+index(Avgs!P:P,match(G18,Avgs!A:A,0))+index(Avgs!P:P,match(H18,Avgs!A:A,0)),0)</f>
        <v>0</v>
      </c>
      <c r="S18" s="188" t="str">
        <f t="shared" si="1"/>
        <v>tie</v>
      </c>
      <c r="T18" s="188" t="str">
        <f t="shared" si="2"/>
        <v>tie</v>
      </c>
      <c r="U18" s="185">
        <f>if($A18&gt;Rankings!$Q$2,if(S18="red",2,if(S18="tie",1,0))+if(O18&gt;=12,1,0)+if(Q18&gt;=40,1,0),0)</f>
        <v>0</v>
      </c>
      <c r="V18" s="186">
        <f>if($A18&gt;Rankings!$Q$2,if(S18="blue",2,if(S18="tie",1,0))+if(P18&gt;=12,1,0)+if(R18&gt;=40,1,0),0)</f>
        <v>0</v>
      </c>
      <c r="W18" s="185">
        <f>if($A18&gt;Rankings!$Q$2,M18,0)</f>
        <v>0</v>
      </c>
      <c r="X18" s="186">
        <f>if($A18&gt;Rankings!$Q$2,N18,0)</f>
        <v>0</v>
      </c>
      <c r="Y18" s="81" t="str">
        <f t="shared" si="3"/>
        <v/>
      </c>
      <c r="Z18" s="77"/>
      <c r="AA18" s="84">
        <f>Avgs!A18</f>
        <v>1868</v>
      </c>
      <c r="AB18" s="188">
        <f t="shared" si="4"/>
        <v>5</v>
      </c>
      <c r="AC18" s="188">
        <f t="array" ref="AC18">if(Rankings!$Q$6="n",0,index(Rankings!$C$3:$C127,match(AA18,Rankings!$B$3:$B127,0)))</f>
        <v>0</v>
      </c>
      <c r="AD18" s="188">
        <f t="shared" si="5"/>
        <v>5</v>
      </c>
      <c r="AE18" s="188">
        <f t="shared" si="6"/>
        <v>0</v>
      </c>
      <c r="AF18" s="188">
        <f t="array" ref="AF18">if(Rankings!$Q$6="n",0,index(Rankings!$D$3:$D127,match(AA18,Rankings!$B$3:$B127,0)))</f>
        <v>0</v>
      </c>
      <c r="AG18" s="188">
        <f t="shared" si="7"/>
        <v>0</v>
      </c>
      <c r="AH18" s="188">
        <f t="shared" si="8"/>
        <v>5.000000019</v>
      </c>
      <c r="AI18" s="188">
        <f t="shared" si="9"/>
        <v>17</v>
      </c>
      <c r="AJ18" s="188">
        <f t="shared" si="10"/>
        <v>1868</v>
      </c>
      <c r="AK18" s="188">
        <f t="shared" si="11"/>
        <v>5</v>
      </c>
      <c r="AL18" s="188">
        <f t="shared" si="12"/>
        <v>0</v>
      </c>
    </row>
    <row r="19">
      <c r="A19" s="83">
        <v>17.0</v>
      </c>
      <c r="B19" s="180" t="s">
        <v>398</v>
      </c>
      <c r="C19" s="181">
        <v>751.0</v>
      </c>
      <c r="D19" s="181">
        <v>2643.0</v>
      </c>
      <c r="E19" s="181">
        <v>3256.0</v>
      </c>
      <c r="F19" s="182">
        <v>2135.0</v>
      </c>
      <c r="G19" s="182">
        <v>6711.0</v>
      </c>
      <c r="H19" s="182">
        <v>4255.0</v>
      </c>
      <c r="I19" s="183"/>
      <c r="J19" s="184"/>
      <c r="K19" s="185">
        <f t="array" ref="K19">if( Rankings!$Q$6="y",index(Avgs!B:B,match(C19,Avgs!A:A,0))+index(Avgs!B:B,match(D19,Avgs!A:A,0))+index(Avgs!B:B,match(E19,Avgs!A:A,0)),0)</f>
        <v>0</v>
      </c>
      <c r="L19" s="186">
        <f t="array" ref="L19">if( Rankings!$Q$6="y",index(Avgs!B:B,match(F19,Avgs!A:A,0))+index(Avgs!B:B,match(G19,Avgs!A:A,0))+index(Avgs!B:B,match(H19,Avgs!A:A,0)),0)</f>
        <v>0</v>
      </c>
      <c r="M19" s="187">
        <f>if( Rankings!$Q$6="y",K19,0)</f>
        <v>0</v>
      </c>
      <c r="N19" s="186">
        <f>if( Rankings!$Q$6="y",L19,0)</f>
        <v>0</v>
      </c>
      <c r="O19" s="185">
        <f t="array" ref="O19">if( Rankings!$Q$6="y",index(Avgs!Q:Q,match(C19,Avgs!A:A,0))+index(Avgs!Q:Q,match(D19,Avgs!A:A,0))+index(Avgs!Q:Q,match(E19,Avgs!A:A,0)),0)</f>
        <v>0</v>
      </c>
      <c r="P19" s="186">
        <f t="array" ref="P19">if( Rankings!$Q$6="y",index(Avgs!Q:Q,match(F19,Avgs!A:A,0))+index(Avgs!Q:Q,match(G19,Avgs!A:A,0))+index(Avgs!Q:Q,match(H19,Avgs!A:A,0)),0)</f>
        <v>0</v>
      </c>
      <c r="Q19" s="185">
        <f t="array" ref="Q19">if( Rankings!$Q$6="y",index(Avgs!P:P,match(C19,Avgs!A:A,0))+index(Avgs!P:P,match(D19,Avgs!A:A,0))+index(Avgs!P:P,match(E19,Avgs!A:A,0)),0)</f>
        <v>0</v>
      </c>
      <c r="R19" s="186">
        <f t="array" ref="R19">if( Rankings!$Q$6="y",index(Avgs!P:P,match(F19,Avgs!A:A,0))+index(Avgs!P:P,match(G19,Avgs!A:A,0))+index(Avgs!P:P,match(H19,Avgs!A:A,0)),0)</f>
        <v>0</v>
      </c>
      <c r="S19" s="188" t="str">
        <f t="shared" si="1"/>
        <v>tie</v>
      </c>
      <c r="T19" s="188" t="str">
        <f t="shared" si="2"/>
        <v>tie</v>
      </c>
      <c r="U19" s="185">
        <f>if($A19&gt;Rankings!$Q$2,if(S19="red",2,if(S19="tie",1,0))+if(O19&gt;=12,1,0)+if(Q19&gt;=40,1,0),0)</f>
        <v>0</v>
      </c>
      <c r="V19" s="186">
        <f>if($A19&gt;Rankings!$Q$2,if(S19="blue",2,if(S19="tie",1,0))+if(P19&gt;=12,1,0)+if(R19&gt;=40,1,0),0)</f>
        <v>0</v>
      </c>
      <c r="W19" s="185">
        <f>if($A19&gt;Rankings!$Q$2,M19,0)</f>
        <v>0</v>
      </c>
      <c r="X19" s="186">
        <f>if($A19&gt;Rankings!$Q$2,N19,0)</f>
        <v>0</v>
      </c>
      <c r="Y19" s="81" t="str">
        <f t="shared" si="3"/>
        <v/>
      </c>
      <c r="Z19" s="77"/>
      <c r="AA19" s="84">
        <f>Avgs!A19</f>
        <v>6699</v>
      </c>
      <c r="AB19" s="188">
        <f t="shared" si="4"/>
        <v>4</v>
      </c>
      <c r="AC19" s="188">
        <f t="array" ref="AC19">if(Rankings!$Q$6="n",0,index(Rankings!$C$3:$C127,match(AA19,Rankings!$B$3:$B127,0)))</f>
        <v>0</v>
      </c>
      <c r="AD19" s="188">
        <f t="shared" si="5"/>
        <v>4</v>
      </c>
      <c r="AE19" s="188">
        <f t="shared" si="6"/>
        <v>0</v>
      </c>
      <c r="AF19" s="188">
        <f t="array" ref="AF19">if(Rankings!$Q$6="n",0,index(Rankings!$D$3:$D127,match(AA19,Rankings!$B$3:$B127,0)))</f>
        <v>0</v>
      </c>
      <c r="AG19" s="188">
        <f t="shared" si="7"/>
        <v>0</v>
      </c>
      <c r="AH19" s="188">
        <f t="shared" si="8"/>
        <v>4.000000067</v>
      </c>
      <c r="AI19" s="188">
        <f t="shared" si="9"/>
        <v>28</v>
      </c>
      <c r="AJ19" s="188">
        <f t="shared" si="10"/>
        <v>6699</v>
      </c>
      <c r="AK19" s="188">
        <f t="shared" si="11"/>
        <v>4</v>
      </c>
      <c r="AL19" s="188">
        <f t="shared" si="12"/>
        <v>0</v>
      </c>
    </row>
    <row r="20">
      <c r="A20" s="83">
        <v>18.0</v>
      </c>
      <c r="B20" s="180" t="s">
        <v>399</v>
      </c>
      <c r="C20" s="181">
        <v>2761.0</v>
      </c>
      <c r="D20" s="181">
        <v>6619.0</v>
      </c>
      <c r="E20" s="181">
        <v>3970.0</v>
      </c>
      <c r="F20" s="182">
        <v>1671.0</v>
      </c>
      <c r="G20" s="182">
        <v>4643.0</v>
      </c>
      <c r="H20" s="182">
        <v>852.0</v>
      </c>
      <c r="I20" s="183"/>
      <c r="J20" s="184"/>
      <c r="K20" s="185">
        <f t="array" ref="K20">if( Rankings!$Q$6="y",index(Avgs!B:B,match(C20,Avgs!A:A,0))+index(Avgs!B:B,match(D20,Avgs!A:A,0))+index(Avgs!B:B,match(E20,Avgs!A:A,0)),0)</f>
        <v>0</v>
      </c>
      <c r="L20" s="186">
        <f t="array" ref="L20">if( Rankings!$Q$6="y",index(Avgs!B:B,match(F20,Avgs!A:A,0))+index(Avgs!B:B,match(G20,Avgs!A:A,0))+index(Avgs!B:B,match(H20,Avgs!A:A,0)),0)</f>
        <v>0</v>
      </c>
      <c r="M20" s="187">
        <f>if( Rankings!$Q$6="y",K20,0)</f>
        <v>0</v>
      </c>
      <c r="N20" s="186">
        <f>if( Rankings!$Q$6="y",L20,0)</f>
        <v>0</v>
      </c>
      <c r="O20" s="185">
        <f t="array" ref="O20">if( Rankings!$Q$6="y",index(Avgs!Q:Q,match(C20,Avgs!A:A,0))+index(Avgs!Q:Q,match(D20,Avgs!A:A,0))+index(Avgs!Q:Q,match(E20,Avgs!A:A,0)),0)</f>
        <v>0</v>
      </c>
      <c r="P20" s="186">
        <f t="array" ref="P20">if( Rankings!$Q$6="y",index(Avgs!Q:Q,match(F20,Avgs!A:A,0))+index(Avgs!Q:Q,match(G20,Avgs!A:A,0))+index(Avgs!Q:Q,match(H20,Avgs!A:A,0)),0)</f>
        <v>0</v>
      </c>
      <c r="Q20" s="185">
        <f t="array" ref="Q20">if( Rankings!$Q$6="y",index(Avgs!P:P,match(C20,Avgs!A:A,0))+index(Avgs!P:P,match(D20,Avgs!A:A,0))+index(Avgs!P:P,match(E20,Avgs!A:A,0)),0)</f>
        <v>0</v>
      </c>
      <c r="R20" s="186">
        <f t="array" ref="R20">if( Rankings!$Q$6="y",index(Avgs!P:P,match(F20,Avgs!A:A,0))+index(Avgs!P:P,match(G20,Avgs!A:A,0))+index(Avgs!P:P,match(H20,Avgs!A:A,0)),0)</f>
        <v>0</v>
      </c>
      <c r="S20" s="188" t="str">
        <f t="shared" si="1"/>
        <v>tie</v>
      </c>
      <c r="T20" s="188" t="str">
        <f t="shared" si="2"/>
        <v>tie</v>
      </c>
      <c r="U20" s="185">
        <f>if($A20&gt;Rankings!$Q$2,if(S20="red",2,if(S20="tie",1,0))+if(O20&gt;=12,1,0)+if(Q20&gt;=40,1,0),0)</f>
        <v>0</v>
      </c>
      <c r="V20" s="186">
        <f>if($A20&gt;Rankings!$Q$2,if(S20="blue",2,if(S20="tie",1,0))+if(P20&gt;=12,1,0)+if(R20&gt;=40,1,0),0)</f>
        <v>0</v>
      </c>
      <c r="W20" s="185">
        <f>if($A20&gt;Rankings!$Q$2,M20,0)</f>
        <v>0</v>
      </c>
      <c r="X20" s="186">
        <f>if($A20&gt;Rankings!$Q$2,N20,0)</f>
        <v>0</v>
      </c>
      <c r="Y20" s="81" t="str">
        <f t="shared" si="3"/>
        <v/>
      </c>
      <c r="Z20" s="77"/>
      <c r="AA20" s="84">
        <f>Avgs!A20</f>
        <v>687</v>
      </c>
      <c r="AB20" s="188">
        <f t="shared" si="4"/>
        <v>5</v>
      </c>
      <c r="AC20" s="188">
        <f t="array" ref="AC20">if(Rankings!$Q$6="n",0,index(Rankings!$C$3:$C127,match(AA20,Rankings!$B$3:$B127,0)))</f>
        <v>0</v>
      </c>
      <c r="AD20" s="188">
        <f t="shared" si="5"/>
        <v>5</v>
      </c>
      <c r="AE20" s="188">
        <f t="shared" si="6"/>
        <v>0</v>
      </c>
      <c r="AF20" s="188">
        <f t="array" ref="AF20">if(Rankings!$Q$6="n",0,index(Rankings!$D$3:$D127,match(AA20,Rankings!$B$3:$B127,0)))</f>
        <v>0</v>
      </c>
      <c r="AG20" s="188">
        <f t="shared" si="7"/>
        <v>0</v>
      </c>
      <c r="AH20" s="188">
        <f t="shared" si="8"/>
        <v>5.000000007</v>
      </c>
      <c r="AI20" s="188">
        <f t="shared" si="9"/>
        <v>27</v>
      </c>
      <c r="AJ20" s="188">
        <f t="shared" si="10"/>
        <v>687</v>
      </c>
      <c r="AK20" s="188">
        <f t="shared" si="11"/>
        <v>5</v>
      </c>
      <c r="AL20" s="188">
        <f t="shared" si="12"/>
        <v>0</v>
      </c>
    </row>
    <row r="21">
      <c r="A21" s="83">
        <v>19.0</v>
      </c>
      <c r="B21" s="180" t="s">
        <v>400</v>
      </c>
      <c r="C21" s="181">
        <v>4543.0</v>
      </c>
      <c r="D21" s="181">
        <v>294.0</v>
      </c>
      <c r="E21" s="181">
        <v>6657.0</v>
      </c>
      <c r="F21" s="182">
        <v>1678.0</v>
      </c>
      <c r="G21" s="182">
        <v>972.0</v>
      </c>
      <c r="H21" s="182">
        <v>2813.0</v>
      </c>
      <c r="I21" s="183"/>
      <c r="J21" s="184"/>
      <c r="K21" s="185">
        <f t="array" ref="K21">if( Rankings!$Q$6="y",index(Avgs!B:B,match(C21,Avgs!A:A,0))+index(Avgs!B:B,match(D21,Avgs!A:A,0))+index(Avgs!B:B,match(E21,Avgs!A:A,0)),0)</f>
        <v>0</v>
      </c>
      <c r="L21" s="186">
        <f t="array" ref="L21">if( Rankings!$Q$6="y",index(Avgs!B:B,match(F21,Avgs!A:A,0))+index(Avgs!B:B,match(G21,Avgs!A:A,0))+index(Avgs!B:B,match(H21,Avgs!A:A,0)),0)</f>
        <v>0</v>
      </c>
      <c r="M21" s="187">
        <f>if( Rankings!$Q$6="y",K21,0)</f>
        <v>0</v>
      </c>
      <c r="N21" s="186">
        <f>if( Rankings!$Q$6="y",L21,0)</f>
        <v>0</v>
      </c>
      <c r="O21" s="185">
        <f t="array" ref="O21">if( Rankings!$Q$6="y",index(Avgs!Q:Q,match(C21,Avgs!A:A,0))+index(Avgs!Q:Q,match(D21,Avgs!A:A,0))+index(Avgs!Q:Q,match(E21,Avgs!A:A,0)),0)</f>
        <v>0</v>
      </c>
      <c r="P21" s="186">
        <f t="array" ref="P21">if( Rankings!$Q$6="y",index(Avgs!Q:Q,match(F21,Avgs!A:A,0))+index(Avgs!Q:Q,match(G21,Avgs!A:A,0))+index(Avgs!Q:Q,match(H21,Avgs!A:A,0)),0)</f>
        <v>0</v>
      </c>
      <c r="Q21" s="185">
        <f t="array" ref="Q21">if( Rankings!$Q$6="y",index(Avgs!P:P,match(C21,Avgs!A:A,0))+index(Avgs!P:P,match(D21,Avgs!A:A,0))+index(Avgs!P:P,match(E21,Avgs!A:A,0)),0)</f>
        <v>0</v>
      </c>
      <c r="R21" s="186">
        <f t="array" ref="R21">if( Rankings!$Q$6="y",index(Avgs!P:P,match(F21,Avgs!A:A,0))+index(Avgs!P:P,match(G21,Avgs!A:A,0))+index(Avgs!P:P,match(H21,Avgs!A:A,0)),0)</f>
        <v>0</v>
      </c>
      <c r="S21" s="188" t="str">
        <f t="shared" si="1"/>
        <v>tie</v>
      </c>
      <c r="T21" s="188" t="str">
        <f t="shared" si="2"/>
        <v>tie</v>
      </c>
      <c r="U21" s="185">
        <f>if($A21&gt;Rankings!$Q$2,if(S21="red",2,if(S21="tie",1,0))+if(O21&gt;=12,1,0)+if(Q21&gt;=40,1,0),0)</f>
        <v>0</v>
      </c>
      <c r="V21" s="186">
        <f>if($A21&gt;Rankings!$Q$2,if(S21="blue",2,if(S21="tie",1,0))+if(P21&gt;=12,1,0)+if(R21&gt;=40,1,0),0)</f>
        <v>0</v>
      </c>
      <c r="W21" s="185">
        <f>if($A21&gt;Rankings!$Q$2,M21,0)</f>
        <v>0</v>
      </c>
      <c r="X21" s="186">
        <f>if($A21&gt;Rankings!$Q$2,N21,0)</f>
        <v>0</v>
      </c>
      <c r="Y21" s="81" t="str">
        <f t="shared" si="3"/>
        <v/>
      </c>
      <c r="Z21" s="77"/>
      <c r="AA21" s="84">
        <f>Avgs!A21</f>
        <v>6619</v>
      </c>
      <c r="AB21" s="188">
        <f t="shared" si="4"/>
        <v>5</v>
      </c>
      <c r="AC21" s="188">
        <f t="array" ref="AC21">if(Rankings!$Q$6="n",0,index(Rankings!$C$3:$C127,match(AA21,Rankings!$B$3:$B127,0)))</f>
        <v>0</v>
      </c>
      <c r="AD21" s="188">
        <f t="shared" si="5"/>
        <v>5</v>
      </c>
      <c r="AE21" s="188">
        <f t="shared" si="6"/>
        <v>0</v>
      </c>
      <c r="AF21" s="188">
        <f t="array" ref="AF21">if(Rankings!$Q$6="n",0,index(Rankings!$D$3:$D127,match(AA21,Rankings!$B$3:$B127,0)))</f>
        <v>0</v>
      </c>
      <c r="AG21" s="188">
        <f t="shared" si="7"/>
        <v>0</v>
      </c>
      <c r="AH21" s="188">
        <f t="shared" si="8"/>
        <v>5.000000066</v>
      </c>
      <c r="AI21" s="188">
        <f t="shared" si="9"/>
        <v>4</v>
      </c>
      <c r="AJ21" s="188">
        <f t="shared" si="10"/>
        <v>6619</v>
      </c>
      <c r="AK21" s="188">
        <f t="shared" si="11"/>
        <v>5</v>
      </c>
      <c r="AL21" s="188">
        <f t="shared" si="12"/>
        <v>0</v>
      </c>
    </row>
    <row r="22">
      <c r="A22" s="83">
        <v>20.0</v>
      </c>
      <c r="B22" s="180" t="s">
        <v>401</v>
      </c>
      <c r="C22" s="181">
        <v>6059.0</v>
      </c>
      <c r="D22" s="181">
        <v>1072.0</v>
      </c>
      <c r="E22" s="181">
        <v>5677.0</v>
      </c>
      <c r="F22" s="182">
        <v>5134.0</v>
      </c>
      <c r="G22" s="182">
        <v>4276.0</v>
      </c>
      <c r="H22" s="182">
        <v>1388.0</v>
      </c>
      <c r="I22" s="183"/>
      <c r="J22" s="184"/>
      <c r="K22" s="185">
        <f t="array" ref="K22">if( Rankings!$Q$6="y",index(Avgs!B:B,match(C22,Avgs!A:A,0))+index(Avgs!B:B,match(D22,Avgs!A:A,0))+index(Avgs!B:B,match(E22,Avgs!A:A,0)),0)</f>
        <v>0</v>
      </c>
      <c r="L22" s="186">
        <f t="array" ref="L22">if( Rankings!$Q$6="y",index(Avgs!B:B,match(F22,Avgs!A:A,0))+index(Avgs!B:B,match(G22,Avgs!A:A,0))+index(Avgs!B:B,match(H22,Avgs!A:A,0)),0)</f>
        <v>0</v>
      </c>
      <c r="M22" s="187">
        <f>if( Rankings!$Q$6="y",K22,0)</f>
        <v>0</v>
      </c>
      <c r="N22" s="186">
        <f>if( Rankings!$Q$6="y",L22,0)</f>
        <v>0</v>
      </c>
      <c r="O22" s="185">
        <f t="array" ref="O22">if( Rankings!$Q$6="y",index(Avgs!Q:Q,match(C22,Avgs!A:A,0))+index(Avgs!Q:Q,match(D22,Avgs!A:A,0))+index(Avgs!Q:Q,match(E22,Avgs!A:A,0)),0)</f>
        <v>0</v>
      </c>
      <c r="P22" s="186">
        <f t="array" ref="P22">if( Rankings!$Q$6="y",index(Avgs!Q:Q,match(F22,Avgs!A:A,0))+index(Avgs!Q:Q,match(G22,Avgs!A:A,0))+index(Avgs!Q:Q,match(H22,Avgs!A:A,0)),0)</f>
        <v>0</v>
      </c>
      <c r="Q22" s="185">
        <f t="array" ref="Q22">if( Rankings!$Q$6="y",index(Avgs!P:P,match(C22,Avgs!A:A,0))+index(Avgs!P:P,match(D22,Avgs!A:A,0))+index(Avgs!P:P,match(E22,Avgs!A:A,0)),0)</f>
        <v>0</v>
      </c>
      <c r="R22" s="186">
        <f t="array" ref="R22">if( Rankings!$Q$6="y",index(Avgs!P:P,match(F22,Avgs!A:A,0))+index(Avgs!P:P,match(G22,Avgs!A:A,0))+index(Avgs!P:P,match(H22,Avgs!A:A,0)),0)</f>
        <v>0</v>
      </c>
      <c r="S22" s="188" t="str">
        <f t="shared" si="1"/>
        <v>tie</v>
      </c>
      <c r="T22" s="188" t="str">
        <f t="shared" si="2"/>
        <v>tie</v>
      </c>
      <c r="U22" s="185">
        <f>if($A22&gt;Rankings!$Q$2,if(S22="red",2,if(S22="tie",1,0))+if(O22&gt;=12,1,0)+if(Q22&gt;=40,1,0),0)</f>
        <v>0</v>
      </c>
      <c r="V22" s="186">
        <f>if($A22&gt;Rankings!$Q$2,if(S22="blue",2,if(S22="tie",1,0))+if(P22&gt;=12,1,0)+if(R22&gt;=40,1,0),0)</f>
        <v>0</v>
      </c>
      <c r="W22" s="185">
        <f>if($A22&gt;Rankings!$Q$2,M22,0)</f>
        <v>0</v>
      </c>
      <c r="X22" s="186">
        <f>if($A22&gt;Rankings!$Q$2,N22,0)</f>
        <v>0</v>
      </c>
      <c r="Y22" s="81" t="str">
        <f t="shared" si="3"/>
        <v/>
      </c>
      <c r="Z22" s="77"/>
      <c r="AA22" s="84">
        <f>Avgs!A22</f>
        <v>1662</v>
      </c>
      <c r="AB22" s="188">
        <f t="shared" si="4"/>
        <v>5</v>
      </c>
      <c r="AC22" s="188">
        <f t="array" ref="AC22">if(Rankings!$Q$6="n",0,index(Rankings!$C$3:$C127,match(AA22,Rankings!$B$3:$B127,0)))</f>
        <v>0</v>
      </c>
      <c r="AD22" s="188">
        <f t="shared" si="5"/>
        <v>5</v>
      </c>
      <c r="AE22" s="188">
        <f t="shared" si="6"/>
        <v>0</v>
      </c>
      <c r="AF22" s="188">
        <f t="array" ref="AF22">if(Rankings!$Q$6="n",0,index(Rankings!$D$3:$D127,match(AA22,Rankings!$B$3:$B127,0)))</f>
        <v>0</v>
      </c>
      <c r="AG22" s="188">
        <f t="shared" si="7"/>
        <v>0</v>
      </c>
      <c r="AH22" s="188">
        <f t="shared" si="8"/>
        <v>5.000000017</v>
      </c>
      <c r="AI22" s="188">
        <f t="shared" si="9"/>
        <v>20</v>
      </c>
      <c r="AJ22" s="188">
        <f t="shared" si="10"/>
        <v>1662</v>
      </c>
      <c r="AK22" s="188">
        <f t="shared" si="11"/>
        <v>5</v>
      </c>
      <c r="AL22" s="188">
        <f t="shared" si="12"/>
        <v>0</v>
      </c>
    </row>
    <row r="23">
      <c r="A23" s="83">
        <v>21.0</v>
      </c>
      <c r="B23" s="180" t="s">
        <v>402</v>
      </c>
      <c r="C23" s="181">
        <v>5817.0</v>
      </c>
      <c r="D23" s="181">
        <v>3495.0</v>
      </c>
      <c r="E23" s="181">
        <v>1662.0</v>
      </c>
      <c r="F23" s="182">
        <v>5104.0</v>
      </c>
      <c r="G23" s="182">
        <v>1323.0</v>
      </c>
      <c r="H23" s="182">
        <v>687.0</v>
      </c>
      <c r="I23" s="183"/>
      <c r="J23" s="184"/>
      <c r="K23" s="185">
        <f t="array" ref="K23">if( Rankings!$Q$6="y",index(Avgs!B:B,match(C23,Avgs!A:A,0))+index(Avgs!B:B,match(D23,Avgs!A:A,0))+index(Avgs!B:B,match(E23,Avgs!A:A,0)),0)</f>
        <v>0</v>
      </c>
      <c r="L23" s="186">
        <f t="array" ref="L23">if( Rankings!$Q$6="y",index(Avgs!B:B,match(F23,Avgs!A:A,0))+index(Avgs!B:B,match(G23,Avgs!A:A,0))+index(Avgs!B:B,match(H23,Avgs!A:A,0)),0)</f>
        <v>0</v>
      </c>
      <c r="M23" s="187">
        <f>if( Rankings!$Q$6="y",K23,0)</f>
        <v>0</v>
      </c>
      <c r="N23" s="186">
        <f>if( Rankings!$Q$6="y",L23,0)</f>
        <v>0</v>
      </c>
      <c r="O23" s="185">
        <f t="array" ref="O23">if( Rankings!$Q$6="y",index(Avgs!Q:Q,match(C23,Avgs!A:A,0))+index(Avgs!Q:Q,match(D23,Avgs!A:A,0))+index(Avgs!Q:Q,match(E23,Avgs!A:A,0)),0)</f>
        <v>0</v>
      </c>
      <c r="P23" s="186">
        <f t="array" ref="P23">if( Rankings!$Q$6="y",index(Avgs!Q:Q,match(F23,Avgs!A:A,0))+index(Avgs!Q:Q,match(G23,Avgs!A:A,0))+index(Avgs!Q:Q,match(H23,Avgs!A:A,0)),0)</f>
        <v>0</v>
      </c>
      <c r="Q23" s="185">
        <f t="array" ref="Q23">if( Rankings!$Q$6="y",index(Avgs!P:P,match(C23,Avgs!A:A,0))+index(Avgs!P:P,match(D23,Avgs!A:A,0))+index(Avgs!P:P,match(E23,Avgs!A:A,0)),0)</f>
        <v>0</v>
      </c>
      <c r="R23" s="186">
        <f t="array" ref="R23">if( Rankings!$Q$6="y",index(Avgs!P:P,match(F23,Avgs!A:A,0))+index(Avgs!P:P,match(G23,Avgs!A:A,0))+index(Avgs!P:P,match(H23,Avgs!A:A,0)),0)</f>
        <v>0</v>
      </c>
      <c r="S23" s="188" t="str">
        <f t="shared" si="1"/>
        <v>tie</v>
      </c>
      <c r="T23" s="188" t="str">
        <f t="shared" si="2"/>
        <v>tie</v>
      </c>
      <c r="U23" s="185">
        <f>if($A23&gt;Rankings!$Q$2,if(S23="red",2,if(S23="tie",1,0))+if(O23&gt;=12,1,0)+if(Q23&gt;=40,1,0),0)</f>
        <v>0</v>
      </c>
      <c r="V23" s="186">
        <f>if($A23&gt;Rankings!$Q$2,if(S23="blue",2,if(S23="tie",1,0))+if(P23&gt;=12,1,0)+if(R23&gt;=40,1,0),0)</f>
        <v>0</v>
      </c>
      <c r="W23" s="185">
        <f>if($A23&gt;Rankings!$Q$2,M23,0)</f>
        <v>0</v>
      </c>
      <c r="X23" s="186">
        <f>if($A23&gt;Rankings!$Q$2,N23,0)</f>
        <v>0</v>
      </c>
      <c r="Y23" s="81" t="str">
        <f t="shared" si="3"/>
        <v/>
      </c>
      <c r="Z23" s="77"/>
      <c r="AA23" s="84">
        <f>Avgs!A23</f>
        <v>3501</v>
      </c>
      <c r="AB23" s="188">
        <f t="shared" si="4"/>
        <v>5</v>
      </c>
      <c r="AC23" s="188">
        <f t="array" ref="AC23">if(Rankings!$Q$6="n",0,index(Rankings!$C$3:$C127,match(AA23,Rankings!$B$3:$B127,0)))</f>
        <v>0</v>
      </c>
      <c r="AD23" s="188">
        <f t="shared" si="5"/>
        <v>5</v>
      </c>
      <c r="AE23" s="188">
        <f t="shared" si="6"/>
        <v>0</v>
      </c>
      <c r="AF23" s="188">
        <f t="array" ref="AF23">if(Rankings!$Q$6="n",0,index(Rankings!$D$3:$D127,match(AA23,Rankings!$B$3:$B127,0)))</f>
        <v>0</v>
      </c>
      <c r="AG23" s="188">
        <f t="shared" si="7"/>
        <v>0</v>
      </c>
      <c r="AH23" s="188">
        <f t="shared" si="8"/>
        <v>5.000000035</v>
      </c>
      <c r="AI23" s="188">
        <f t="shared" si="9"/>
        <v>11</v>
      </c>
      <c r="AJ23" s="188">
        <f t="shared" si="10"/>
        <v>3501</v>
      </c>
      <c r="AK23" s="188">
        <f t="shared" si="11"/>
        <v>5</v>
      </c>
      <c r="AL23" s="188">
        <f t="shared" si="12"/>
        <v>0</v>
      </c>
    </row>
    <row r="24">
      <c r="A24" s="83">
        <v>22.0</v>
      </c>
      <c r="B24" s="180" t="s">
        <v>403</v>
      </c>
      <c r="C24" s="181">
        <v>3045.0</v>
      </c>
      <c r="D24" s="181">
        <v>3189.0</v>
      </c>
      <c r="E24" s="181">
        <v>2367.0</v>
      </c>
      <c r="F24" s="182">
        <v>6699.0</v>
      </c>
      <c r="G24" s="182">
        <v>1868.0</v>
      </c>
      <c r="H24" s="182">
        <v>670.0</v>
      </c>
      <c r="I24" s="183"/>
      <c r="J24" s="184"/>
      <c r="K24" s="185">
        <f t="array" ref="K24">if( Rankings!$Q$6="y",index(Avgs!B:B,match(C24,Avgs!A:A,0))+index(Avgs!B:B,match(D24,Avgs!A:A,0))+index(Avgs!B:B,match(E24,Avgs!A:A,0)),0)</f>
        <v>0</v>
      </c>
      <c r="L24" s="186">
        <f t="array" ref="L24">if( Rankings!$Q$6="y",index(Avgs!B:B,match(F24,Avgs!A:A,0))+index(Avgs!B:B,match(G24,Avgs!A:A,0))+index(Avgs!B:B,match(H24,Avgs!A:A,0)),0)</f>
        <v>0</v>
      </c>
      <c r="M24" s="187">
        <f>if( Rankings!$Q$6="y",K24,0)</f>
        <v>0</v>
      </c>
      <c r="N24" s="186">
        <f>if( Rankings!$Q$6="y",L24,0)</f>
        <v>0</v>
      </c>
      <c r="O24" s="185">
        <f t="array" ref="O24">if( Rankings!$Q$6="y",index(Avgs!Q:Q,match(C24,Avgs!A:A,0))+index(Avgs!Q:Q,match(D24,Avgs!A:A,0))+index(Avgs!Q:Q,match(E24,Avgs!A:A,0)),0)</f>
        <v>0</v>
      </c>
      <c r="P24" s="186">
        <f t="array" ref="P24">if( Rankings!$Q$6="y",index(Avgs!Q:Q,match(F24,Avgs!A:A,0))+index(Avgs!Q:Q,match(G24,Avgs!A:A,0))+index(Avgs!Q:Q,match(H24,Avgs!A:A,0)),0)</f>
        <v>0</v>
      </c>
      <c r="Q24" s="185">
        <f t="array" ref="Q24">if( Rankings!$Q$6="y",index(Avgs!P:P,match(C24,Avgs!A:A,0))+index(Avgs!P:P,match(D24,Avgs!A:A,0))+index(Avgs!P:P,match(E24,Avgs!A:A,0)),0)</f>
        <v>0</v>
      </c>
      <c r="R24" s="186">
        <f t="array" ref="R24">if( Rankings!$Q$6="y",index(Avgs!P:P,match(F24,Avgs!A:A,0))+index(Avgs!P:P,match(G24,Avgs!A:A,0))+index(Avgs!P:P,match(H24,Avgs!A:A,0)),0)</f>
        <v>0</v>
      </c>
      <c r="S24" s="188" t="str">
        <f t="shared" si="1"/>
        <v>tie</v>
      </c>
      <c r="T24" s="188" t="str">
        <f t="shared" si="2"/>
        <v>tie</v>
      </c>
      <c r="U24" s="185">
        <f>if($A24&gt;Rankings!$Q$2,if(S24="red",2,if(S24="tie",1,0))+if(O24&gt;=12,1,0)+if(Q24&gt;=40,1,0),0)</f>
        <v>0</v>
      </c>
      <c r="V24" s="186">
        <f>if($A24&gt;Rankings!$Q$2,if(S24="blue",2,if(S24="tie",1,0))+if(P24&gt;=12,1,0)+if(R24&gt;=40,1,0),0)</f>
        <v>0</v>
      </c>
      <c r="W24" s="185">
        <f>if($A24&gt;Rankings!$Q$2,M24,0)</f>
        <v>0</v>
      </c>
      <c r="X24" s="186">
        <f>if($A24&gt;Rankings!$Q$2,N24,0)</f>
        <v>0</v>
      </c>
      <c r="Y24" s="81" t="str">
        <f t="shared" si="3"/>
        <v/>
      </c>
      <c r="Z24" s="77"/>
      <c r="AA24" s="84">
        <f>Avgs!A24</f>
        <v>980</v>
      </c>
      <c r="AB24" s="188">
        <f t="shared" si="4"/>
        <v>5</v>
      </c>
      <c r="AC24" s="188">
        <f t="array" ref="AC24">if(Rankings!$Q$6="n",0,index(Rankings!$C$3:$C127,match(AA24,Rankings!$B$3:$B127,0)))</f>
        <v>0</v>
      </c>
      <c r="AD24" s="188">
        <f t="shared" si="5"/>
        <v>5</v>
      </c>
      <c r="AE24" s="188">
        <f t="shared" si="6"/>
        <v>0</v>
      </c>
      <c r="AF24" s="188">
        <f t="array" ref="AF24">if(Rankings!$Q$6="n",0,index(Rankings!$D$3:$D127,match(AA24,Rankings!$B$3:$B127,0)))</f>
        <v>0</v>
      </c>
      <c r="AG24" s="188">
        <f t="shared" si="7"/>
        <v>0</v>
      </c>
      <c r="AH24" s="188">
        <f t="shared" si="8"/>
        <v>5.00000001</v>
      </c>
      <c r="AI24" s="188">
        <f t="shared" si="9"/>
        <v>23</v>
      </c>
      <c r="AJ24" s="188">
        <f t="shared" si="10"/>
        <v>980</v>
      </c>
      <c r="AK24" s="188">
        <f t="shared" si="11"/>
        <v>5</v>
      </c>
      <c r="AL24" s="188">
        <f t="shared" si="12"/>
        <v>0</v>
      </c>
    </row>
    <row r="25">
      <c r="A25" s="83">
        <v>23.0</v>
      </c>
      <c r="B25" s="180" t="s">
        <v>404</v>
      </c>
      <c r="C25" s="181">
        <v>5852.0</v>
      </c>
      <c r="D25" s="181">
        <v>2493.0</v>
      </c>
      <c r="E25" s="181">
        <v>3303.0</v>
      </c>
      <c r="F25" s="182">
        <v>980.0</v>
      </c>
      <c r="G25" s="182">
        <v>1422.0</v>
      </c>
      <c r="H25" s="182">
        <v>6305.0</v>
      </c>
      <c r="I25" s="183"/>
      <c r="J25" s="184"/>
      <c r="K25" s="185">
        <f t="array" ref="K25">if( Rankings!$Q$6="y",index(Avgs!B:B,match(C25,Avgs!A:A,0))+index(Avgs!B:B,match(D25,Avgs!A:A,0))+index(Avgs!B:B,match(E25,Avgs!A:A,0)),0)</f>
        <v>0</v>
      </c>
      <c r="L25" s="186">
        <f t="array" ref="L25">if( Rankings!$Q$6="y",index(Avgs!B:B,match(F25,Avgs!A:A,0))+index(Avgs!B:B,match(G25,Avgs!A:A,0))+index(Avgs!B:B,match(H25,Avgs!A:A,0)),0)</f>
        <v>0</v>
      </c>
      <c r="M25" s="187">
        <f>if( Rankings!$Q$6="y",K25,0)</f>
        <v>0</v>
      </c>
      <c r="N25" s="186">
        <f>if( Rankings!$Q$6="y",L25,0)</f>
        <v>0</v>
      </c>
      <c r="O25" s="185">
        <f t="array" ref="O25">if( Rankings!$Q$6="y",index(Avgs!Q:Q,match(C25,Avgs!A:A,0))+index(Avgs!Q:Q,match(D25,Avgs!A:A,0))+index(Avgs!Q:Q,match(E25,Avgs!A:A,0)),0)</f>
        <v>0</v>
      </c>
      <c r="P25" s="186">
        <f t="array" ref="P25">if( Rankings!$Q$6="y",index(Avgs!Q:Q,match(F25,Avgs!A:A,0))+index(Avgs!Q:Q,match(G25,Avgs!A:A,0))+index(Avgs!Q:Q,match(H25,Avgs!A:A,0)),0)</f>
        <v>0</v>
      </c>
      <c r="Q25" s="185">
        <f t="array" ref="Q25">if( Rankings!$Q$6="y",index(Avgs!P:P,match(C25,Avgs!A:A,0))+index(Avgs!P:P,match(D25,Avgs!A:A,0))+index(Avgs!P:P,match(E25,Avgs!A:A,0)),0)</f>
        <v>0</v>
      </c>
      <c r="R25" s="186">
        <f t="array" ref="R25">if( Rankings!$Q$6="y",index(Avgs!P:P,match(F25,Avgs!A:A,0))+index(Avgs!P:P,match(G25,Avgs!A:A,0))+index(Avgs!P:P,match(H25,Avgs!A:A,0)),0)</f>
        <v>0</v>
      </c>
      <c r="S25" s="188" t="str">
        <f t="shared" si="1"/>
        <v>tie</v>
      </c>
      <c r="T25" s="188" t="str">
        <f t="shared" si="2"/>
        <v>tie</v>
      </c>
      <c r="U25" s="185">
        <f>if($A25&gt;Rankings!$Q$2,if(S25="red",2,if(S25="tie",1,0))+if(O25&gt;=12,1,0)+if(Q25&gt;=40,1,0),0)</f>
        <v>0</v>
      </c>
      <c r="V25" s="186">
        <f>if($A25&gt;Rankings!$Q$2,if(S25="blue",2,if(S25="tie",1,0))+if(P25&gt;=12,1,0)+if(R25&gt;=40,1,0),0)</f>
        <v>0</v>
      </c>
      <c r="W25" s="185">
        <f>if($A25&gt;Rankings!$Q$2,M25,0)</f>
        <v>0</v>
      </c>
      <c r="X25" s="186">
        <f>if($A25&gt;Rankings!$Q$2,N25,0)</f>
        <v>0</v>
      </c>
      <c r="Y25" s="81" t="str">
        <f t="shared" si="3"/>
        <v/>
      </c>
      <c r="Z25" s="77"/>
      <c r="AA25" s="84">
        <f>Avgs!A25</f>
        <v>6657</v>
      </c>
      <c r="AB25" s="188">
        <f t="shared" si="4"/>
        <v>4</v>
      </c>
      <c r="AC25" s="188">
        <f t="array" ref="AC25">if(Rankings!$Q$6="n",0,index(Rankings!$C$3:$C127,match(AA25,Rankings!$B$3:$B127,0)))</f>
        <v>0</v>
      </c>
      <c r="AD25" s="188">
        <f t="shared" si="5"/>
        <v>4</v>
      </c>
      <c r="AE25" s="188">
        <f t="shared" si="6"/>
        <v>0</v>
      </c>
      <c r="AF25" s="188">
        <f t="array" ref="AF25">if(Rankings!$Q$6="n",0,index(Rankings!$D$3:$D127,match(AA25,Rankings!$B$3:$B127,0)))</f>
        <v>0</v>
      </c>
      <c r="AG25" s="188">
        <f t="shared" si="7"/>
        <v>0</v>
      </c>
      <c r="AH25" s="188">
        <f t="shared" si="8"/>
        <v>4.000000067</v>
      </c>
      <c r="AI25" s="188">
        <f t="shared" si="9"/>
        <v>29</v>
      </c>
      <c r="AJ25" s="188">
        <f t="shared" si="10"/>
        <v>6657</v>
      </c>
      <c r="AK25" s="188">
        <f t="shared" si="11"/>
        <v>4</v>
      </c>
      <c r="AL25" s="188">
        <f t="shared" si="12"/>
        <v>0</v>
      </c>
    </row>
    <row r="26">
      <c r="A26" s="83">
        <v>24.0</v>
      </c>
      <c r="B26" s="180" t="s">
        <v>405</v>
      </c>
      <c r="C26" s="181">
        <v>6650.0</v>
      </c>
      <c r="D26" s="181">
        <v>973.0</v>
      </c>
      <c r="E26" s="181">
        <v>3970.0</v>
      </c>
      <c r="F26" s="182">
        <v>4415.0</v>
      </c>
      <c r="G26" s="182">
        <v>751.0</v>
      </c>
      <c r="H26" s="182">
        <v>294.0</v>
      </c>
      <c r="I26" s="183"/>
      <c r="J26" s="184"/>
      <c r="K26" s="185">
        <f t="array" ref="K26">if( Rankings!$Q$6="y",index(Avgs!B:B,match(C26,Avgs!A:A,0))+index(Avgs!B:B,match(D26,Avgs!A:A,0))+index(Avgs!B:B,match(E26,Avgs!A:A,0)),0)</f>
        <v>0</v>
      </c>
      <c r="L26" s="186">
        <f t="array" ref="L26">if( Rankings!$Q$6="y",index(Avgs!B:B,match(F26,Avgs!A:A,0))+index(Avgs!B:B,match(G26,Avgs!A:A,0))+index(Avgs!B:B,match(H26,Avgs!A:A,0)),0)</f>
        <v>0</v>
      </c>
      <c r="M26" s="187">
        <f>if( Rankings!$Q$6="y",K26,0)</f>
        <v>0</v>
      </c>
      <c r="N26" s="186">
        <f>if( Rankings!$Q$6="y",L26,0)</f>
        <v>0</v>
      </c>
      <c r="O26" s="185">
        <f t="array" ref="O26">if( Rankings!$Q$6="y",index(Avgs!Q:Q,match(C26,Avgs!A:A,0))+index(Avgs!Q:Q,match(D26,Avgs!A:A,0))+index(Avgs!Q:Q,match(E26,Avgs!A:A,0)),0)</f>
        <v>0</v>
      </c>
      <c r="P26" s="186">
        <f t="array" ref="P26">if( Rankings!$Q$6="y",index(Avgs!Q:Q,match(F26,Avgs!A:A,0))+index(Avgs!Q:Q,match(G26,Avgs!A:A,0))+index(Avgs!Q:Q,match(H26,Avgs!A:A,0)),0)</f>
        <v>0</v>
      </c>
      <c r="Q26" s="185">
        <f t="array" ref="Q26">if( Rankings!$Q$6="y",index(Avgs!P:P,match(C26,Avgs!A:A,0))+index(Avgs!P:P,match(D26,Avgs!A:A,0))+index(Avgs!P:P,match(E26,Avgs!A:A,0)),0)</f>
        <v>0</v>
      </c>
      <c r="R26" s="186">
        <f t="array" ref="R26">if( Rankings!$Q$6="y",index(Avgs!P:P,match(F26,Avgs!A:A,0))+index(Avgs!P:P,match(G26,Avgs!A:A,0))+index(Avgs!P:P,match(H26,Avgs!A:A,0)),0)</f>
        <v>0</v>
      </c>
      <c r="S26" s="188" t="str">
        <f t="shared" si="1"/>
        <v>tie</v>
      </c>
      <c r="T26" s="188" t="str">
        <f t="shared" si="2"/>
        <v>tie</v>
      </c>
      <c r="U26" s="185">
        <f>if($A26&gt;Rankings!$Q$2,if(S26="red",2,if(S26="tie",1,0))+if(O26&gt;=12,1,0)+if(Q26&gt;=40,1,0),0)</f>
        <v>0</v>
      </c>
      <c r="V26" s="186">
        <f>if($A26&gt;Rankings!$Q$2,if(S26="blue",2,if(S26="tie",1,0))+if(P26&gt;=12,1,0)+if(R26&gt;=40,1,0),0)</f>
        <v>0</v>
      </c>
      <c r="W26" s="185">
        <f>if($A26&gt;Rankings!$Q$2,M26,0)</f>
        <v>0</v>
      </c>
      <c r="X26" s="186">
        <f>if($A26&gt;Rankings!$Q$2,N26,0)</f>
        <v>0</v>
      </c>
      <c r="Y26" s="81" t="str">
        <f t="shared" si="3"/>
        <v>973-3</v>
      </c>
      <c r="Z26" s="77"/>
      <c r="AA26" s="84">
        <f>Avgs!A26</f>
        <v>972</v>
      </c>
      <c r="AB26" s="188">
        <f t="shared" si="4"/>
        <v>5</v>
      </c>
      <c r="AC26" s="188">
        <f t="array" ref="AC26">if(Rankings!$Q$6="n",0,index(Rankings!$C$3:$C127,match(AA26,Rankings!$B$3:$B127,0)))</f>
        <v>0</v>
      </c>
      <c r="AD26" s="188">
        <f t="shared" si="5"/>
        <v>5</v>
      </c>
      <c r="AE26" s="188">
        <f t="shared" si="6"/>
        <v>0</v>
      </c>
      <c r="AF26" s="188">
        <f t="array" ref="AF26">if(Rankings!$Q$6="n",0,index(Rankings!$D$3:$D127,match(AA26,Rankings!$B$3:$B127,0)))</f>
        <v>0</v>
      </c>
      <c r="AG26" s="188">
        <f t="shared" si="7"/>
        <v>0</v>
      </c>
      <c r="AH26" s="188">
        <f t="shared" si="8"/>
        <v>5.00000001</v>
      </c>
      <c r="AI26" s="188">
        <f t="shared" si="9"/>
        <v>25</v>
      </c>
      <c r="AJ26" s="188">
        <f t="shared" si="10"/>
        <v>972</v>
      </c>
      <c r="AK26" s="188">
        <f t="shared" si="11"/>
        <v>5</v>
      </c>
      <c r="AL26" s="188">
        <f t="shared" si="12"/>
        <v>0</v>
      </c>
    </row>
    <row r="27">
      <c r="A27" s="83">
        <v>25.0</v>
      </c>
      <c r="B27" s="180" t="s">
        <v>406</v>
      </c>
      <c r="C27" s="181">
        <v>3501.0</v>
      </c>
      <c r="D27" s="181">
        <v>3495.0</v>
      </c>
      <c r="E27" s="181">
        <v>1388.0</v>
      </c>
      <c r="F27" s="182">
        <v>4643.0</v>
      </c>
      <c r="G27" s="182">
        <v>2761.0</v>
      </c>
      <c r="H27" s="182">
        <v>3189.0</v>
      </c>
      <c r="I27" s="183"/>
      <c r="J27" s="184"/>
      <c r="K27" s="185">
        <f t="array" ref="K27">if( Rankings!$Q$6="y",index(Avgs!B:B,match(C27,Avgs!A:A,0))+index(Avgs!B:B,match(D27,Avgs!A:A,0))+index(Avgs!B:B,match(E27,Avgs!A:A,0)),0)</f>
        <v>0</v>
      </c>
      <c r="L27" s="186">
        <f t="array" ref="L27">if( Rankings!$Q$6="y",index(Avgs!B:B,match(F27,Avgs!A:A,0))+index(Avgs!B:B,match(G27,Avgs!A:A,0))+index(Avgs!B:B,match(H27,Avgs!A:A,0)),0)</f>
        <v>0</v>
      </c>
      <c r="M27" s="187">
        <f>if( Rankings!$Q$6="y",K27,0)</f>
        <v>0</v>
      </c>
      <c r="N27" s="186">
        <f>if( Rankings!$Q$6="y",L27,0)</f>
        <v>0</v>
      </c>
      <c r="O27" s="185">
        <f t="array" ref="O27">if( Rankings!$Q$6="y",index(Avgs!Q:Q,match(C27,Avgs!A:A,0))+index(Avgs!Q:Q,match(D27,Avgs!A:A,0))+index(Avgs!Q:Q,match(E27,Avgs!A:A,0)),0)</f>
        <v>0</v>
      </c>
      <c r="P27" s="186">
        <f t="array" ref="P27">if( Rankings!$Q$6="y",index(Avgs!Q:Q,match(F27,Avgs!A:A,0))+index(Avgs!Q:Q,match(G27,Avgs!A:A,0))+index(Avgs!Q:Q,match(H27,Avgs!A:A,0)),0)</f>
        <v>0</v>
      </c>
      <c r="Q27" s="185">
        <f t="array" ref="Q27">if( Rankings!$Q$6="y",index(Avgs!P:P,match(C27,Avgs!A:A,0))+index(Avgs!P:P,match(D27,Avgs!A:A,0))+index(Avgs!P:P,match(E27,Avgs!A:A,0)),0)</f>
        <v>0</v>
      </c>
      <c r="R27" s="186">
        <f t="array" ref="R27">if( Rankings!$Q$6="y",index(Avgs!P:P,match(F27,Avgs!A:A,0))+index(Avgs!P:P,match(G27,Avgs!A:A,0))+index(Avgs!P:P,match(H27,Avgs!A:A,0)),0)</f>
        <v>0</v>
      </c>
      <c r="S27" s="188" t="str">
        <f t="shared" si="1"/>
        <v>tie</v>
      </c>
      <c r="T27" s="188" t="str">
        <f t="shared" si="2"/>
        <v>tie</v>
      </c>
      <c r="U27" s="185">
        <f>if($A27&gt;Rankings!$Q$2,if(S27="red",2,if(S27="tie",1,0))+if(O27&gt;=12,1,0)+if(Q27&gt;=40,1,0),0)</f>
        <v>0</v>
      </c>
      <c r="V27" s="186">
        <f>if($A27&gt;Rankings!$Q$2,if(S27="blue",2,if(S27="tie",1,0))+if(P27&gt;=12,1,0)+if(R27&gt;=40,1,0),0)</f>
        <v>0</v>
      </c>
      <c r="W27" s="185">
        <f>if($A27&gt;Rankings!$Q$2,M27,0)</f>
        <v>0</v>
      </c>
      <c r="X27" s="186">
        <f>if($A27&gt;Rankings!$Q$2,N27,0)</f>
        <v>0</v>
      </c>
      <c r="Y27" s="81" t="str">
        <f t="shared" si="3"/>
        <v/>
      </c>
      <c r="Z27" s="77"/>
      <c r="AA27" s="84">
        <f>Avgs!A27</f>
        <v>5852</v>
      </c>
      <c r="AB27" s="188">
        <f t="shared" si="4"/>
        <v>5</v>
      </c>
      <c r="AC27" s="188">
        <f t="array" ref="AC27">if(Rankings!$Q$6="n",0,index(Rankings!$C$3:$C127,match(AA27,Rankings!$B$3:$B127,0)))</f>
        <v>0</v>
      </c>
      <c r="AD27" s="188">
        <f t="shared" si="5"/>
        <v>5</v>
      </c>
      <c r="AE27" s="188">
        <f t="shared" si="6"/>
        <v>0</v>
      </c>
      <c r="AF27" s="188">
        <f t="array" ref="AF27">if(Rankings!$Q$6="n",0,index(Rankings!$D$3:$D127,match(AA27,Rankings!$B$3:$B127,0)))</f>
        <v>0</v>
      </c>
      <c r="AG27" s="188">
        <f t="shared" si="7"/>
        <v>0</v>
      </c>
      <c r="AH27" s="188">
        <f t="shared" si="8"/>
        <v>5.000000059</v>
      </c>
      <c r="AI27" s="188">
        <f t="shared" si="9"/>
        <v>5</v>
      </c>
      <c r="AJ27" s="188">
        <f t="shared" si="10"/>
        <v>5852</v>
      </c>
      <c r="AK27" s="188">
        <f t="shared" si="11"/>
        <v>5</v>
      </c>
      <c r="AL27" s="188">
        <f t="shared" si="12"/>
        <v>0</v>
      </c>
    </row>
    <row r="28">
      <c r="A28" s="83">
        <v>26.0</v>
      </c>
      <c r="B28" s="180" t="s">
        <v>407</v>
      </c>
      <c r="C28" s="181">
        <v>670.0</v>
      </c>
      <c r="D28" s="181">
        <v>4543.0</v>
      </c>
      <c r="E28" s="181">
        <v>2367.0</v>
      </c>
      <c r="F28" s="182">
        <v>2493.0</v>
      </c>
      <c r="G28" s="182">
        <v>1671.0</v>
      </c>
      <c r="H28" s="182">
        <v>3256.0</v>
      </c>
      <c r="I28" s="183"/>
      <c r="J28" s="184"/>
      <c r="K28" s="185">
        <f t="array" ref="K28">if( Rankings!$Q$6="y",index(Avgs!B:B,match(C28,Avgs!A:A,0))+index(Avgs!B:B,match(D28,Avgs!A:A,0))+index(Avgs!B:B,match(E28,Avgs!A:A,0)),0)</f>
        <v>0</v>
      </c>
      <c r="L28" s="186">
        <f t="array" ref="L28">if( Rankings!$Q$6="y",index(Avgs!B:B,match(F28,Avgs!A:A,0))+index(Avgs!B:B,match(G28,Avgs!A:A,0))+index(Avgs!B:B,match(H28,Avgs!A:A,0)),0)</f>
        <v>0</v>
      </c>
      <c r="M28" s="187">
        <f>if( Rankings!$Q$6="y",K28,0)</f>
        <v>0</v>
      </c>
      <c r="N28" s="186">
        <f>if( Rankings!$Q$6="y",L28,0)</f>
        <v>0</v>
      </c>
      <c r="O28" s="185">
        <f t="array" ref="O28">if( Rankings!$Q$6="y",index(Avgs!Q:Q,match(C28,Avgs!A:A,0))+index(Avgs!Q:Q,match(D28,Avgs!A:A,0))+index(Avgs!Q:Q,match(E28,Avgs!A:A,0)),0)</f>
        <v>0</v>
      </c>
      <c r="P28" s="186">
        <f t="array" ref="P28">if( Rankings!$Q$6="y",index(Avgs!Q:Q,match(F28,Avgs!A:A,0))+index(Avgs!Q:Q,match(G28,Avgs!A:A,0))+index(Avgs!Q:Q,match(H28,Avgs!A:A,0)),0)</f>
        <v>0</v>
      </c>
      <c r="Q28" s="185">
        <f t="array" ref="Q28">if( Rankings!$Q$6="y",index(Avgs!P:P,match(C28,Avgs!A:A,0))+index(Avgs!P:P,match(D28,Avgs!A:A,0))+index(Avgs!P:P,match(E28,Avgs!A:A,0)),0)</f>
        <v>0</v>
      </c>
      <c r="R28" s="186">
        <f t="array" ref="R28">if( Rankings!$Q$6="y",index(Avgs!P:P,match(F28,Avgs!A:A,0))+index(Avgs!P:P,match(G28,Avgs!A:A,0))+index(Avgs!P:P,match(H28,Avgs!A:A,0)),0)</f>
        <v>0</v>
      </c>
      <c r="S28" s="188" t="str">
        <f t="shared" si="1"/>
        <v>tie</v>
      </c>
      <c r="T28" s="188" t="str">
        <f t="shared" si="2"/>
        <v>tie</v>
      </c>
      <c r="U28" s="185">
        <f>if($A28&gt;Rankings!$Q$2,if(S28="red",2,if(S28="tie",1,0))+if(O28&gt;=12,1,0)+if(Q28&gt;=40,1,0),0)</f>
        <v>0</v>
      </c>
      <c r="V28" s="186">
        <f>if($A28&gt;Rankings!$Q$2,if(S28="blue",2,if(S28="tie",1,0))+if(P28&gt;=12,1,0)+if(R28&gt;=40,1,0),0)</f>
        <v>0</v>
      </c>
      <c r="W28" s="185">
        <f>if($A28&gt;Rankings!$Q$2,M28,0)</f>
        <v>0</v>
      </c>
      <c r="X28" s="186">
        <f>if($A28&gt;Rankings!$Q$2,N28,0)</f>
        <v>0</v>
      </c>
      <c r="Y28" s="81" t="str">
        <f t="shared" si="3"/>
        <v/>
      </c>
      <c r="Z28" s="77"/>
      <c r="AA28" s="84">
        <f>Avgs!A28</f>
        <v>2761</v>
      </c>
      <c r="AB28" s="188">
        <f t="shared" si="4"/>
        <v>5</v>
      </c>
      <c r="AC28" s="188">
        <f t="array" ref="AC28">if(Rankings!$Q$6="n",0,index(Rankings!$C$3:$C127,match(AA28,Rankings!$B$3:$B127,0)))</f>
        <v>0</v>
      </c>
      <c r="AD28" s="188">
        <f t="shared" si="5"/>
        <v>5</v>
      </c>
      <c r="AE28" s="188">
        <f t="shared" si="6"/>
        <v>0</v>
      </c>
      <c r="AF28" s="188">
        <f t="array" ref="AF28">if(Rankings!$Q$6="n",0,index(Rankings!$D$3:$D127,match(AA28,Rankings!$B$3:$B127,0)))</f>
        <v>0</v>
      </c>
      <c r="AG28" s="188">
        <f t="shared" si="7"/>
        <v>0</v>
      </c>
      <c r="AH28" s="188">
        <f t="shared" si="8"/>
        <v>5.000000028</v>
      </c>
      <c r="AI28" s="188">
        <f t="shared" si="9"/>
        <v>14</v>
      </c>
      <c r="AJ28" s="188">
        <f t="shared" si="10"/>
        <v>2761</v>
      </c>
      <c r="AK28" s="188">
        <f t="shared" si="11"/>
        <v>5</v>
      </c>
      <c r="AL28" s="188">
        <f t="shared" si="12"/>
        <v>0</v>
      </c>
    </row>
    <row r="29">
      <c r="A29" s="83">
        <v>27.0</v>
      </c>
      <c r="B29" s="180" t="s">
        <v>408</v>
      </c>
      <c r="C29" s="181">
        <v>5677.0</v>
      </c>
      <c r="D29" s="181">
        <v>2085.0</v>
      </c>
      <c r="E29" s="181">
        <v>6650.0</v>
      </c>
      <c r="F29" s="182">
        <v>972.0</v>
      </c>
      <c r="G29" s="182">
        <v>687.0</v>
      </c>
      <c r="H29" s="182">
        <v>6711.0</v>
      </c>
      <c r="I29" s="183"/>
      <c r="J29" s="184"/>
      <c r="K29" s="185">
        <f t="array" ref="K29">if( Rankings!$Q$6="y",index(Avgs!B:B,match(C29,Avgs!A:A,0))+index(Avgs!B:B,match(D29,Avgs!A:A,0))+index(Avgs!B:B,match(E29,Avgs!A:A,0)),0)</f>
        <v>0</v>
      </c>
      <c r="L29" s="186">
        <f t="array" ref="L29">if( Rankings!$Q$6="y",index(Avgs!B:B,match(F29,Avgs!A:A,0))+index(Avgs!B:B,match(G29,Avgs!A:A,0))+index(Avgs!B:B,match(H29,Avgs!A:A,0)),0)</f>
        <v>0</v>
      </c>
      <c r="M29" s="187">
        <f>if( Rankings!$Q$6="y",K29,0)</f>
        <v>0</v>
      </c>
      <c r="N29" s="186">
        <f>if( Rankings!$Q$6="y",L29,0)</f>
        <v>0</v>
      </c>
      <c r="O29" s="185">
        <f t="array" ref="O29">if( Rankings!$Q$6="y",index(Avgs!Q:Q,match(C29,Avgs!A:A,0))+index(Avgs!Q:Q,match(D29,Avgs!A:A,0))+index(Avgs!Q:Q,match(E29,Avgs!A:A,0)),0)</f>
        <v>0</v>
      </c>
      <c r="P29" s="186">
        <f t="array" ref="P29">if( Rankings!$Q$6="y",index(Avgs!Q:Q,match(F29,Avgs!A:A,0))+index(Avgs!Q:Q,match(G29,Avgs!A:A,0))+index(Avgs!Q:Q,match(H29,Avgs!A:A,0)),0)</f>
        <v>0</v>
      </c>
      <c r="Q29" s="185">
        <f t="array" ref="Q29">if( Rankings!$Q$6="y",index(Avgs!P:P,match(C29,Avgs!A:A,0))+index(Avgs!P:P,match(D29,Avgs!A:A,0))+index(Avgs!P:P,match(E29,Avgs!A:A,0)),0)</f>
        <v>0</v>
      </c>
      <c r="R29" s="186">
        <f t="array" ref="R29">if( Rankings!$Q$6="y",index(Avgs!P:P,match(F29,Avgs!A:A,0))+index(Avgs!P:P,match(G29,Avgs!A:A,0))+index(Avgs!P:P,match(H29,Avgs!A:A,0)),0)</f>
        <v>0</v>
      </c>
      <c r="S29" s="188" t="str">
        <f t="shared" si="1"/>
        <v>tie</v>
      </c>
      <c r="T29" s="188" t="str">
        <f t="shared" si="2"/>
        <v>tie</v>
      </c>
      <c r="U29" s="185">
        <f>if($A29&gt;Rankings!$Q$2,if(S29="red",2,if(S29="tie",1,0))+if(O29&gt;=12,1,0)+if(Q29&gt;=40,1,0),0)</f>
        <v>0</v>
      </c>
      <c r="V29" s="186">
        <f>if($A29&gt;Rankings!$Q$2,if(S29="blue",2,if(S29="tie",1,0))+if(P29&gt;=12,1,0)+if(R29&gt;=40,1,0),0)</f>
        <v>0</v>
      </c>
      <c r="W29" s="185">
        <f>if($A29&gt;Rankings!$Q$2,M29,0)</f>
        <v>0</v>
      </c>
      <c r="X29" s="186">
        <f>if($A29&gt;Rankings!$Q$2,N29,0)</f>
        <v>0</v>
      </c>
      <c r="Y29" s="81" t="str">
        <f t="shared" si="3"/>
        <v/>
      </c>
      <c r="Z29" s="77"/>
      <c r="AA29" s="84">
        <f>Avgs!A29</f>
        <v>5677</v>
      </c>
      <c r="AB29" s="188">
        <f t="shared" si="4"/>
        <v>4</v>
      </c>
      <c r="AC29" s="188">
        <f t="array" ref="AC29">if(Rankings!$Q$6="n",0,index(Rankings!$C$3:$C127,match(AA29,Rankings!$B$3:$B127,0)))</f>
        <v>0</v>
      </c>
      <c r="AD29" s="188">
        <f t="shared" si="5"/>
        <v>4</v>
      </c>
      <c r="AE29" s="188">
        <f t="shared" si="6"/>
        <v>0</v>
      </c>
      <c r="AF29" s="188">
        <f t="array" ref="AF29">if(Rankings!$Q$6="n",0,index(Rankings!$D$3:$D127,match(AA29,Rankings!$B$3:$B127,0)))</f>
        <v>0</v>
      </c>
      <c r="AG29" s="188">
        <f t="shared" si="7"/>
        <v>0</v>
      </c>
      <c r="AH29" s="188">
        <f t="shared" si="8"/>
        <v>4.000000057</v>
      </c>
      <c r="AI29" s="188">
        <f t="shared" si="9"/>
        <v>32</v>
      </c>
      <c r="AJ29" s="188">
        <f t="shared" si="10"/>
        <v>5677</v>
      </c>
      <c r="AK29" s="188">
        <f t="shared" si="11"/>
        <v>4</v>
      </c>
      <c r="AL29" s="188">
        <f t="shared" si="12"/>
        <v>0</v>
      </c>
    </row>
    <row r="30">
      <c r="A30" s="83">
        <v>28.0</v>
      </c>
      <c r="B30" s="180" t="s">
        <v>409</v>
      </c>
      <c r="C30" s="181">
        <v>1072.0</v>
      </c>
      <c r="D30" s="181">
        <v>4255.0</v>
      </c>
      <c r="E30" s="181">
        <v>2813.0</v>
      </c>
      <c r="F30" s="182">
        <v>973.0</v>
      </c>
      <c r="G30" s="182">
        <v>6305.0</v>
      </c>
      <c r="H30" s="182">
        <v>1323.0</v>
      </c>
      <c r="I30" s="183"/>
      <c r="J30" s="184"/>
      <c r="K30" s="185">
        <f t="array" ref="K30">if( Rankings!$Q$6="y",index(Avgs!B:B,match(C30,Avgs!A:A,0))+index(Avgs!B:B,match(D30,Avgs!A:A,0))+index(Avgs!B:B,match(E30,Avgs!A:A,0)),0)</f>
        <v>0</v>
      </c>
      <c r="L30" s="186">
        <f t="array" ref="L30">if( Rankings!$Q$6="y",index(Avgs!B:B,match(F30,Avgs!A:A,0))+index(Avgs!B:B,match(G30,Avgs!A:A,0))+index(Avgs!B:B,match(H30,Avgs!A:A,0)),0)</f>
        <v>0</v>
      </c>
      <c r="M30" s="187">
        <f>if( Rankings!$Q$6="y",K30,0)</f>
        <v>0</v>
      </c>
      <c r="N30" s="186">
        <f>if( Rankings!$Q$6="y",L30,0)</f>
        <v>0</v>
      </c>
      <c r="O30" s="185">
        <f t="array" ref="O30">if( Rankings!$Q$6="y",index(Avgs!Q:Q,match(C30,Avgs!A:A,0))+index(Avgs!Q:Q,match(D30,Avgs!A:A,0))+index(Avgs!Q:Q,match(E30,Avgs!A:A,0)),0)</f>
        <v>0</v>
      </c>
      <c r="P30" s="186">
        <f t="array" ref="P30">if( Rankings!$Q$6="y",index(Avgs!Q:Q,match(F30,Avgs!A:A,0))+index(Avgs!Q:Q,match(G30,Avgs!A:A,0))+index(Avgs!Q:Q,match(H30,Avgs!A:A,0)),0)</f>
        <v>0</v>
      </c>
      <c r="Q30" s="185">
        <f t="array" ref="Q30">if( Rankings!$Q$6="y",index(Avgs!P:P,match(C30,Avgs!A:A,0))+index(Avgs!P:P,match(D30,Avgs!A:A,0))+index(Avgs!P:P,match(E30,Avgs!A:A,0)),0)</f>
        <v>0</v>
      </c>
      <c r="R30" s="186">
        <f t="array" ref="R30">if( Rankings!$Q$6="y",index(Avgs!P:P,match(F30,Avgs!A:A,0))+index(Avgs!P:P,match(G30,Avgs!A:A,0))+index(Avgs!P:P,match(H30,Avgs!A:A,0)),0)</f>
        <v>0</v>
      </c>
      <c r="S30" s="188" t="str">
        <f t="shared" si="1"/>
        <v>tie</v>
      </c>
      <c r="T30" s="188" t="str">
        <f t="shared" si="2"/>
        <v>tie</v>
      </c>
      <c r="U30" s="185">
        <f>if($A30&gt;Rankings!$Q$2,if(S30="red",2,if(S30="tie",1,0))+if(O30&gt;=12,1,0)+if(Q30&gt;=40,1,0),0)</f>
        <v>0</v>
      </c>
      <c r="V30" s="186">
        <f>if($A30&gt;Rankings!$Q$2,if(S30="blue",2,if(S30="tie",1,0))+if(P30&gt;=12,1,0)+if(R30&gt;=40,1,0),0)</f>
        <v>0</v>
      </c>
      <c r="W30" s="185">
        <f>if($A30&gt;Rankings!$Q$2,M30,0)</f>
        <v>0</v>
      </c>
      <c r="X30" s="186">
        <f>if($A30&gt;Rankings!$Q$2,N30,0)</f>
        <v>0</v>
      </c>
      <c r="Y30" s="81" t="str">
        <f t="shared" si="3"/>
        <v>973-4</v>
      </c>
      <c r="Z30" s="77"/>
      <c r="AA30" s="84">
        <f>Avgs!A30</f>
        <v>4255</v>
      </c>
      <c r="AB30" s="188">
        <f t="shared" si="4"/>
        <v>5</v>
      </c>
      <c r="AC30" s="188">
        <f t="array" ref="AC30">if(Rankings!$Q$6="n",0,index(Rankings!$C$3:$C127,match(AA30,Rankings!$B$3:$B127,0)))</f>
        <v>0</v>
      </c>
      <c r="AD30" s="188">
        <f t="shared" si="5"/>
        <v>5</v>
      </c>
      <c r="AE30" s="188">
        <f t="shared" si="6"/>
        <v>0</v>
      </c>
      <c r="AF30" s="188">
        <f t="array" ref="AF30">if(Rankings!$Q$6="n",0,index(Rankings!$D$3:$D127,match(AA30,Rankings!$B$3:$B127,0)))</f>
        <v>0</v>
      </c>
      <c r="AG30" s="188">
        <f t="shared" si="7"/>
        <v>0</v>
      </c>
      <c r="AH30" s="188">
        <f t="shared" si="8"/>
        <v>5.000000043</v>
      </c>
      <c r="AI30" s="188">
        <f t="shared" si="9"/>
        <v>9</v>
      </c>
      <c r="AJ30" s="188">
        <f t="shared" si="10"/>
        <v>4255</v>
      </c>
      <c r="AK30" s="188">
        <f t="shared" si="11"/>
        <v>5</v>
      </c>
      <c r="AL30" s="188">
        <f t="shared" si="12"/>
        <v>0</v>
      </c>
    </row>
    <row r="31">
      <c r="A31" s="83">
        <v>29.0</v>
      </c>
      <c r="B31" s="180" t="s">
        <v>410</v>
      </c>
      <c r="C31" s="181">
        <v>4415.0</v>
      </c>
      <c r="D31" s="181">
        <v>5134.0</v>
      </c>
      <c r="E31" s="181">
        <v>6619.0</v>
      </c>
      <c r="F31" s="182">
        <v>2643.0</v>
      </c>
      <c r="G31" s="182">
        <v>3303.0</v>
      </c>
      <c r="H31" s="182">
        <v>5104.0</v>
      </c>
      <c r="I31" s="183"/>
      <c r="J31" s="184"/>
      <c r="K31" s="185">
        <f t="array" ref="K31">if( Rankings!$Q$6="y",index(Avgs!B:B,match(C31,Avgs!A:A,0))+index(Avgs!B:B,match(D31,Avgs!A:A,0))+index(Avgs!B:B,match(E31,Avgs!A:A,0)),0)</f>
        <v>0</v>
      </c>
      <c r="L31" s="186">
        <f t="array" ref="L31">if( Rankings!$Q$6="y",index(Avgs!B:B,match(F31,Avgs!A:A,0))+index(Avgs!B:B,match(G31,Avgs!A:A,0))+index(Avgs!B:B,match(H31,Avgs!A:A,0)),0)</f>
        <v>0</v>
      </c>
      <c r="M31" s="187">
        <f>if( Rankings!$Q$6="y",K31,0)</f>
        <v>0</v>
      </c>
      <c r="N31" s="186">
        <f>if( Rankings!$Q$6="y",L31,0)</f>
        <v>0</v>
      </c>
      <c r="O31" s="185">
        <f t="array" ref="O31">if( Rankings!$Q$6="y",index(Avgs!Q:Q,match(C31,Avgs!A:A,0))+index(Avgs!Q:Q,match(D31,Avgs!A:A,0))+index(Avgs!Q:Q,match(E31,Avgs!A:A,0)),0)</f>
        <v>0</v>
      </c>
      <c r="P31" s="186">
        <f t="array" ref="P31">if( Rankings!$Q$6="y",index(Avgs!Q:Q,match(F31,Avgs!A:A,0))+index(Avgs!Q:Q,match(G31,Avgs!A:A,0))+index(Avgs!Q:Q,match(H31,Avgs!A:A,0)),0)</f>
        <v>0</v>
      </c>
      <c r="Q31" s="185">
        <f t="array" ref="Q31">if( Rankings!$Q$6="y",index(Avgs!P:P,match(C31,Avgs!A:A,0))+index(Avgs!P:P,match(D31,Avgs!A:A,0))+index(Avgs!P:P,match(E31,Avgs!A:A,0)),0)</f>
        <v>0</v>
      </c>
      <c r="R31" s="186">
        <f t="array" ref="R31">if( Rankings!$Q$6="y",index(Avgs!P:P,match(F31,Avgs!A:A,0))+index(Avgs!P:P,match(G31,Avgs!A:A,0))+index(Avgs!P:P,match(H31,Avgs!A:A,0)),0)</f>
        <v>0</v>
      </c>
      <c r="S31" s="188" t="str">
        <f t="shared" si="1"/>
        <v>tie</v>
      </c>
      <c r="T31" s="188" t="str">
        <f t="shared" si="2"/>
        <v>tie</v>
      </c>
      <c r="U31" s="185">
        <f>if($A31&gt;Rankings!$Q$2,if(S31="red",2,if(S31="tie",1,0))+if(O31&gt;=12,1,0)+if(Q31&gt;=40,1,0),0)</f>
        <v>0</v>
      </c>
      <c r="V31" s="186">
        <f>if($A31&gt;Rankings!$Q$2,if(S31="blue",2,if(S31="tie",1,0))+if(P31&gt;=12,1,0)+if(R31&gt;=40,1,0),0)</f>
        <v>0</v>
      </c>
      <c r="W31" s="185">
        <f>if($A31&gt;Rankings!$Q$2,M31,0)</f>
        <v>0</v>
      </c>
      <c r="X31" s="186">
        <f>if($A31&gt;Rankings!$Q$2,N31,0)</f>
        <v>0</v>
      </c>
      <c r="Y31" s="81" t="str">
        <f t="shared" si="3"/>
        <v/>
      </c>
      <c r="Z31" s="77"/>
      <c r="AA31" s="84">
        <f>Avgs!A31</f>
        <v>1671</v>
      </c>
      <c r="AB31" s="188">
        <f t="shared" si="4"/>
        <v>5</v>
      </c>
      <c r="AC31" s="188">
        <f t="array" ref="AC31">if(Rankings!$Q$6="n",0,index(Rankings!$C$3:$C127,match(AA31,Rankings!$B$3:$B127,0)))</f>
        <v>0</v>
      </c>
      <c r="AD31" s="188">
        <f t="shared" si="5"/>
        <v>5</v>
      </c>
      <c r="AE31" s="188">
        <f t="shared" si="6"/>
        <v>0</v>
      </c>
      <c r="AF31" s="188">
        <f t="array" ref="AF31">if(Rankings!$Q$6="n",0,index(Rankings!$D$3:$D127,match(AA31,Rankings!$B$3:$B127,0)))</f>
        <v>0</v>
      </c>
      <c r="AG31" s="188">
        <f t="shared" si="7"/>
        <v>0</v>
      </c>
      <c r="AH31" s="188">
        <f t="shared" si="8"/>
        <v>5.000000017</v>
      </c>
      <c r="AI31" s="188">
        <f t="shared" si="9"/>
        <v>19</v>
      </c>
      <c r="AJ31" s="188">
        <f t="shared" si="10"/>
        <v>1671</v>
      </c>
      <c r="AK31" s="188">
        <f t="shared" si="11"/>
        <v>5</v>
      </c>
      <c r="AL31" s="188">
        <f t="shared" si="12"/>
        <v>0</v>
      </c>
    </row>
    <row r="32">
      <c r="A32" s="83">
        <v>30.0</v>
      </c>
      <c r="B32" s="180" t="s">
        <v>411</v>
      </c>
      <c r="C32" s="181">
        <v>6657.0</v>
      </c>
      <c r="D32" s="181">
        <v>6059.0</v>
      </c>
      <c r="E32" s="181">
        <v>852.0</v>
      </c>
      <c r="F32" s="182">
        <v>1422.0</v>
      </c>
      <c r="G32" s="182">
        <v>1662.0</v>
      </c>
      <c r="H32" s="182">
        <v>6699.0</v>
      </c>
      <c r="I32" s="183"/>
      <c r="J32" s="184"/>
      <c r="K32" s="185">
        <f t="array" ref="K32">if( Rankings!$Q$6="y",index(Avgs!B:B,match(C32,Avgs!A:A,0))+index(Avgs!B:B,match(D32,Avgs!A:A,0))+index(Avgs!B:B,match(E32,Avgs!A:A,0)),0)</f>
        <v>0</v>
      </c>
      <c r="L32" s="186">
        <f t="array" ref="L32">if( Rankings!$Q$6="y",index(Avgs!B:B,match(F32,Avgs!A:A,0))+index(Avgs!B:B,match(G32,Avgs!A:A,0))+index(Avgs!B:B,match(H32,Avgs!A:A,0)),0)</f>
        <v>0</v>
      </c>
      <c r="M32" s="187">
        <f>if( Rankings!$Q$6="y",K32,0)</f>
        <v>0</v>
      </c>
      <c r="N32" s="186">
        <f>if( Rankings!$Q$6="y",L32,0)</f>
        <v>0</v>
      </c>
      <c r="O32" s="185">
        <f t="array" ref="O32">if( Rankings!$Q$6="y",index(Avgs!Q:Q,match(C32,Avgs!A:A,0))+index(Avgs!Q:Q,match(D32,Avgs!A:A,0))+index(Avgs!Q:Q,match(E32,Avgs!A:A,0)),0)</f>
        <v>0</v>
      </c>
      <c r="P32" s="186">
        <f t="array" ref="P32">if( Rankings!$Q$6="y",index(Avgs!Q:Q,match(F32,Avgs!A:A,0))+index(Avgs!Q:Q,match(G32,Avgs!A:A,0))+index(Avgs!Q:Q,match(H32,Avgs!A:A,0)),0)</f>
        <v>0</v>
      </c>
      <c r="Q32" s="185">
        <f t="array" ref="Q32">if( Rankings!$Q$6="y",index(Avgs!P:P,match(C32,Avgs!A:A,0))+index(Avgs!P:P,match(D32,Avgs!A:A,0))+index(Avgs!P:P,match(E32,Avgs!A:A,0)),0)</f>
        <v>0</v>
      </c>
      <c r="R32" s="186">
        <f t="array" ref="R32">if( Rankings!$Q$6="y",index(Avgs!P:P,match(F32,Avgs!A:A,0))+index(Avgs!P:P,match(G32,Avgs!A:A,0))+index(Avgs!P:P,match(H32,Avgs!A:A,0)),0)</f>
        <v>0</v>
      </c>
      <c r="S32" s="188" t="str">
        <f t="shared" si="1"/>
        <v>tie</v>
      </c>
      <c r="T32" s="188" t="str">
        <f t="shared" si="2"/>
        <v>tie</v>
      </c>
      <c r="U32" s="185">
        <f>if($A32&gt;Rankings!$Q$2,if(S32="red",2,if(S32="tie",1,0))+if(O32&gt;=12,1,0)+if(Q32&gt;=40,1,0),0)</f>
        <v>0</v>
      </c>
      <c r="V32" s="186">
        <f>if($A32&gt;Rankings!$Q$2,if(S32="blue",2,if(S32="tie",1,0))+if(P32&gt;=12,1,0)+if(R32&gt;=40,1,0),0)</f>
        <v>0</v>
      </c>
      <c r="W32" s="185">
        <f>if($A32&gt;Rankings!$Q$2,M32,0)</f>
        <v>0</v>
      </c>
      <c r="X32" s="186">
        <f>if($A32&gt;Rankings!$Q$2,N32,0)</f>
        <v>0</v>
      </c>
      <c r="Y32" s="81" t="str">
        <f t="shared" si="3"/>
        <v/>
      </c>
      <c r="Z32" s="77"/>
      <c r="AA32" s="84">
        <f>Avgs!A32</f>
        <v>3970</v>
      </c>
      <c r="AB32" s="188">
        <f t="shared" si="4"/>
        <v>5</v>
      </c>
      <c r="AC32" s="188">
        <f t="array" ref="AC32">if(Rankings!$Q$6="n",0,index(Rankings!$C$3:$C127,match(AA32,Rankings!$B$3:$B127,0)))</f>
        <v>0</v>
      </c>
      <c r="AD32" s="188">
        <f t="shared" si="5"/>
        <v>5</v>
      </c>
      <c r="AE32" s="188">
        <f t="shared" si="6"/>
        <v>0</v>
      </c>
      <c r="AF32" s="188">
        <f t="array" ref="AF32">if(Rankings!$Q$6="n",0,index(Rankings!$D$3:$D127,match(AA32,Rankings!$B$3:$B127,0)))</f>
        <v>0</v>
      </c>
      <c r="AG32" s="188">
        <f t="shared" si="7"/>
        <v>0</v>
      </c>
      <c r="AH32" s="188">
        <f t="shared" si="8"/>
        <v>5.00000004</v>
      </c>
      <c r="AI32" s="188">
        <f t="shared" si="9"/>
        <v>10</v>
      </c>
      <c r="AJ32" s="188">
        <f t="shared" si="10"/>
        <v>3970</v>
      </c>
      <c r="AK32" s="188">
        <f t="shared" si="11"/>
        <v>5</v>
      </c>
      <c r="AL32" s="188">
        <f t="shared" si="12"/>
        <v>0</v>
      </c>
    </row>
    <row r="33">
      <c r="A33" s="83">
        <v>31.0</v>
      </c>
      <c r="B33" s="180" t="s">
        <v>412</v>
      </c>
      <c r="C33" s="181">
        <v>4276.0</v>
      </c>
      <c r="D33" s="181">
        <v>5817.0</v>
      </c>
      <c r="E33" s="181">
        <v>5852.0</v>
      </c>
      <c r="F33" s="182">
        <v>3045.0</v>
      </c>
      <c r="G33" s="182">
        <v>1678.0</v>
      </c>
      <c r="H33" s="182">
        <v>1868.0</v>
      </c>
      <c r="I33" s="183"/>
      <c r="J33" s="184"/>
      <c r="K33" s="185">
        <f t="array" ref="K33">if( Rankings!$Q$6="y",index(Avgs!B:B,match(C33,Avgs!A:A,0))+index(Avgs!B:B,match(D33,Avgs!A:A,0))+index(Avgs!B:B,match(E33,Avgs!A:A,0)),0)</f>
        <v>0</v>
      </c>
      <c r="L33" s="186">
        <f t="array" ref="L33">if( Rankings!$Q$6="y",index(Avgs!B:B,match(F33,Avgs!A:A,0))+index(Avgs!B:B,match(G33,Avgs!A:A,0))+index(Avgs!B:B,match(H33,Avgs!A:A,0)),0)</f>
        <v>0</v>
      </c>
      <c r="M33" s="187">
        <f>if( Rankings!$Q$6="y",K33,0)</f>
        <v>0</v>
      </c>
      <c r="N33" s="186">
        <f>if( Rankings!$Q$6="y",L33,0)</f>
        <v>0</v>
      </c>
      <c r="O33" s="185">
        <f t="array" ref="O33">if( Rankings!$Q$6="y",index(Avgs!Q:Q,match(C33,Avgs!A:A,0))+index(Avgs!Q:Q,match(D33,Avgs!A:A,0))+index(Avgs!Q:Q,match(E33,Avgs!A:A,0)),0)</f>
        <v>0</v>
      </c>
      <c r="P33" s="186">
        <f t="array" ref="P33">if( Rankings!$Q$6="y",index(Avgs!Q:Q,match(F33,Avgs!A:A,0))+index(Avgs!Q:Q,match(G33,Avgs!A:A,0))+index(Avgs!Q:Q,match(H33,Avgs!A:A,0)),0)</f>
        <v>0</v>
      </c>
      <c r="Q33" s="185">
        <f t="array" ref="Q33">if( Rankings!$Q$6="y",index(Avgs!P:P,match(C33,Avgs!A:A,0))+index(Avgs!P:P,match(D33,Avgs!A:A,0))+index(Avgs!P:P,match(E33,Avgs!A:A,0)),0)</f>
        <v>0</v>
      </c>
      <c r="R33" s="186">
        <f t="array" ref="R33">if( Rankings!$Q$6="y",index(Avgs!P:P,match(F33,Avgs!A:A,0))+index(Avgs!P:P,match(G33,Avgs!A:A,0))+index(Avgs!P:P,match(H33,Avgs!A:A,0)),0)</f>
        <v>0</v>
      </c>
      <c r="S33" s="188" t="str">
        <f t="shared" si="1"/>
        <v>tie</v>
      </c>
      <c r="T33" s="188" t="str">
        <f t="shared" si="2"/>
        <v>tie</v>
      </c>
      <c r="U33" s="185">
        <f>if($A33&gt;Rankings!$Q$2,if(S33="red",2,if(S33="tie",1,0))+if(O33&gt;=12,1,0)+if(Q33&gt;=40,1,0),0)</f>
        <v>0</v>
      </c>
      <c r="V33" s="186">
        <f>if($A33&gt;Rankings!$Q$2,if(S33="blue",2,if(S33="tie",1,0))+if(P33&gt;=12,1,0)+if(R33&gt;=40,1,0),0)</f>
        <v>0</v>
      </c>
      <c r="W33" s="185">
        <f>if($A33&gt;Rankings!$Q$2,M33,0)</f>
        <v>0</v>
      </c>
      <c r="X33" s="186">
        <f>if($A33&gt;Rankings!$Q$2,N33,0)</f>
        <v>0</v>
      </c>
      <c r="Y33" s="81" t="str">
        <f t="shared" si="3"/>
        <v/>
      </c>
      <c r="Z33" s="77"/>
      <c r="AA33" s="84">
        <f>Avgs!A33</f>
        <v>2493</v>
      </c>
      <c r="AB33" s="188">
        <f t="shared" si="4"/>
        <v>4</v>
      </c>
      <c r="AC33" s="188">
        <f t="array" ref="AC33">if(Rankings!$Q$6="n",0,index(Rankings!$C$3:$C127,match(AA33,Rankings!$B$3:$B127,0)))</f>
        <v>0</v>
      </c>
      <c r="AD33" s="188">
        <f t="shared" si="5"/>
        <v>4</v>
      </c>
      <c r="AE33" s="188">
        <f t="shared" si="6"/>
        <v>0</v>
      </c>
      <c r="AF33" s="188">
        <f t="array" ref="AF33">if(Rankings!$Q$6="n",0,index(Rankings!$D$3:$D127,match(AA33,Rankings!$B$3:$B127,0)))</f>
        <v>0</v>
      </c>
      <c r="AG33" s="188">
        <f t="shared" si="7"/>
        <v>0</v>
      </c>
      <c r="AH33" s="188">
        <f t="shared" si="8"/>
        <v>4.000000025</v>
      </c>
      <c r="AI33" s="188">
        <f t="shared" si="9"/>
        <v>41</v>
      </c>
      <c r="AJ33" s="188">
        <f t="shared" si="10"/>
        <v>2493</v>
      </c>
      <c r="AK33" s="188">
        <f t="shared" si="11"/>
        <v>4</v>
      </c>
      <c r="AL33" s="188">
        <f t="shared" si="12"/>
        <v>0</v>
      </c>
    </row>
    <row r="34">
      <c r="A34" s="83">
        <v>32.0</v>
      </c>
      <c r="B34" s="180" t="s">
        <v>413</v>
      </c>
      <c r="C34" s="181">
        <v>4643.0</v>
      </c>
      <c r="D34" s="181">
        <v>980.0</v>
      </c>
      <c r="E34" s="181">
        <v>1323.0</v>
      </c>
      <c r="F34" s="182">
        <v>294.0</v>
      </c>
      <c r="G34" s="182">
        <v>2367.0</v>
      </c>
      <c r="H34" s="182">
        <v>2135.0</v>
      </c>
      <c r="I34" s="183"/>
      <c r="J34" s="184"/>
      <c r="K34" s="185">
        <f t="array" ref="K34">if( Rankings!$Q$6="y",index(Avgs!B:B,match(C34,Avgs!A:A,0))+index(Avgs!B:B,match(D34,Avgs!A:A,0))+index(Avgs!B:B,match(E34,Avgs!A:A,0)),0)</f>
        <v>0</v>
      </c>
      <c r="L34" s="186">
        <f t="array" ref="L34">if( Rankings!$Q$6="y",index(Avgs!B:B,match(F34,Avgs!A:A,0))+index(Avgs!B:B,match(G34,Avgs!A:A,0))+index(Avgs!B:B,match(H34,Avgs!A:A,0)),0)</f>
        <v>0</v>
      </c>
      <c r="M34" s="187">
        <f>if( Rankings!$Q$6="y",K34,0)</f>
        <v>0</v>
      </c>
      <c r="N34" s="186">
        <f>if( Rankings!$Q$6="y",L34,0)</f>
        <v>0</v>
      </c>
      <c r="O34" s="185">
        <f t="array" ref="O34">if( Rankings!$Q$6="y",index(Avgs!Q:Q,match(C34,Avgs!A:A,0))+index(Avgs!Q:Q,match(D34,Avgs!A:A,0))+index(Avgs!Q:Q,match(E34,Avgs!A:A,0)),0)</f>
        <v>0</v>
      </c>
      <c r="P34" s="186">
        <f t="array" ref="P34">if( Rankings!$Q$6="y",index(Avgs!Q:Q,match(F34,Avgs!A:A,0))+index(Avgs!Q:Q,match(G34,Avgs!A:A,0))+index(Avgs!Q:Q,match(H34,Avgs!A:A,0)),0)</f>
        <v>0</v>
      </c>
      <c r="Q34" s="185">
        <f t="array" ref="Q34">if( Rankings!$Q$6="y",index(Avgs!P:P,match(C34,Avgs!A:A,0))+index(Avgs!P:P,match(D34,Avgs!A:A,0))+index(Avgs!P:P,match(E34,Avgs!A:A,0)),0)</f>
        <v>0</v>
      </c>
      <c r="R34" s="186">
        <f t="array" ref="R34">if( Rankings!$Q$6="y",index(Avgs!P:P,match(F34,Avgs!A:A,0))+index(Avgs!P:P,match(G34,Avgs!A:A,0))+index(Avgs!P:P,match(H34,Avgs!A:A,0)),0)</f>
        <v>0</v>
      </c>
      <c r="S34" s="188" t="str">
        <f t="shared" si="1"/>
        <v>tie</v>
      </c>
      <c r="T34" s="188" t="str">
        <f t="shared" si="2"/>
        <v>tie</v>
      </c>
      <c r="U34" s="185">
        <f>if($A34&gt;Rankings!$Q$2,if(S34="red",2,if(S34="tie",1,0))+if(O34&gt;=12,1,0)+if(Q34&gt;=40,1,0),0)</f>
        <v>0</v>
      </c>
      <c r="V34" s="186">
        <f>if($A34&gt;Rankings!$Q$2,if(S34="blue",2,if(S34="tie",1,0))+if(P34&gt;=12,1,0)+if(R34&gt;=40,1,0),0)</f>
        <v>0</v>
      </c>
      <c r="W34" s="185">
        <f>if($A34&gt;Rankings!$Q$2,M34,0)</f>
        <v>0</v>
      </c>
      <c r="X34" s="186">
        <f>if($A34&gt;Rankings!$Q$2,N34,0)</f>
        <v>0</v>
      </c>
      <c r="Y34" s="81" t="str">
        <f t="shared" si="3"/>
        <v/>
      </c>
      <c r="Z34" s="77"/>
      <c r="AA34" s="84">
        <f>Avgs!A34</f>
        <v>3495</v>
      </c>
      <c r="AB34" s="188">
        <f t="shared" si="4"/>
        <v>4</v>
      </c>
      <c r="AC34" s="188">
        <f t="array" ref="AC34">if(Rankings!$Q$6="n",0,index(Rankings!$C$3:$C127,match(AA34,Rankings!$B$3:$B127,0)))</f>
        <v>0</v>
      </c>
      <c r="AD34" s="188">
        <f t="shared" si="5"/>
        <v>4</v>
      </c>
      <c r="AE34" s="188">
        <f t="shared" si="6"/>
        <v>0</v>
      </c>
      <c r="AF34" s="188">
        <f t="array" ref="AF34">if(Rankings!$Q$6="n",0,index(Rankings!$D$3:$D127,match(AA34,Rankings!$B$3:$B127,0)))</f>
        <v>0</v>
      </c>
      <c r="AG34" s="188">
        <f t="shared" si="7"/>
        <v>0</v>
      </c>
      <c r="AH34" s="188">
        <f t="shared" si="8"/>
        <v>4.000000035</v>
      </c>
      <c r="AI34" s="188">
        <f t="shared" si="9"/>
        <v>37</v>
      </c>
      <c r="AJ34" s="188">
        <f t="shared" si="10"/>
        <v>3495</v>
      </c>
      <c r="AK34" s="188">
        <f t="shared" si="11"/>
        <v>4</v>
      </c>
      <c r="AL34" s="188">
        <f t="shared" si="12"/>
        <v>0</v>
      </c>
    </row>
    <row r="35">
      <c r="A35" s="83">
        <v>33.0</v>
      </c>
      <c r="B35" s="180" t="s">
        <v>414</v>
      </c>
      <c r="C35" s="181">
        <v>2493.0</v>
      </c>
      <c r="D35" s="181">
        <v>670.0</v>
      </c>
      <c r="E35" s="181">
        <v>6657.0</v>
      </c>
      <c r="F35" s="182">
        <v>751.0</v>
      </c>
      <c r="G35" s="182">
        <v>5677.0</v>
      </c>
      <c r="H35" s="182">
        <v>5134.0</v>
      </c>
      <c r="I35" s="183"/>
      <c r="J35" s="184"/>
      <c r="K35" s="185">
        <f t="array" ref="K35">if( Rankings!$Q$6="y",index(Avgs!B:B,match(C35,Avgs!A:A,0))+index(Avgs!B:B,match(D35,Avgs!A:A,0))+index(Avgs!B:B,match(E35,Avgs!A:A,0)),0)</f>
        <v>0</v>
      </c>
      <c r="L35" s="186">
        <f t="array" ref="L35">if( Rankings!$Q$6="y",index(Avgs!B:B,match(F35,Avgs!A:A,0))+index(Avgs!B:B,match(G35,Avgs!A:A,0))+index(Avgs!B:B,match(H35,Avgs!A:A,0)),0)</f>
        <v>0</v>
      </c>
      <c r="M35" s="187">
        <f>if( Rankings!$Q$6="y",K35,0)</f>
        <v>0</v>
      </c>
      <c r="N35" s="186">
        <f>if( Rankings!$Q$6="y",L35,0)</f>
        <v>0</v>
      </c>
      <c r="O35" s="185">
        <f t="array" ref="O35">if( Rankings!$Q$6="y",index(Avgs!Q:Q,match(C35,Avgs!A:A,0))+index(Avgs!Q:Q,match(D35,Avgs!A:A,0))+index(Avgs!Q:Q,match(E35,Avgs!A:A,0)),0)</f>
        <v>0</v>
      </c>
      <c r="P35" s="186">
        <f t="array" ref="P35">if( Rankings!$Q$6="y",index(Avgs!Q:Q,match(F35,Avgs!A:A,0))+index(Avgs!Q:Q,match(G35,Avgs!A:A,0))+index(Avgs!Q:Q,match(H35,Avgs!A:A,0)),0)</f>
        <v>0</v>
      </c>
      <c r="Q35" s="185">
        <f t="array" ref="Q35">if( Rankings!$Q$6="y",index(Avgs!P:P,match(C35,Avgs!A:A,0))+index(Avgs!P:P,match(D35,Avgs!A:A,0))+index(Avgs!P:P,match(E35,Avgs!A:A,0)),0)</f>
        <v>0</v>
      </c>
      <c r="R35" s="186">
        <f t="array" ref="R35">if( Rankings!$Q$6="y",index(Avgs!P:P,match(F35,Avgs!A:A,0))+index(Avgs!P:P,match(G35,Avgs!A:A,0))+index(Avgs!P:P,match(H35,Avgs!A:A,0)),0)</f>
        <v>0</v>
      </c>
      <c r="S35" s="188" t="str">
        <f t="shared" si="1"/>
        <v>tie</v>
      </c>
      <c r="T35" s="188" t="str">
        <f t="shared" si="2"/>
        <v>tie</v>
      </c>
      <c r="U35" s="185">
        <f>if($A35&gt;Rankings!$Q$2,if(S35="red",2,if(S35="tie",1,0))+if(O35&gt;=12,1,0)+if(Q35&gt;=40,1,0),0)</f>
        <v>0</v>
      </c>
      <c r="V35" s="186">
        <f>if($A35&gt;Rankings!$Q$2,if(S35="blue",2,if(S35="tie",1,0))+if(P35&gt;=12,1,0)+if(R35&gt;=40,1,0),0)</f>
        <v>0</v>
      </c>
      <c r="W35" s="185">
        <f>if($A35&gt;Rankings!$Q$2,M35,0)</f>
        <v>0</v>
      </c>
      <c r="X35" s="186">
        <f>if($A35&gt;Rankings!$Q$2,N35,0)</f>
        <v>0</v>
      </c>
      <c r="Y35" s="81" t="str">
        <f t="shared" si="3"/>
        <v/>
      </c>
      <c r="Z35" s="77"/>
      <c r="AA35" s="84">
        <f>Avgs!A35</f>
        <v>1422</v>
      </c>
      <c r="AB35" s="188">
        <f t="shared" si="4"/>
        <v>4</v>
      </c>
      <c r="AC35" s="188">
        <f t="array" ref="AC35">if(Rankings!$Q$6="n",0,index(Rankings!$C$3:$C127,match(AA35,Rankings!$B$3:$B127,0)))</f>
        <v>0</v>
      </c>
      <c r="AD35" s="188">
        <f t="shared" si="5"/>
        <v>4</v>
      </c>
      <c r="AE35" s="188">
        <f t="shared" si="6"/>
        <v>0</v>
      </c>
      <c r="AF35" s="188">
        <f t="array" ref="AF35">if(Rankings!$Q$6="n",0,index(Rankings!$D$3:$D127,match(AA35,Rankings!$B$3:$B127,0)))</f>
        <v>0</v>
      </c>
      <c r="AG35" s="188">
        <f t="shared" si="7"/>
        <v>0</v>
      </c>
      <c r="AH35" s="188">
        <f t="shared" si="8"/>
        <v>4.000000014</v>
      </c>
      <c r="AI35" s="188">
        <f t="shared" si="9"/>
        <v>43</v>
      </c>
      <c r="AJ35" s="188">
        <f t="shared" si="10"/>
        <v>1422</v>
      </c>
      <c r="AK35" s="188">
        <f t="shared" si="11"/>
        <v>4</v>
      </c>
      <c r="AL35" s="188">
        <f t="shared" si="12"/>
        <v>0</v>
      </c>
    </row>
    <row r="36">
      <c r="A36" s="83">
        <v>34.0</v>
      </c>
      <c r="B36" s="180" t="s">
        <v>415</v>
      </c>
      <c r="C36" s="181">
        <v>6059.0</v>
      </c>
      <c r="D36" s="181">
        <v>6699.0</v>
      </c>
      <c r="E36" s="181">
        <v>3189.0</v>
      </c>
      <c r="F36" s="182">
        <v>6305.0</v>
      </c>
      <c r="G36" s="182">
        <v>3256.0</v>
      </c>
      <c r="H36" s="182">
        <v>5104.0</v>
      </c>
      <c r="I36" s="183"/>
      <c r="J36" s="184"/>
      <c r="K36" s="185">
        <f t="array" ref="K36">if( Rankings!$Q$6="y",index(Avgs!B:B,match(C36,Avgs!A:A,0))+index(Avgs!B:B,match(D36,Avgs!A:A,0))+index(Avgs!B:B,match(E36,Avgs!A:A,0)),0)</f>
        <v>0</v>
      </c>
      <c r="L36" s="186">
        <f t="array" ref="L36">if( Rankings!$Q$6="y",index(Avgs!B:B,match(F36,Avgs!A:A,0))+index(Avgs!B:B,match(G36,Avgs!A:A,0))+index(Avgs!B:B,match(H36,Avgs!A:A,0)),0)</f>
        <v>0</v>
      </c>
      <c r="M36" s="187">
        <f>if( Rankings!$Q$6="y",K36,0)</f>
        <v>0</v>
      </c>
      <c r="N36" s="186">
        <f>if( Rankings!$Q$6="y",L36,0)</f>
        <v>0</v>
      </c>
      <c r="O36" s="185">
        <f t="array" ref="O36">if( Rankings!$Q$6="y",index(Avgs!Q:Q,match(C36,Avgs!A:A,0))+index(Avgs!Q:Q,match(D36,Avgs!A:A,0))+index(Avgs!Q:Q,match(E36,Avgs!A:A,0)),0)</f>
        <v>0</v>
      </c>
      <c r="P36" s="186">
        <f t="array" ref="P36">if( Rankings!$Q$6="y",index(Avgs!Q:Q,match(F36,Avgs!A:A,0))+index(Avgs!Q:Q,match(G36,Avgs!A:A,0))+index(Avgs!Q:Q,match(H36,Avgs!A:A,0)),0)</f>
        <v>0</v>
      </c>
      <c r="Q36" s="185">
        <f t="array" ref="Q36">if( Rankings!$Q$6="y",index(Avgs!P:P,match(C36,Avgs!A:A,0))+index(Avgs!P:P,match(D36,Avgs!A:A,0))+index(Avgs!P:P,match(E36,Avgs!A:A,0)),0)</f>
        <v>0</v>
      </c>
      <c r="R36" s="186">
        <f t="array" ref="R36">if( Rankings!$Q$6="y",index(Avgs!P:P,match(F36,Avgs!A:A,0))+index(Avgs!P:P,match(G36,Avgs!A:A,0))+index(Avgs!P:P,match(H36,Avgs!A:A,0)),0)</f>
        <v>0</v>
      </c>
      <c r="S36" s="188" t="str">
        <f t="shared" si="1"/>
        <v>tie</v>
      </c>
      <c r="T36" s="188" t="str">
        <f t="shared" si="2"/>
        <v>tie</v>
      </c>
      <c r="U36" s="185">
        <f>if($A36&gt;Rankings!$Q$2,if(S36="red",2,if(S36="tie",1,0))+if(O36&gt;=12,1,0)+if(Q36&gt;=40,1,0),0)</f>
        <v>0</v>
      </c>
      <c r="V36" s="186">
        <f>if($A36&gt;Rankings!$Q$2,if(S36="blue",2,if(S36="tie",1,0))+if(P36&gt;=12,1,0)+if(R36&gt;=40,1,0),0)</f>
        <v>0</v>
      </c>
      <c r="W36" s="185">
        <f>if($A36&gt;Rankings!$Q$2,M36,0)</f>
        <v>0</v>
      </c>
      <c r="X36" s="186">
        <f>if($A36&gt;Rankings!$Q$2,N36,0)</f>
        <v>0</v>
      </c>
      <c r="Y36" s="81" t="str">
        <f t="shared" si="3"/>
        <v/>
      </c>
      <c r="Z36" s="77"/>
      <c r="AA36" s="84">
        <f>Avgs!A36</f>
        <v>3189</v>
      </c>
      <c r="AB36" s="188">
        <f t="shared" si="4"/>
        <v>4</v>
      </c>
      <c r="AC36" s="188">
        <f t="array" ref="AC36">if(Rankings!$Q$6="n",0,index(Rankings!$C$3:$C127,match(AA36,Rankings!$B$3:$B127,0)))</f>
        <v>0</v>
      </c>
      <c r="AD36" s="188">
        <f t="shared" si="5"/>
        <v>4</v>
      </c>
      <c r="AE36" s="188">
        <f t="shared" si="6"/>
        <v>0</v>
      </c>
      <c r="AF36" s="188">
        <f t="array" ref="AF36">if(Rankings!$Q$6="n",0,index(Rankings!$D$3:$D127,match(AA36,Rankings!$B$3:$B127,0)))</f>
        <v>0</v>
      </c>
      <c r="AG36" s="188">
        <f t="shared" si="7"/>
        <v>0</v>
      </c>
      <c r="AH36" s="188">
        <f t="shared" si="8"/>
        <v>4.000000032</v>
      </c>
      <c r="AI36" s="188">
        <f t="shared" si="9"/>
        <v>39</v>
      </c>
      <c r="AJ36" s="188">
        <f t="shared" si="10"/>
        <v>3189</v>
      </c>
      <c r="AK36" s="188">
        <f t="shared" si="11"/>
        <v>4</v>
      </c>
      <c r="AL36" s="188">
        <f t="shared" si="12"/>
        <v>0</v>
      </c>
    </row>
    <row r="37">
      <c r="A37" s="83">
        <v>35.0</v>
      </c>
      <c r="B37" s="180" t="s">
        <v>416</v>
      </c>
      <c r="C37" s="181">
        <v>2813.0</v>
      </c>
      <c r="D37" s="181">
        <v>3495.0</v>
      </c>
      <c r="E37" s="181">
        <v>4415.0</v>
      </c>
      <c r="F37" s="182">
        <v>2135.0</v>
      </c>
      <c r="G37" s="182">
        <v>1671.0</v>
      </c>
      <c r="H37" s="182">
        <v>1422.0</v>
      </c>
      <c r="I37" s="183"/>
      <c r="J37" s="184"/>
      <c r="K37" s="185">
        <f t="array" ref="K37">if( Rankings!$Q$6="y",index(Avgs!B:B,match(C37,Avgs!A:A,0))+index(Avgs!B:B,match(D37,Avgs!A:A,0))+index(Avgs!B:B,match(E37,Avgs!A:A,0)),0)</f>
        <v>0</v>
      </c>
      <c r="L37" s="186">
        <f t="array" ref="L37">if( Rankings!$Q$6="y",index(Avgs!B:B,match(F37,Avgs!A:A,0))+index(Avgs!B:B,match(G37,Avgs!A:A,0))+index(Avgs!B:B,match(H37,Avgs!A:A,0)),0)</f>
        <v>0</v>
      </c>
      <c r="M37" s="187">
        <f>if( Rankings!$Q$6="y",K37,0)</f>
        <v>0</v>
      </c>
      <c r="N37" s="186">
        <f>if( Rankings!$Q$6="y",L37,0)</f>
        <v>0</v>
      </c>
      <c r="O37" s="185">
        <f t="array" ref="O37">if( Rankings!$Q$6="y",index(Avgs!Q:Q,match(C37,Avgs!A:A,0))+index(Avgs!Q:Q,match(D37,Avgs!A:A,0))+index(Avgs!Q:Q,match(E37,Avgs!A:A,0)),0)</f>
        <v>0</v>
      </c>
      <c r="P37" s="186">
        <f t="array" ref="P37">if( Rankings!$Q$6="y",index(Avgs!Q:Q,match(F37,Avgs!A:A,0))+index(Avgs!Q:Q,match(G37,Avgs!A:A,0))+index(Avgs!Q:Q,match(H37,Avgs!A:A,0)),0)</f>
        <v>0</v>
      </c>
      <c r="Q37" s="185">
        <f t="array" ref="Q37">if( Rankings!$Q$6="y",index(Avgs!P:P,match(C37,Avgs!A:A,0))+index(Avgs!P:P,match(D37,Avgs!A:A,0))+index(Avgs!P:P,match(E37,Avgs!A:A,0)),0)</f>
        <v>0</v>
      </c>
      <c r="R37" s="186">
        <f t="array" ref="R37">if( Rankings!$Q$6="y",index(Avgs!P:P,match(F37,Avgs!A:A,0))+index(Avgs!P:P,match(G37,Avgs!A:A,0))+index(Avgs!P:P,match(H37,Avgs!A:A,0)),0)</f>
        <v>0</v>
      </c>
      <c r="S37" s="188" t="str">
        <f t="shared" si="1"/>
        <v>tie</v>
      </c>
      <c r="T37" s="188" t="str">
        <f t="shared" si="2"/>
        <v>tie</v>
      </c>
      <c r="U37" s="185">
        <f>if($A37&gt;Rankings!$Q$2,if(S37="red",2,if(S37="tie",1,0))+if(O37&gt;=12,1,0)+if(Q37&gt;=40,1,0),0)</f>
        <v>0</v>
      </c>
      <c r="V37" s="186">
        <f>if($A37&gt;Rankings!$Q$2,if(S37="blue",2,if(S37="tie",1,0))+if(P37&gt;=12,1,0)+if(R37&gt;=40,1,0),0)</f>
        <v>0</v>
      </c>
      <c r="W37" s="185">
        <f>if($A37&gt;Rankings!$Q$2,M37,0)</f>
        <v>0</v>
      </c>
      <c r="X37" s="186">
        <f>if($A37&gt;Rankings!$Q$2,N37,0)</f>
        <v>0</v>
      </c>
      <c r="Y37" s="81" t="str">
        <f t="shared" si="3"/>
        <v/>
      </c>
      <c r="Z37" s="77"/>
      <c r="AA37" s="84">
        <f>Avgs!A37</f>
        <v>2085</v>
      </c>
      <c r="AB37" s="188">
        <f t="shared" si="4"/>
        <v>5</v>
      </c>
      <c r="AC37" s="188">
        <f t="array" ref="AC37">if(Rankings!$Q$6="n",0,index(Rankings!$C$3:$C127,match(AA37,Rankings!$B$3:$B127,0)))</f>
        <v>0</v>
      </c>
      <c r="AD37" s="188">
        <f t="shared" si="5"/>
        <v>5</v>
      </c>
      <c r="AE37" s="188">
        <f t="shared" si="6"/>
        <v>0</v>
      </c>
      <c r="AF37" s="188">
        <f t="array" ref="AF37">if(Rankings!$Q$6="n",0,index(Rankings!$D$3:$D127,match(AA37,Rankings!$B$3:$B127,0)))</f>
        <v>0</v>
      </c>
      <c r="AG37" s="188">
        <f t="shared" si="7"/>
        <v>0</v>
      </c>
      <c r="AH37" s="188">
        <f t="shared" si="8"/>
        <v>5.000000021</v>
      </c>
      <c r="AI37" s="188">
        <f t="shared" si="9"/>
        <v>16</v>
      </c>
      <c r="AJ37" s="188">
        <f t="shared" si="10"/>
        <v>2085</v>
      </c>
      <c r="AK37" s="188">
        <f t="shared" si="11"/>
        <v>5</v>
      </c>
      <c r="AL37" s="188">
        <f t="shared" si="12"/>
        <v>0</v>
      </c>
    </row>
    <row r="38">
      <c r="A38" s="83">
        <v>36.0</v>
      </c>
      <c r="B38" s="180" t="s">
        <v>417</v>
      </c>
      <c r="C38" s="181">
        <v>687.0</v>
      </c>
      <c r="D38" s="181">
        <v>4276.0</v>
      </c>
      <c r="E38" s="181">
        <v>1868.0</v>
      </c>
      <c r="F38" s="182">
        <v>3501.0</v>
      </c>
      <c r="G38" s="182">
        <v>3970.0</v>
      </c>
      <c r="H38" s="182">
        <v>4543.0</v>
      </c>
      <c r="I38" s="183"/>
      <c r="J38" s="184"/>
      <c r="K38" s="185">
        <f t="array" ref="K38">if( Rankings!$Q$6="y",index(Avgs!B:B,match(C38,Avgs!A:A,0))+index(Avgs!B:B,match(D38,Avgs!A:A,0))+index(Avgs!B:B,match(E38,Avgs!A:A,0)),0)</f>
        <v>0</v>
      </c>
      <c r="L38" s="186">
        <f t="array" ref="L38">if( Rankings!$Q$6="y",index(Avgs!B:B,match(F38,Avgs!A:A,0))+index(Avgs!B:B,match(G38,Avgs!A:A,0))+index(Avgs!B:B,match(H38,Avgs!A:A,0)),0)</f>
        <v>0</v>
      </c>
      <c r="M38" s="187">
        <f>if( Rankings!$Q$6="y",K38,0)</f>
        <v>0</v>
      </c>
      <c r="N38" s="186">
        <f>if( Rankings!$Q$6="y",L38,0)</f>
        <v>0</v>
      </c>
      <c r="O38" s="185">
        <f t="array" ref="O38">if( Rankings!$Q$6="y",index(Avgs!Q:Q,match(C38,Avgs!A:A,0))+index(Avgs!Q:Q,match(D38,Avgs!A:A,0))+index(Avgs!Q:Q,match(E38,Avgs!A:A,0)),0)</f>
        <v>0</v>
      </c>
      <c r="P38" s="186">
        <f t="array" ref="P38">if( Rankings!$Q$6="y",index(Avgs!Q:Q,match(F38,Avgs!A:A,0))+index(Avgs!Q:Q,match(G38,Avgs!A:A,0))+index(Avgs!Q:Q,match(H38,Avgs!A:A,0)),0)</f>
        <v>0</v>
      </c>
      <c r="Q38" s="185">
        <f t="array" ref="Q38">if( Rankings!$Q$6="y",index(Avgs!P:P,match(C38,Avgs!A:A,0))+index(Avgs!P:P,match(D38,Avgs!A:A,0))+index(Avgs!P:P,match(E38,Avgs!A:A,0)),0)</f>
        <v>0</v>
      </c>
      <c r="R38" s="186">
        <f t="array" ref="R38">if( Rankings!$Q$6="y",index(Avgs!P:P,match(F38,Avgs!A:A,0))+index(Avgs!P:P,match(G38,Avgs!A:A,0))+index(Avgs!P:P,match(H38,Avgs!A:A,0)),0)</f>
        <v>0</v>
      </c>
      <c r="S38" s="188" t="str">
        <f t="shared" si="1"/>
        <v>tie</v>
      </c>
      <c r="T38" s="188" t="str">
        <f t="shared" si="2"/>
        <v>tie</v>
      </c>
      <c r="U38" s="185">
        <f>if($A38&gt;Rankings!$Q$2,if(S38="red",2,if(S38="tie",1,0))+if(O38&gt;=12,1,0)+if(Q38&gt;=40,1,0),0)</f>
        <v>1</v>
      </c>
      <c r="V38" s="186">
        <f>if($A38&gt;Rankings!$Q$2,if(S38="blue",2,if(S38="tie",1,0))+if(P38&gt;=12,1,0)+if(R38&gt;=40,1,0),0)</f>
        <v>1</v>
      </c>
      <c r="W38" s="185">
        <f>if($A38&gt;Rankings!$Q$2,M38,0)</f>
        <v>0</v>
      </c>
      <c r="X38" s="186">
        <f>if($A38&gt;Rankings!$Q$2,N38,0)</f>
        <v>0</v>
      </c>
      <c r="Y38" s="81" t="str">
        <f t="shared" si="3"/>
        <v/>
      </c>
      <c r="Z38" s="77"/>
      <c r="AA38" s="84">
        <f>Avgs!A38</f>
        <v>1388</v>
      </c>
      <c r="AB38" s="188">
        <f t="shared" si="4"/>
        <v>5</v>
      </c>
      <c r="AC38" s="188">
        <f t="array" ref="AC38">if(Rankings!$Q$6="n",0,index(Rankings!$C$3:$C127,match(AA38,Rankings!$B$3:$B127,0)))</f>
        <v>0</v>
      </c>
      <c r="AD38" s="188">
        <f t="shared" si="5"/>
        <v>5</v>
      </c>
      <c r="AE38" s="188">
        <f t="shared" si="6"/>
        <v>0</v>
      </c>
      <c r="AF38" s="188">
        <f t="array" ref="AF38">if(Rankings!$Q$6="n",0,index(Rankings!$D$3:$D127,match(AA38,Rankings!$B$3:$B127,0)))</f>
        <v>0</v>
      </c>
      <c r="AG38" s="188">
        <f t="shared" si="7"/>
        <v>0</v>
      </c>
      <c r="AH38" s="188">
        <f t="shared" si="8"/>
        <v>5.000000014</v>
      </c>
      <c r="AI38" s="188">
        <f t="shared" si="9"/>
        <v>21</v>
      </c>
      <c r="AJ38" s="188">
        <f t="shared" si="10"/>
        <v>1388</v>
      </c>
      <c r="AK38" s="188">
        <f t="shared" si="11"/>
        <v>5</v>
      </c>
      <c r="AL38" s="188">
        <f t="shared" si="12"/>
        <v>0</v>
      </c>
    </row>
    <row r="39">
      <c r="A39" s="83">
        <v>37.0</v>
      </c>
      <c r="B39" s="180" t="s">
        <v>418</v>
      </c>
      <c r="C39" s="181">
        <v>5817.0</v>
      </c>
      <c r="D39" s="181">
        <v>6711.0</v>
      </c>
      <c r="E39" s="181">
        <v>6619.0</v>
      </c>
      <c r="F39" s="182">
        <v>852.0</v>
      </c>
      <c r="G39" s="182">
        <v>2761.0</v>
      </c>
      <c r="H39" s="182">
        <v>980.0</v>
      </c>
      <c r="I39" s="183"/>
      <c r="J39" s="184"/>
      <c r="K39" s="185">
        <f t="array" ref="K39">if( Rankings!$Q$6="y",index(Avgs!B:B,match(C39,Avgs!A:A,0))+index(Avgs!B:B,match(D39,Avgs!A:A,0))+index(Avgs!B:B,match(E39,Avgs!A:A,0)),0)</f>
        <v>0</v>
      </c>
      <c r="L39" s="186">
        <f t="array" ref="L39">if( Rankings!$Q$6="y",index(Avgs!B:B,match(F39,Avgs!A:A,0))+index(Avgs!B:B,match(G39,Avgs!A:A,0))+index(Avgs!B:B,match(H39,Avgs!A:A,0)),0)</f>
        <v>0</v>
      </c>
      <c r="M39" s="187">
        <f>if( Rankings!$Q$6="y",K39,0)</f>
        <v>0</v>
      </c>
      <c r="N39" s="186">
        <f>if( Rankings!$Q$6="y",L39,0)</f>
        <v>0</v>
      </c>
      <c r="O39" s="185">
        <f t="array" ref="O39">if( Rankings!$Q$6="y",index(Avgs!Q:Q,match(C39,Avgs!A:A,0))+index(Avgs!Q:Q,match(D39,Avgs!A:A,0))+index(Avgs!Q:Q,match(E39,Avgs!A:A,0)),0)</f>
        <v>0</v>
      </c>
      <c r="P39" s="186">
        <f t="array" ref="P39">if( Rankings!$Q$6="y",index(Avgs!Q:Q,match(F39,Avgs!A:A,0))+index(Avgs!Q:Q,match(G39,Avgs!A:A,0))+index(Avgs!Q:Q,match(H39,Avgs!A:A,0)),0)</f>
        <v>0</v>
      </c>
      <c r="Q39" s="185">
        <f t="array" ref="Q39">if( Rankings!$Q$6="y",index(Avgs!P:P,match(C39,Avgs!A:A,0))+index(Avgs!P:P,match(D39,Avgs!A:A,0))+index(Avgs!P:P,match(E39,Avgs!A:A,0)),0)</f>
        <v>0</v>
      </c>
      <c r="R39" s="186">
        <f t="array" ref="R39">if( Rankings!$Q$6="y",index(Avgs!P:P,match(F39,Avgs!A:A,0))+index(Avgs!P:P,match(G39,Avgs!A:A,0))+index(Avgs!P:P,match(H39,Avgs!A:A,0)),0)</f>
        <v>0</v>
      </c>
      <c r="S39" s="188" t="str">
        <f t="shared" si="1"/>
        <v>tie</v>
      </c>
      <c r="T39" s="188" t="str">
        <f t="shared" si="2"/>
        <v>tie</v>
      </c>
      <c r="U39" s="185">
        <f>if($A39&gt;Rankings!$Q$2,if(S39="red",2,if(S39="tie",1,0))+if(O39&gt;=12,1,0)+if(Q39&gt;=40,1,0),0)</f>
        <v>1</v>
      </c>
      <c r="V39" s="186">
        <f>if($A39&gt;Rankings!$Q$2,if(S39="blue",2,if(S39="tie",1,0))+if(P39&gt;=12,1,0)+if(R39&gt;=40,1,0),0)</f>
        <v>1</v>
      </c>
      <c r="W39" s="185">
        <f>if($A39&gt;Rankings!$Q$2,M39,0)</f>
        <v>0</v>
      </c>
      <c r="X39" s="186">
        <f>if($A39&gt;Rankings!$Q$2,N39,0)</f>
        <v>0</v>
      </c>
      <c r="Y39" s="81" t="str">
        <f t="shared" si="3"/>
        <v/>
      </c>
      <c r="Z39" s="77"/>
      <c r="AA39" s="84">
        <f>Avgs!A39</f>
        <v>2813</v>
      </c>
      <c r="AB39" s="188">
        <f t="shared" si="4"/>
        <v>4</v>
      </c>
      <c r="AC39" s="188">
        <f t="array" ref="AC39">if(Rankings!$Q$6="n",0,index(Rankings!$C$3:$C127,match(AA39,Rankings!$B$3:$B127,0)))</f>
        <v>0</v>
      </c>
      <c r="AD39" s="188">
        <f t="shared" si="5"/>
        <v>4</v>
      </c>
      <c r="AE39" s="188">
        <f t="shared" si="6"/>
        <v>0</v>
      </c>
      <c r="AF39" s="188">
        <f t="array" ref="AF39">if(Rankings!$Q$6="n",0,index(Rankings!$D$3:$D127,match(AA39,Rankings!$B$3:$B127,0)))</f>
        <v>0</v>
      </c>
      <c r="AG39" s="188">
        <f t="shared" si="7"/>
        <v>0</v>
      </c>
      <c r="AH39" s="188">
        <f t="shared" si="8"/>
        <v>4.000000028</v>
      </c>
      <c r="AI39" s="188">
        <f t="shared" si="9"/>
        <v>40</v>
      </c>
      <c r="AJ39" s="188">
        <f t="shared" si="10"/>
        <v>2813</v>
      </c>
      <c r="AK39" s="188">
        <f t="shared" si="11"/>
        <v>4</v>
      </c>
      <c r="AL39" s="188">
        <f t="shared" si="12"/>
        <v>0</v>
      </c>
    </row>
    <row r="40">
      <c r="A40" s="83">
        <v>38.0</v>
      </c>
      <c r="B40" s="180" t="s">
        <v>419</v>
      </c>
      <c r="C40" s="181">
        <v>1662.0</v>
      </c>
      <c r="D40" s="181">
        <v>1388.0</v>
      </c>
      <c r="E40" s="181">
        <v>972.0</v>
      </c>
      <c r="F40" s="182">
        <v>3303.0</v>
      </c>
      <c r="G40" s="182">
        <v>3045.0</v>
      </c>
      <c r="H40" s="182">
        <v>973.0</v>
      </c>
      <c r="I40" s="183"/>
      <c r="J40" s="184"/>
      <c r="K40" s="185">
        <f t="array" ref="K40">if( Rankings!$Q$6="y",index(Avgs!B:B,match(C40,Avgs!A:A,0))+index(Avgs!B:B,match(D40,Avgs!A:A,0))+index(Avgs!B:B,match(E40,Avgs!A:A,0)),0)</f>
        <v>0</v>
      </c>
      <c r="L40" s="186">
        <f t="array" ref="L40">if( Rankings!$Q$6="y",index(Avgs!B:B,match(F40,Avgs!A:A,0))+index(Avgs!B:B,match(G40,Avgs!A:A,0))+index(Avgs!B:B,match(H40,Avgs!A:A,0)),0)</f>
        <v>0</v>
      </c>
      <c r="M40" s="187">
        <f>if( Rankings!$Q$6="y",K40,0)</f>
        <v>0</v>
      </c>
      <c r="N40" s="186">
        <f>if( Rankings!$Q$6="y",L40,0)</f>
        <v>0</v>
      </c>
      <c r="O40" s="185">
        <f t="array" ref="O40">if( Rankings!$Q$6="y",index(Avgs!Q:Q,match(C40,Avgs!A:A,0))+index(Avgs!Q:Q,match(D40,Avgs!A:A,0))+index(Avgs!Q:Q,match(E40,Avgs!A:A,0)),0)</f>
        <v>0</v>
      </c>
      <c r="P40" s="186">
        <f t="array" ref="P40">if( Rankings!$Q$6="y",index(Avgs!Q:Q,match(F40,Avgs!A:A,0))+index(Avgs!Q:Q,match(G40,Avgs!A:A,0))+index(Avgs!Q:Q,match(H40,Avgs!A:A,0)),0)</f>
        <v>0</v>
      </c>
      <c r="Q40" s="185">
        <f t="array" ref="Q40">if( Rankings!$Q$6="y",index(Avgs!P:P,match(C40,Avgs!A:A,0))+index(Avgs!P:P,match(D40,Avgs!A:A,0))+index(Avgs!P:P,match(E40,Avgs!A:A,0)),0)</f>
        <v>0</v>
      </c>
      <c r="R40" s="186">
        <f t="array" ref="R40">if( Rankings!$Q$6="y",index(Avgs!P:P,match(F40,Avgs!A:A,0))+index(Avgs!P:P,match(G40,Avgs!A:A,0))+index(Avgs!P:P,match(H40,Avgs!A:A,0)),0)</f>
        <v>0</v>
      </c>
      <c r="S40" s="188" t="str">
        <f t="shared" si="1"/>
        <v>tie</v>
      </c>
      <c r="T40" s="188" t="str">
        <f t="shared" si="2"/>
        <v>tie</v>
      </c>
      <c r="U40" s="185">
        <f>if($A40&gt;Rankings!$Q$2,if(S40="red",2,if(S40="tie",1,0))+if(O40&gt;=12,1,0)+if(Q40&gt;=40,1,0),0)</f>
        <v>1</v>
      </c>
      <c r="V40" s="186">
        <f>if($A40&gt;Rankings!$Q$2,if(S40="blue",2,if(S40="tie",1,0))+if(P40&gt;=12,1,0)+if(R40&gt;=40,1,0),0)</f>
        <v>1</v>
      </c>
      <c r="W40" s="185">
        <f>if($A40&gt;Rankings!$Q$2,M40,0)</f>
        <v>0</v>
      </c>
      <c r="X40" s="186">
        <f>if($A40&gt;Rankings!$Q$2,N40,0)</f>
        <v>0</v>
      </c>
      <c r="Y40" s="81" t="str">
        <f t="shared" si="3"/>
        <v>973-5</v>
      </c>
      <c r="Z40" s="77"/>
      <c r="AA40" s="84">
        <f>Avgs!A40</f>
        <v>3303</v>
      </c>
      <c r="AB40" s="188">
        <f t="shared" si="4"/>
        <v>5</v>
      </c>
      <c r="AC40" s="188">
        <f t="array" ref="AC40">if(Rankings!$Q$6="n",0,index(Rankings!$C$3:$C127,match(AA40,Rankings!$B$3:$B127,0)))</f>
        <v>0</v>
      </c>
      <c r="AD40" s="188">
        <f t="shared" si="5"/>
        <v>5</v>
      </c>
      <c r="AE40" s="188">
        <f t="shared" si="6"/>
        <v>0</v>
      </c>
      <c r="AF40" s="188">
        <f t="array" ref="AF40">if(Rankings!$Q$6="n",0,index(Rankings!$D$3:$D127,match(AA40,Rankings!$B$3:$B127,0)))</f>
        <v>0</v>
      </c>
      <c r="AG40" s="188">
        <f t="shared" si="7"/>
        <v>0</v>
      </c>
      <c r="AH40" s="188">
        <f t="shared" si="8"/>
        <v>5.000000033</v>
      </c>
      <c r="AI40" s="188">
        <f t="shared" si="9"/>
        <v>12</v>
      </c>
      <c r="AJ40" s="188">
        <f t="shared" si="10"/>
        <v>3303</v>
      </c>
      <c r="AK40" s="188">
        <f t="shared" si="11"/>
        <v>5</v>
      </c>
      <c r="AL40" s="188">
        <f t="shared" si="12"/>
        <v>0</v>
      </c>
    </row>
    <row r="41">
      <c r="A41" s="83">
        <v>39.0</v>
      </c>
      <c r="B41" s="180" t="s">
        <v>420</v>
      </c>
      <c r="C41" s="181">
        <v>4255.0</v>
      </c>
      <c r="D41" s="181">
        <v>2643.0</v>
      </c>
      <c r="E41" s="181">
        <v>6650.0</v>
      </c>
      <c r="F41" s="182">
        <v>1678.0</v>
      </c>
      <c r="G41" s="182">
        <v>5852.0</v>
      </c>
      <c r="H41" s="182">
        <v>1072.0</v>
      </c>
      <c r="I41" s="183"/>
      <c r="J41" s="184"/>
      <c r="K41" s="185">
        <f t="array" ref="K41">if( Rankings!$Q$6="y",index(Avgs!B:B,match(C41,Avgs!A:A,0))+index(Avgs!B:B,match(D41,Avgs!A:A,0))+index(Avgs!B:B,match(E41,Avgs!A:A,0)),0)</f>
        <v>0</v>
      </c>
      <c r="L41" s="186">
        <f t="array" ref="L41">if( Rankings!$Q$6="y",index(Avgs!B:B,match(F41,Avgs!A:A,0))+index(Avgs!B:B,match(G41,Avgs!A:A,0))+index(Avgs!B:B,match(H41,Avgs!A:A,0)),0)</f>
        <v>0</v>
      </c>
      <c r="M41" s="187">
        <f>if( Rankings!$Q$6="y",K41,0)</f>
        <v>0</v>
      </c>
      <c r="N41" s="186">
        <f>if( Rankings!$Q$6="y",L41,0)</f>
        <v>0</v>
      </c>
      <c r="O41" s="185">
        <f t="array" ref="O41">if( Rankings!$Q$6="y",index(Avgs!Q:Q,match(C41,Avgs!A:A,0))+index(Avgs!Q:Q,match(D41,Avgs!A:A,0))+index(Avgs!Q:Q,match(E41,Avgs!A:A,0)),0)</f>
        <v>0</v>
      </c>
      <c r="P41" s="186">
        <f t="array" ref="P41">if( Rankings!$Q$6="y",index(Avgs!Q:Q,match(F41,Avgs!A:A,0))+index(Avgs!Q:Q,match(G41,Avgs!A:A,0))+index(Avgs!Q:Q,match(H41,Avgs!A:A,0)),0)</f>
        <v>0</v>
      </c>
      <c r="Q41" s="185">
        <f t="array" ref="Q41">if( Rankings!$Q$6="y",index(Avgs!P:P,match(C41,Avgs!A:A,0))+index(Avgs!P:P,match(D41,Avgs!A:A,0))+index(Avgs!P:P,match(E41,Avgs!A:A,0)),0)</f>
        <v>0</v>
      </c>
      <c r="R41" s="186">
        <f t="array" ref="R41">if( Rankings!$Q$6="y",index(Avgs!P:P,match(F41,Avgs!A:A,0))+index(Avgs!P:P,match(G41,Avgs!A:A,0))+index(Avgs!P:P,match(H41,Avgs!A:A,0)),0)</f>
        <v>0</v>
      </c>
      <c r="S41" s="188" t="str">
        <f t="shared" si="1"/>
        <v>tie</v>
      </c>
      <c r="T41" s="188" t="str">
        <f t="shared" si="2"/>
        <v>tie</v>
      </c>
      <c r="U41" s="185">
        <f>if($A41&gt;Rankings!$Q$2,if(S41="red",2,if(S41="tie",1,0))+if(O41&gt;=12,1,0)+if(Q41&gt;=40,1,0),0)</f>
        <v>1</v>
      </c>
      <c r="V41" s="186">
        <f>if($A41&gt;Rankings!$Q$2,if(S41="blue",2,if(S41="tie",1,0))+if(P41&gt;=12,1,0)+if(R41&gt;=40,1,0),0)</f>
        <v>1</v>
      </c>
      <c r="W41" s="185">
        <f>if($A41&gt;Rankings!$Q$2,M41,0)</f>
        <v>0</v>
      </c>
      <c r="X41" s="186">
        <f>if($A41&gt;Rankings!$Q$2,N41,0)</f>
        <v>0</v>
      </c>
      <c r="Y41" s="81" t="str">
        <f t="shared" si="3"/>
        <v/>
      </c>
      <c r="Z41" s="77"/>
      <c r="AA41" s="84">
        <f>Avgs!A41</f>
        <v>6711</v>
      </c>
      <c r="AB41" s="188">
        <f t="shared" si="4"/>
        <v>5</v>
      </c>
      <c r="AC41" s="188">
        <f t="array" ref="AC41">if(Rankings!$Q$6="n",0,index(Rankings!$C$3:$C127,match(AA41,Rankings!$B$3:$B127,0)))</f>
        <v>0</v>
      </c>
      <c r="AD41" s="188">
        <f t="shared" si="5"/>
        <v>5</v>
      </c>
      <c r="AE41" s="188">
        <f t="shared" si="6"/>
        <v>0</v>
      </c>
      <c r="AF41" s="188">
        <f t="array" ref="AF41">if(Rankings!$Q$6="n",0,index(Rankings!$D$3:$D127,match(AA41,Rankings!$B$3:$B127,0)))</f>
        <v>0</v>
      </c>
      <c r="AG41" s="188">
        <f t="shared" si="7"/>
        <v>0</v>
      </c>
      <c r="AH41" s="188">
        <f t="shared" si="8"/>
        <v>5.000000067</v>
      </c>
      <c r="AI41" s="188">
        <f t="shared" si="9"/>
        <v>2</v>
      </c>
      <c r="AJ41" s="188">
        <f t="shared" si="10"/>
        <v>6711</v>
      </c>
      <c r="AK41" s="188">
        <f t="shared" si="11"/>
        <v>5</v>
      </c>
      <c r="AL41" s="188">
        <f t="shared" si="12"/>
        <v>0</v>
      </c>
    </row>
    <row r="42">
      <c r="A42" s="83">
        <v>40.0</v>
      </c>
      <c r="B42" s="180" t="s">
        <v>421</v>
      </c>
      <c r="C42" s="181">
        <v>2085.0</v>
      </c>
      <c r="D42" s="181">
        <v>4643.0</v>
      </c>
      <c r="E42" s="181">
        <v>2367.0</v>
      </c>
      <c r="F42" s="182">
        <v>6305.0</v>
      </c>
      <c r="G42" s="182">
        <v>5817.0</v>
      </c>
      <c r="H42" s="182">
        <v>5134.0</v>
      </c>
      <c r="I42" s="183"/>
      <c r="J42" s="184"/>
      <c r="K42" s="185">
        <f t="array" ref="K42">if( Rankings!$Q$6="y",index(Avgs!B:B,match(C42,Avgs!A:A,0))+index(Avgs!B:B,match(D42,Avgs!A:A,0))+index(Avgs!B:B,match(E42,Avgs!A:A,0)),0)</f>
        <v>0</v>
      </c>
      <c r="L42" s="186">
        <f t="array" ref="L42">if( Rankings!$Q$6="y",index(Avgs!B:B,match(F42,Avgs!A:A,0))+index(Avgs!B:B,match(G42,Avgs!A:A,0))+index(Avgs!B:B,match(H42,Avgs!A:A,0)),0)</f>
        <v>0</v>
      </c>
      <c r="M42" s="187">
        <f>if( Rankings!$Q$6="y",K42,0)</f>
        <v>0</v>
      </c>
      <c r="N42" s="186">
        <f>if( Rankings!$Q$6="y",L42,0)</f>
        <v>0</v>
      </c>
      <c r="O42" s="185">
        <f t="array" ref="O42">if( Rankings!$Q$6="y",index(Avgs!Q:Q,match(C42,Avgs!A:A,0))+index(Avgs!Q:Q,match(D42,Avgs!A:A,0))+index(Avgs!Q:Q,match(E42,Avgs!A:A,0)),0)</f>
        <v>0</v>
      </c>
      <c r="P42" s="186">
        <f t="array" ref="P42">if( Rankings!$Q$6="y",index(Avgs!Q:Q,match(F42,Avgs!A:A,0))+index(Avgs!Q:Q,match(G42,Avgs!A:A,0))+index(Avgs!Q:Q,match(H42,Avgs!A:A,0)),0)</f>
        <v>0</v>
      </c>
      <c r="Q42" s="185">
        <f t="array" ref="Q42">if( Rankings!$Q$6="y",index(Avgs!P:P,match(C42,Avgs!A:A,0))+index(Avgs!P:P,match(D42,Avgs!A:A,0))+index(Avgs!P:P,match(E42,Avgs!A:A,0)),0)</f>
        <v>0</v>
      </c>
      <c r="R42" s="186">
        <f t="array" ref="R42">if( Rankings!$Q$6="y",index(Avgs!P:P,match(F42,Avgs!A:A,0))+index(Avgs!P:P,match(G42,Avgs!A:A,0))+index(Avgs!P:P,match(H42,Avgs!A:A,0)),0)</f>
        <v>0</v>
      </c>
      <c r="S42" s="188" t="str">
        <f t="shared" si="1"/>
        <v>tie</v>
      </c>
      <c r="T42" s="188" t="str">
        <f t="shared" si="2"/>
        <v>tie</v>
      </c>
      <c r="U42" s="185">
        <f>if($A42&gt;Rankings!$Q$2,if(S42="red",2,if(S42="tie",1,0))+if(O42&gt;=12,1,0)+if(Q42&gt;=40,1,0),0)</f>
        <v>1</v>
      </c>
      <c r="V42" s="186">
        <f>if($A42&gt;Rankings!$Q$2,if(S42="blue",2,if(S42="tie",1,0))+if(P42&gt;=12,1,0)+if(R42&gt;=40,1,0),0)</f>
        <v>1</v>
      </c>
      <c r="W42" s="185">
        <f>if($A42&gt;Rankings!$Q$2,M42,0)</f>
        <v>0</v>
      </c>
      <c r="X42" s="186">
        <f>if($A42&gt;Rankings!$Q$2,N42,0)</f>
        <v>0</v>
      </c>
      <c r="Y42" s="81" t="str">
        <f t="shared" si="3"/>
        <v/>
      </c>
      <c r="Z42" s="77"/>
      <c r="AA42" s="84">
        <f>Avgs!A42</f>
        <v>670</v>
      </c>
      <c r="AB42" s="188">
        <f t="shared" si="4"/>
        <v>4</v>
      </c>
      <c r="AC42" s="188">
        <f t="array" ref="AC42">if(Rankings!$Q$6="n",0,index(Rankings!$C$3:$C127,match(AA42,Rankings!$B$3:$B127,0)))</f>
        <v>0</v>
      </c>
      <c r="AD42" s="188">
        <f t="shared" si="5"/>
        <v>4</v>
      </c>
      <c r="AE42" s="188">
        <f t="shared" si="6"/>
        <v>0</v>
      </c>
      <c r="AF42" s="188">
        <f t="array" ref="AF42">if(Rankings!$Q$6="n",0,index(Rankings!$D$3:$D127,match(AA42,Rankings!$B$3:$B127,0)))</f>
        <v>0</v>
      </c>
      <c r="AG42" s="188">
        <f t="shared" si="7"/>
        <v>0</v>
      </c>
      <c r="AH42" s="188">
        <f t="shared" si="8"/>
        <v>4.000000007</v>
      </c>
      <c r="AI42" s="188">
        <f t="shared" si="9"/>
        <v>46</v>
      </c>
      <c r="AJ42" s="188">
        <f t="shared" si="10"/>
        <v>670</v>
      </c>
      <c r="AK42" s="188">
        <f t="shared" si="11"/>
        <v>4</v>
      </c>
      <c r="AL42" s="188">
        <f t="shared" si="12"/>
        <v>0</v>
      </c>
    </row>
    <row r="43">
      <c r="A43" s="83">
        <v>41.0</v>
      </c>
      <c r="B43" s="180" t="s">
        <v>422</v>
      </c>
      <c r="C43" s="181">
        <v>1388.0</v>
      </c>
      <c r="D43" s="181">
        <v>5104.0</v>
      </c>
      <c r="E43" s="181">
        <v>852.0</v>
      </c>
      <c r="F43" s="182">
        <v>3501.0</v>
      </c>
      <c r="G43" s="182">
        <v>294.0</v>
      </c>
      <c r="H43" s="182">
        <v>2493.0</v>
      </c>
      <c r="I43" s="183"/>
      <c r="J43" s="184"/>
      <c r="K43" s="185">
        <f t="array" ref="K43">if( Rankings!$Q$6="y",index(Avgs!B:B,match(C43,Avgs!A:A,0))+index(Avgs!B:B,match(D43,Avgs!A:A,0))+index(Avgs!B:B,match(E43,Avgs!A:A,0)),0)</f>
        <v>0</v>
      </c>
      <c r="L43" s="186">
        <f t="array" ref="L43">if( Rankings!$Q$6="y",index(Avgs!B:B,match(F43,Avgs!A:A,0))+index(Avgs!B:B,match(G43,Avgs!A:A,0))+index(Avgs!B:B,match(H43,Avgs!A:A,0)),0)</f>
        <v>0</v>
      </c>
      <c r="M43" s="187">
        <f>if( Rankings!$Q$6="y",K43,0)</f>
        <v>0</v>
      </c>
      <c r="N43" s="186">
        <f>if( Rankings!$Q$6="y",L43,0)</f>
        <v>0</v>
      </c>
      <c r="O43" s="185">
        <f t="array" ref="O43">if( Rankings!$Q$6="y",index(Avgs!Q:Q,match(C43,Avgs!A:A,0))+index(Avgs!Q:Q,match(D43,Avgs!A:A,0))+index(Avgs!Q:Q,match(E43,Avgs!A:A,0)),0)</f>
        <v>0</v>
      </c>
      <c r="P43" s="186">
        <f t="array" ref="P43">if( Rankings!$Q$6="y",index(Avgs!Q:Q,match(F43,Avgs!A:A,0))+index(Avgs!Q:Q,match(G43,Avgs!A:A,0))+index(Avgs!Q:Q,match(H43,Avgs!A:A,0)),0)</f>
        <v>0</v>
      </c>
      <c r="Q43" s="185">
        <f t="array" ref="Q43">if( Rankings!$Q$6="y",index(Avgs!P:P,match(C43,Avgs!A:A,0))+index(Avgs!P:P,match(D43,Avgs!A:A,0))+index(Avgs!P:P,match(E43,Avgs!A:A,0)),0)</f>
        <v>0</v>
      </c>
      <c r="R43" s="186">
        <f t="array" ref="R43">if( Rankings!$Q$6="y",index(Avgs!P:P,match(F43,Avgs!A:A,0))+index(Avgs!P:P,match(G43,Avgs!A:A,0))+index(Avgs!P:P,match(H43,Avgs!A:A,0)),0)</f>
        <v>0</v>
      </c>
      <c r="S43" s="188" t="str">
        <f t="shared" si="1"/>
        <v>tie</v>
      </c>
      <c r="T43" s="188" t="str">
        <f t="shared" si="2"/>
        <v>tie</v>
      </c>
      <c r="U43" s="185">
        <f>if($A43&gt;Rankings!$Q$2,if(S43="red",2,if(S43="tie",1,0))+if(O43&gt;=12,1,0)+if(Q43&gt;=40,1,0),0)</f>
        <v>1</v>
      </c>
      <c r="V43" s="186">
        <f>if($A43&gt;Rankings!$Q$2,if(S43="blue",2,if(S43="tie",1,0))+if(P43&gt;=12,1,0)+if(R43&gt;=40,1,0),0)</f>
        <v>1</v>
      </c>
      <c r="W43" s="185">
        <f>if($A43&gt;Rankings!$Q$2,M43,0)</f>
        <v>0</v>
      </c>
      <c r="X43" s="186">
        <f>if($A43&gt;Rankings!$Q$2,N43,0)</f>
        <v>0</v>
      </c>
      <c r="Y43" s="81" t="str">
        <f t="shared" si="3"/>
        <v/>
      </c>
      <c r="Z43" s="77"/>
      <c r="AA43" s="84">
        <f>Avgs!A43</f>
        <v>2643</v>
      </c>
      <c r="AB43" s="188">
        <f t="shared" si="4"/>
        <v>6</v>
      </c>
      <c r="AC43" s="188">
        <f t="array" ref="AC43">if(Rankings!$Q$6="n",0,index(Rankings!$C$3:$C127,match(AA43,Rankings!$B$3:$B127,0)))</f>
        <v>0</v>
      </c>
      <c r="AD43" s="188">
        <f t="shared" si="5"/>
        <v>6</v>
      </c>
      <c r="AE43" s="188">
        <f t="shared" si="6"/>
        <v>0</v>
      </c>
      <c r="AF43" s="188">
        <f t="array" ref="AF43">if(Rankings!$Q$6="n",0,index(Rankings!$D$3:$D127,match(AA43,Rankings!$B$3:$B127,0)))</f>
        <v>0</v>
      </c>
      <c r="AG43" s="188">
        <f t="shared" si="7"/>
        <v>0</v>
      </c>
      <c r="AH43" s="188">
        <f t="shared" si="8"/>
        <v>6.000000026</v>
      </c>
      <c r="AI43" s="188">
        <f t="shared" si="9"/>
        <v>1</v>
      </c>
      <c r="AJ43" s="188">
        <f t="shared" si="10"/>
        <v>2643</v>
      </c>
      <c r="AK43" s="188">
        <f t="shared" si="11"/>
        <v>6</v>
      </c>
      <c r="AL43" s="188">
        <f t="shared" si="12"/>
        <v>0</v>
      </c>
    </row>
    <row r="44">
      <c r="A44" s="83">
        <v>42.0</v>
      </c>
      <c r="B44" s="180" t="s">
        <v>423</v>
      </c>
      <c r="C44" s="181">
        <v>3303.0</v>
      </c>
      <c r="D44" s="181">
        <v>6650.0</v>
      </c>
      <c r="E44" s="181">
        <v>687.0</v>
      </c>
      <c r="F44" s="182">
        <v>3189.0</v>
      </c>
      <c r="G44" s="182">
        <v>2135.0</v>
      </c>
      <c r="H44" s="182">
        <v>6657.0</v>
      </c>
      <c r="I44" s="183"/>
      <c r="J44" s="184"/>
      <c r="K44" s="185">
        <f t="array" ref="K44">if( Rankings!$Q$6="y",index(Avgs!B:B,match(C44,Avgs!A:A,0))+index(Avgs!B:B,match(D44,Avgs!A:A,0))+index(Avgs!B:B,match(E44,Avgs!A:A,0)),0)</f>
        <v>0</v>
      </c>
      <c r="L44" s="186">
        <f t="array" ref="L44">if( Rankings!$Q$6="y",index(Avgs!B:B,match(F44,Avgs!A:A,0))+index(Avgs!B:B,match(G44,Avgs!A:A,0))+index(Avgs!B:B,match(H44,Avgs!A:A,0)),0)</f>
        <v>0</v>
      </c>
      <c r="M44" s="187">
        <f>if( Rankings!$Q$6="y",K44,0)</f>
        <v>0</v>
      </c>
      <c r="N44" s="186">
        <f>if( Rankings!$Q$6="y",L44,0)</f>
        <v>0</v>
      </c>
      <c r="O44" s="185">
        <f t="array" ref="O44">if( Rankings!$Q$6="y",index(Avgs!Q:Q,match(C44,Avgs!A:A,0))+index(Avgs!Q:Q,match(D44,Avgs!A:A,0))+index(Avgs!Q:Q,match(E44,Avgs!A:A,0)),0)</f>
        <v>0</v>
      </c>
      <c r="P44" s="186">
        <f t="array" ref="P44">if( Rankings!$Q$6="y",index(Avgs!Q:Q,match(F44,Avgs!A:A,0))+index(Avgs!Q:Q,match(G44,Avgs!A:A,0))+index(Avgs!Q:Q,match(H44,Avgs!A:A,0)),0)</f>
        <v>0</v>
      </c>
      <c r="Q44" s="185">
        <f t="array" ref="Q44">if( Rankings!$Q$6="y",index(Avgs!P:P,match(C44,Avgs!A:A,0))+index(Avgs!P:P,match(D44,Avgs!A:A,0))+index(Avgs!P:P,match(E44,Avgs!A:A,0)),0)</f>
        <v>0</v>
      </c>
      <c r="R44" s="186">
        <f t="array" ref="R44">if( Rankings!$Q$6="y",index(Avgs!P:P,match(F44,Avgs!A:A,0))+index(Avgs!P:P,match(G44,Avgs!A:A,0))+index(Avgs!P:P,match(H44,Avgs!A:A,0)),0)</f>
        <v>0</v>
      </c>
      <c r="S44" s="188" t="str">
        <f t="shared" si="1"/>
        <v>tie</v>
      </c>
      <c r="T44" s="188" t="str">
        <f t="shared" si="2"/>
        <v>tie</v>
      </c>
      <c r="U44" s="185">
        <f>if($A44&gt;Rankings!$Q$2,if(S44="red",2,if(S44="tie",1,0))+if(O44&gt;=12,1,0)+if(Q44&gt;=40,1,0),0)</f>
        <v>1</v>
      </c>
      <c r="V44" s="186">
        <f>if($A44&gt;Rankings!$Q$2,if(S44="blue",2,if(S44="tie",1,0))+if(P44&gt;=12,1,0)+if(R44&gt;=40,1,0),0)</f>
        <v>1</v>
      </c>
      <c r="W44" s="185">
        <f>if($A44&gt;Rankings!$Q$2,M44,0)</f>
        <v>0</v>
      </c>
      <c r="X44" s="186">
        <f>if($A44&gt;Rankings!$Q$2,N44,0)</f>
        <v>0</v>
      </c>
      <c r="Y44" s="81" t="str">
        <f t="shared" si="3"/>
        <v/>
      </c>
      <c r="Z44" s="77"/>
      <c r="AA44" s="84">
        <f>Avgs!A44</f>
        <v>6305</v>
      </c>
      <c r="AB44" s="188">
        <f t="shared" si="4"/>
        <v>4</v>
      </c>
      <c r="AC44" s="188">
        <f t="array" ref="AC44">if(Rankings!$Q$6="n",0,index(Rankings!$C$3:$C127,match(AA44,Rankings!$B$3:$B127,0)))</f>
        <v>0</v>
      </c>
      <c r="AD44" s="188">
        <f t="shared" si="5"/>
        <v>4</v>
      </c>
      <c r="AE44" s="188">
        <f t="shared" si="6"/>
        <v>0</v>
      </c>
      <c r="AF44" s="188">
        <f t="array" ref="AF44">if(Rankings!$Q$6="n",0,index(Rankings!$D$3:$D127,match(AA44,Rankings!$B$3:$B127,0)))</f>
        <v>0</v>
      </c>
      <c r="AG44" s="188">
        <f t="shared" si="7"/>
        <v>0</v>
      </c>
      <c r="AH44" s="188">
        <f t="shared" si="8"/>
        <v>4.000000063</v>
      </c>
      <c r="AI44" s="188">
        <f t="shared" si="9"/>
        <v>30</v>
      </c>
      <c r="AJ44" s="188">
        <f t="shared" si="10"/>
        <v>6305</v>
      </c>
      <c r="AK44" s="188">
        <f t="shared" si="11"/>
        <v>4</v>
      </c>
      <c r="AL44" s="188">
        <f t="shared" si="12"/>
        <v>0</v>
      </c>
    </row>
    <row r="45">
      <c r="A45" s="83">
        <v>43.0</v>
      </c>
      <c r="B45" s="180" t="s">
        <v>424</v>
      </c>
      <c r="C45" s="181">
        <v>5852.0</v>
      </c>
      <c r="D45" s="181">
        <v>2085.0</v>
      </c>
      <c r="E45" s="181">
        <v>6711.0</v>
      </c>
      <c r="F45" s="182">
        <v>4543.0</v>
      </c>
      <c r="G45" s="182">
        <v>6699.0</v>
      </c>
      <c r="H45" s="182">
        <v>4415.0</v>
      </c>
      <c r="I45" s="183"/>
      <c r="J45" s="184"/>
      <c r="K45" s="185">
        <f t="array" ref="K45">if( Rankings!$Q$6="y",index(Avgs!B:B,match(C45,Avgs!A:A,0))+index(Avgs!B:B,match(D45,Avgs!A:A,0))+index(Avgs!B:B,match(E45,Avgs!A:A,0)),0)</f>
        <v>0</v>
      </c>
      <c r="L45" s="186">
        <f t="array" ref="L45">if( Rankings!$Q$6="y",index(Avgs!B:B,match(F45,Avgs!A:A,0))+index(Avgs!B:B,match(G45,Avgs!A:A,0))+index(Avgs!B:B,match(H45,Avgs!A:A,0)),0)</f>
        <v>0</v>
      </c>
      <c r="M45" s="187">
        <f>if( Rankings!$Q$6="y",K45,0)</f>
        <v>0</v>
      </c>
      <c r="N45" s="186">
        <f>if( Rankings!$Q$6="y",L45,0)</f>
        <v>0</v>
      </c>
      <c r="O45" s="185">
        <f t="array" ref="O45">if( Rankings!$Q$6="y",index(Avgs!Q:Q,match(C45,Avgs!A:A,0))+index(Avgs!Q:Q,match(D45,Avgs!A:A,0))+index(Avgs!Q:Q,match(E45,Avgs!A:A,0)),0)</f>
        <v>0</v>
      </c>
      <c r="P45" s="186">
        <f t="array" ref="P45">if( Rankings!$Q$6="y",index(Avgs!Q:Q,match(F45,Avgs!A:A,0))+index(Avgs!Q:Q,match(G45,Avgs!A:A,0))+index(Avgs!Q:Q,match(H45,Avgs!A:A,0)),0)</f>
        <v>0</v>
      </c>
      <c r="Q45" s="185">
        <f t="array" ref="Q45">if( Rankings!$Q$6="y",index(Avgs!P:P,match(C45,Avgs!A:A,0))+index(Avgs!P:P,match(D45,Avgs!A:A,0))+index(Avgs!P:P,match(E45,Avgs!A:A,0)),0)</f>
        <v>0</v>
      </c>
      <c r="R45" s="186">
        <f t="array" ref="R45">if( Rankings!$Q$6="y",index(Avgs!P:P,match(F45,Avgs!A:A,0))+index(Avgs!P:P,match(G45,Avgs!A:A,0))+index(Avgs!P:P,match(H45,Avgs!A:A,0)),0)</f>
        <v>0</v>
      </c>
      <c r="S45" s="188" t="str">
        <f t="shared" si="1"/>
        <v>tie</v>
      </c>
      <c r="T45" s="188" t="str">
        <f t="shared" si="2"/>
        <v>tie</v>
      </c>
      <c r="U45" s="185">
        <f>if($A45&gt;Rankings!$Q$2,if(S45="red",2,if(S45="tie",1,0))+if(O45&gt;=12,1,0)+if(Q45&gt;=40,1,0),0)</f>
        <v>1</v>
      </c>
      <c r="V45" s="186">
        <f>if($A45&gt;Rankings!$Q$2,if(S45="blue",2,if(S45="tie",1,0))+if(P45&gt;=12,1,0)+if(R45&gt;=40,1,0),0)</f>
        <v>1</v>
      </c>
      <c r="W45" s="185">
        <f>if($A45&gt;Rankings!$Q$2,M45,0)</f>
        <v>0</v>
      </c>
      <c r="X45" s="186">
        <f>if($A45&gt;Rankings!$Q$2,N45,0)</f>
        <v>0</v>
      </c>
      <c r="Y45" s="81" t="str">
        <f t="shared" si="3"/>
        <v/>
      </c>
      <c r="Z45" s="77"/>
      <c r="AA45" s="84">
        <f>Avgs!A45</f>
        <v>5134</v>
      </c>
      <c r="AB45" s="188">
        <f t="shared" si="4"/>
        <v>4</v>
      </c>
      <c r="AC45" s="188">
        <f t="array" ref="AC45">if(Rankings!$Q$6="n",0,index(Rankings!$C$3:$C127,match(AA45,Rankings!$B$3:$B127,0)))</f>
        <v>0</v>
      </c>
      <c r="AD45" s="188">
        <f t="shared" si="5"/>
        <v>4</v>
      </c>
      <c r="AE45" s="188">
        <f t="shared" si="6"/>
        <v>0</v>
      </c>
      <c r="AF45" s="188">
        <f t="array" ref="AF45">if(Rankings!$Q$6="n",0,index(Rankings!$D$3:$D127,match(AA45,Rankings!$B$3:$B127,0)))</f>
        <v>0</v>
      </c>
      <c r="AG45" s="188">
        <f t="shared" si="7"/>
        <v>0</v>
      </c>
      <c r="AH45" s="188">
        <f t="shared" si="8"/>
        <v>4.000000051</v>
      </c>
      <c r="AI45" s="188">
        <f t="shared" si="9"/>
        <v>33</v>
      </c>
      <c r="AJ45" s="188">
        <f t="shared" si="10"/>
        <v>5134</v>
      </c>
      <c r="AK45" s="188">
        <f t="shared" si="11"/>
        <v>4</v>
      </c>
      <c r="AL45" s="188">
        <f t="shared" si="12"/>
        <v>0</v>
      </c>
    </row>
    <row r="46">
      <c r="A46" s="83">
        <v>44.0</v>
      </c>
      <c r="B46" s="180" t="s">
        <v>425</v>
      </c>
      <c r="C46" s="181">
        <v>670.0</v>
      </c>
      <c r="D46" s="181">
        <v>973.0</v>
      </c>
      <c r="E46" s="181">
        <v>3256.0</v>
      </c>
      <c r="F46" s="182">
        <v>2643.0</v>
      </c>
      <c r="G46" s="182">
        <v>1323.0</v>
      </c>
      <c r="H46" s="182">
        <v>4276.0</v>
      </c>
      <c r="I46" s="183"/>
      <c r="J46" s="184"/>
      <c r="K46" s="185">
        <f t="array" ref="K46">if( Rankings!$Q$6="y",index(Avgs!B:B,match(C46,Avgs!A:A,0))+index(Avgs!B:B,match(D46,Avgs!A:A,0))+index(Avgs!B:B,match(E46,Avgs!A:A,0)),0)</f>
        <v>0</v>
      </c>
      <c r="L46" s="186">
        <f t="array" ref="L46">if( Rankings!$Q$6="y",index(Avgs!B:B,match(F46,Avgs!A:A,0))+index(Avgs!B:B,match(G46,Avgs!A:A,0))+index(Avgs!B:B,match(H46,Avgs!A:A,0)),0)</f>
        <v>0</v>
      </c>
      <c r="M46" s="187">
        <f>if( Rankings!$Q$6="y",K46,0)</f>
        <v>0</v>
      </c>
      <c r="N46" s="186">
        <f>if( Rankings!$Q$6="y",L46,0)</f>
        <v>0</v>
      </c>
      <c r="O46" s="185">
        <f t="array" ref="O46">if( Rankings!$Q$6="y",index(Avgs!Q:Q,match(C46,Avgs!A:A,0))+index(Avgs!Q:Q,match(D46,Avgs!A:A,0))+index(Avgs!Q:Q,match(E46,Avgs!A:A,0)),0)</f>
        <v>0</v>
      </c>
      <c r="P46" s="186">
        <f t="array" ref="P46">if( Rankings!$Q$6="y",index(Avgs!Q:Q,match(F46,Avgs!A:A,0))+index(Avgs!Q:Q,match(G46,Avgs!A:A,0))+index(Avgs!Q:Q,match(H46,Avgs!A:A,0)),0)</f>
        <v>0</v>
      </c>
      <c r="Q46" s="185">
        <f t="array" ref="Q46">if( Rankings!$Q$6="y",index(Avgs!P:P,match(C46,Avgs!A:A,0))+index(Avgs!P:P,match(D46,Avgs!A:A,0))+index(Avgs!P:P,match(E46,Avgs!A:A,0)),0)</f>
        <v>0</v>
      </c>
      <c r="R46" s="186">
        <f t="array" ref="R46">if( Rankings!$Q$6="y",index(Avgs!P:P,match(F46,Avgs!A:A,0))+index(Avgs!P:P,match(G46,Avgs!A:A,0))+index(Avgs!P:P,match(H46,Avgs!A:A,0)),0)</f>
        <v>0</v>
      </c>
      <c r="S46" s="188" t="str">
        <f t="shared" si="1"/>
        <v>tie</v>
      </c>
      <c r="T46" s="188" t="str">
        <f t="shared" si="2"/>
        <v>tie</v>
      </c>
      <c r="U46" s="185">
        <f>if($A46&gt;Rankings!$Q$2,if(S46="red",2,if(S46="tie",1,0))+if(O46&gt;=12,1,0)+if(Q46&gt;=40,1,0),0)</f>
        <v>1</v>
      </c>
      <c r="V46" s="186">
        <f>if($A46&gt;Rankings!$Q$2,if(S46="blue",2,if(S46="tie",1,0))+if(P46&gt;=12,1,0)+if(R46&gt;=40,1,0),0)</f>
        <v>1</v>
      </c>
      <c r="W46" s="185">
        <f>if($A46&gt;Rankings!$Q$2,M46,0)</f>
        <v>0</v>
      </c>
      <c r="X46" s="186">
        <f>if($A46&gt;Rankings!$Q$2,N46,0)</f>
        <v>0</v>
      </c>
      <c r="Y46" s="81" t="str">
        <f t="shared" si="3"/>
        <v>973-6</v>
      </c>
      <c r="Z46" s="77"/>
      <c r="AA46" s="84">
        <f>Avgs!A46</f>
        <v>6650</v>
      </c>
      <c r="AB46" s="188">
        <f t="shared" si="4"/>
        <v>5</v>
      </c>
      <c r="AC46" s="188">
        <f t="array" ref="AC46">if(Rankings!$Q$6="n",0,index(Rankings!$C$3:$C127,match(AA46,Rankings!$B$3:$B127,0)))</f>
        <v>0</v>
      </c>
      <c r="AD46" s="188">
        <f t="shared" si="5"/>
        <v>5</v>
      </c>
      <c r="AE46" s="188">
        <f t="shared" si="6"/>
        <v>0</v>
      </c>
      <c r="AF46" s="188">
        <f t="array" ref="AF46">if(Rankings!$Q$6="n",0,index(Rankings!$D$3:$D127,match(AA46,Rankings!$B$3:$B127,0)))</f>
        <v>0</v>
      </c>
      <c r="AG46" s="188">
        <f t="shared" si="7"/>
        <v>0</v>
      </c>
      <c r="AH46" s="188">
        <f t="shared" si="8"/>
        <v>5.000000067</v>
      </c>
      <c r="AI46" s="188">
        <f t="shared" si="9"/>
        <v>3</v>
      </c>
      <c r="AJ46" s="188">
        <f t="shared" si="10"/>
        <v>6650</v>
      </c>
      <c r="AK46" s="188">
        <f t="shared" si="11"/>
        <v>5</v>
      </c>
      <c r="AL46" s="188">
        <f t="shared" si="12"/>
        <v>0</v>
      </c>
    </row>
    <row r="47">
      <c r="A47" s="83">
        <v>45.0</v>
      </c>
      <c r="B47" s="180" t="s">
        <v>426</v>
      </c>
      <c r="C47" s="181">
        <v>972.0</v>
      </c>
      <c r="D47" s="181">
        <v>1868.0</v>
      </c>
      <c r="E47" s="181">
        <v>3970.0</v>
      </c>
      <c r="F47" s="182">
        <v>2761.0</v>
      </c>
      <c r="G47" s="182">
        <v>4255.0</v>
      </c>
      <c r="H47" s="182">
        <v>3495.0</v>
      </c>
      <c r="I47" s="183"/>
      <c r="J47" s="184"/>
      <c r="K47" s="185">
        <f t="array" ref="K47">if( Rankings!$Q$6="y",index(Avgs!B:B,match(C47,Avgs!A:A,0))+index(Avgs!B:B,match(D47,Avgs!A:A,0))+index(Avgs!B:B,match(E47,Avgs!A:A,0)),0)</f>
        <v>0</v>
      </c>
      <c r="L47" s="186">
        <f t="array" ref="L47">if( Rankings!$Q$6="y",index(Avgs!B:B,match(F47,Avgs!A:A,0))+index(Avgs!B:B,match(G47,Avgs!A:A,0))+index(Avgs!B:B,match(H47,Avgs!A:A,0)),0)</f>
        <v>0</v>
      </c>
      <c r="M47" s="187">
        <f>if( Rankings!$Q$6="y",K47,0)</f>
        <v>0</v>
      </c>
      <c r="N47" s="186">
        <f>if( Rankings!$Q$6="y",L47,0)</f>
        <v>0</v>
      </c>
      <c r="O47" s="185">
        <f t="array" ref="O47">if( Rankings!$Q$6="y",index(Avgs!Q:Q,match(C47,Avgs!A:A,0))+index(Avgs!Q:Q,match(D47,Avgs!A:A,0))+index(Avgs!Q:Q,match(E47,Avgs!A:A,0)),0)</f>
        <v>0</v>
      </c>
      <c r="P47" s="186">
        <f t="array" ref="P47">if( Rankings!$Q$6="y",index(Avgs!Q:Q,match(F47,Avgs!A:A,0))+index(Avgs!Q:Q,match(G47,Avgs!A:A,0))+index(Avgs!Q:Q,match(H47,Avgs!A:A,0)),0)</f>
        <v>0</v>
      </c>
      <c r="Q47" s="185">
        <f t="array" ref="Q47">if( Rankings!$Q$6="y",index(Avgs!P:P,match(C47,Avgs!A:A,0))+index(Avgs!P:P,match(D47,Avgs!A:A,0))+index(Avgs!P:P,match(E47,Avgs!A:A,0)),0)</f>
        <v>0</v>
      </c>
      <c r="R47" s="186">
        <f t="array" ref="R47">if( Rankings!$Q$6="y",index(Avgs!P:P,match(F47,Avgs!A:A,0))+index(Avgs!P:P,match(G47,Avgs!A:A,0))+index(Avgs!P:P,match(H47,Avgs!A:A,0)),0)</f>
        <v>0</v>
      </c>
      <c r="S47" s="188" t="str">
        <f t="shared" si="1"/>
        <v>tie</v>
      </c>
      <c r="T47" s="188" t="str">
        <f t="shared" si="2"/>
        <v>tie</v>
      </c>
      <c r="U47" s="185">
        <f>if($A47&gt;Rankings!$Q$2,if(S47="red",2,if(S47="tie",1,0))+if(O47&gt;=12,1,0)+if(Q47&gt;=40,1,0),0)</f>
        <v>1</v>
      </c>
      <c r="V47" s="186">
        <f>if($A47&gt;Rankings!$Q$2,if(S47="blue",2,if(S47="tie",1,0))+if(P47&gt;=12,1,0)+if(R47&gt;=40,1,0),0)</f>
        <v>1</v>
      </c>
      <c r="W47" s="185">
        <f>if($A47&gt;Rankings!$Q$2,M47,0)</f>
        <v>0</v>
      </c>
      <c r="X47" s="186">
        <f>if($A47&gt;Rankings!$Q$2,N47,0)</f>
        <v>0</v>
      </c>
      <c r="Y47" s="81" t="str">
        <f t="shared" si="3"/>
        <v/>
      </c>
      <c r="Z47" s="77"/>
      <c r="AA47" s="84">
        <f>Avgs!A47</f>
        <v>2367</v>
      </c>
      <c r="AB47" s="188">
        <f t="shared" si="4"/>
        <v>4</v>
      </c>
      <c r="AC47" s="188">
        <f t="array" ref="AC47">if(Rankings!$Q$6="n",0,index(Rankings!$C$3:$C127,match(AA47,Rankings!$B$3:$B127,0)))</f>
        <v>0</v>
      </c>
      <c r="AD47" s="188">
        <f t="shared" si="5"/>
        <v>4</v>
      </c>
      <c r="AE47" s="188">
        <f t="shared" si="6"/>
        <v>0</v>
      </c>
      <c r="AF47" s="188">
        <f t="array" ref="AF47">if(Rankings!$Q$6="n",0,index(Rankings!$D$3:$D127,match(AA47,Rankings!$B$3:$B127,0)))</f>
        <v>0</v>
      </c>
      <c r="AG47" s="188">
        <f t="shared" si="7"/>
        <v>0</v>
      </c>
      <c r="AH47" s="188">
        <f t="shared" si="8"/>
        <v>4.000000024</v>
      </c>
      <c r="AI47" s="188">
        <f t="shared" si="9"/>
        <v>42</v>
      </c>
      <c r="AJ47" s="188">
        <f t="shared" si="10"/>
        <v>2367</v>
      </c>
      <c r="AK47" s="188">
        <f t="shared" si="11"/>
        <v>4</v>
      </c>
      <c r="AL47" s="188">
        <f t="shared" si="12"/>
        <v>0</v>
      </c>
    </row>
    <row r="48">
      <c r="A48" s="83">
        <v>46.0</v>
      </c>
      <c r="B48" s="180" t="s">
        <v>427</v>
      </c>
      <c r="C48" s="181">
        <v>1671.0</v>
      </c>
      <c r="D48" s="181">
        <v>2813.0</v>
      </c>
      <c r="E48" s="181">
        <v>980.0</v>
      </c>
      <c r="F48" s="182">
        <v>3045.0</v>
      </c>
      <c r="G48" s="182">
        <v>6059.0</v>
      </c>
      <c r="H48" s="182">
        <v>751.0</v>
      </c>
      <c r="I48" s="183"/>
      <c r="J48" s="184"/>
      <c r="K48" s="185">
        <f t="array" ref="K48">if( Rankings!$Q$6="y",index(Avgs!B:B,match(C48,Avgs!A:A,0))+index(Avgs!B:B,match(D48,Avgs!A:A,0))+index(Avgs!B:B,match(E48,Avgs!A:A,0)),0)</f>
        <v>0</v>
      </c>
      <c r="L48" s="186">
        <f t="array" ref="L48">if( Rankings!$Q$6="y",index(Avgs!B:B,match(F48,Avgs!A:A,0))+index(Avgs!B:B,match(G48,Avgs!A:A,0))+index(Avgs!B:B,match(H48,Avgs!A:A,0)),0)</f>
        <v>0</v>
      </c>
      <c r="M48" s="187">
        <f>if( Rankings!$Q$6="y",K48,0)</f>
        <v>0</v>
      </c>
      <c r="N48" s="186">
        <f>if( Rankings!$Q$6="y",L48,0)</f>
        <v>0</v>
      </c>
      <c r="O48" s="185">
        <f t="array" ref="O48">if( Rankings!$Q$6="y",index(Avgs!Q:Q,match(C48,Avgs!A:A,0))+index(Avgs!Q:Q,match(D48,Avgs!A:A,0))+index(Avgs!Q:Q,match(E48,Avgs!A:A,0)),0)</f>
        <v>0</v>
      </c>
      <c r="P48" s="186">
        <f t="array" ref="P48">if( Rankings!$Q$6="y",index(Avgs!Q:Q,match(F48,Avgs!A:A,0))+index(Avgs!Q:Q,match(G48,Avgs!A:A,0))+index(Avgs!Q:Q,match(H48,Avgs!A:A,0)),0)</f>
        <v>0</v>
      </c>
      <c r="Q48" s="185">
        <f t="array" ref="Q48">if( Rankings!$Q$6="y",index(Avgs!P:P,match(C48,Avgs!A:A,0))+index(Avgs!P:P,match(D48,Avgs!A:A,0))+index(Avgs!P:P,match(E48,Avgs!A:A,0)),0)</f>
        <v>0</v>
      </c>
      <c r="R48" s="186">
        <f t="array" ref="R48">if( Rankings!$Q$6="y",index(Avgs!P:P,match(F48,Avgs!A:A,0))+index(Avgs!P:P,match(G48,Avgs!A:A,0))+index(Avgs!P:P,match(H48,Avgs!A:A,0)),0)</f>
        <v>0</v>
      </c>
      <c r="S48" s="188" t="str">
        <f t="shared" si="1"/>
        <v>tie</v>
      </c>
      <c r="T48" s="188" t="str">
        <f t="shared" si="2"/>
        <v>tie</v>
      </c>
      <c r="U48" s="185">
        <f>if($A48&gt;Rankings!$Q$2,if(S48="red",2,if(S48="tie",1,0))+if(O48&gt;=12,1,0)+if(Q48&gt;=40,1,0),0)</f>
        <v>1</v>
      </c>
      <c r="V48" s="186">
        <f>if($A48&gt;Rankings!$Q$2,if(S48="blue",2,if(S48="tie",1,0))+if(P48&gt;=12,1,0)+if(R48&gt;=40,1,0),0)</f>
        <v>1</v>
      </c>
      <c r="W48" s="185">
        <f>if($A48&gt;Rankings!$Q$2,M48,0)</f>
        <v>0</v>
      </c>
      <c r="X48" s="186">
        <f>if($A48&gt;Rankings!$Q$2,N48,0)</f>
        <v>0</v>
      </c>
      <c r="Y48" s="81" t="str">
        <f t="shared" si="3"/>
        <v/>
      </c>
      <c r="Z48" s="77"/>
      <c r="AA48" s="84">
        <f>Avgs!A48</f>
        <v>6059</v>
      </c>
      <c r="AB48" s="188">
        <f t="shared" si="4"/>
        <v>4</v>
      </c>
      <c r="AC48" s="188">
        <f t="array" ref="AC48">if(Rankings!$Q$6="n",0,index(Rankings!$C$3:$C127,match(AA48,Rankings!$B$3:$B127,0)))</f>
        <v>0</v>
      </c>
      <c r="AD48" s="188">
        <f t="shared" si="5"/>
        <v>4</v>
      </c>
      <c r="AE48" s="188">
        <f t="shared" si="6"/>
        <v>0</v>
      </c>
      <c r="AF48" s="188">
        <f t="array" ref="AF48">if(Rankings!$Q$6="n",0,index(Rankings!$D$3:$D127,match(AA48,Rankings!$B$3:$B127,0)))</f>
        <v>0</v>
      </c>
      <c r="AG48" s="188">
        <f t="shared" si="7"/>
        <v>0</v>
      </c>
      <c r="AH48" s="188">
        <f t="shared" si="8"/>
        <v>4.000000061</v>
      </c>
      <c r="AI48" s="188">
        <f t="shared" si="9"/>
        <v>31</v>
      </c>
      <c r="AJ48" s="188">
        <f t="shared" si="10"/>
        <v>6059</v>
      </c>
      <c r="AK48" s="188">
        <f t="shared" si="11"/>
        <v>4</v>
      </c>
      <c r="AL48" s="188">
        <f t="shared" si="12"/>
        <v>0</v>
      </c>
    </row>
    <row r="49">
      <c r="A49" s="83">
        <v>47.0</v>
      </c>
      <c r="B49" s="180" t="s">
        <v>428</v>
      </c>
      <c r="C49" s="181">
        <v>5677.0</v>
      </c>
      <c r="D49" s="181">
        <v>1662.0</v>
      </c>
      <c r="E49" s="181">
        <v>1678.0</v>
      </c>
      <c r="F49" s="182">
        <v>1072.0</v>
      </c>
      <c r="G49" s="182">
        <v>1422.0</v>
      </c>
      <c r="H49" s="182">
        <v>6619.0</v>
      </c>
      <c r="I49" s="183"/>
      <c r="J49" s="184"/>
      <c r="K49" s="185">
        <f t="array" ref="K49">if( Rankings!$Q$6="y",index(Avgs!B:B,match(C49,Avgs!A:A,0))+index(Avgs!B:B,match(D49,Avgs!A:A,0))+index(Avgs!B:B,match(E49,Avgs!A:A,0)),0)</f>
        <v>0</v>
      </c>
      <c r="L49" s="186">
        <f t="array" ref="L49">if( Rankings!$Q$6="y",index(Avgs!B:B,match(F49,Avgs!A:A,0))+index(Avgs!B:B,match(G49,Avgs!A:A,0))+index(Avgs!B:B,match(H49,Avgs!A:A,0)),0)</f>
        <v>0</v>
      </c>
      <c r="M49" s="187">
        <f>if( Rankings!$Q$6="y",K49,0)</f>
        <v>0</v>
      </c>
      <c r="N49" s="186">
        <f>if( Rankings!$Q$6="y",L49,0)</f>
        <v>0</v>
      </c>
      <c r="O49" s="185">
        <f t="array" ref="O49">if( Rankings!$Q$6="y",index(Avgs!Q:Q,match(C49,Avgs!A:A,0))+index(Avgs!Q:Q,match(D49,Avgs!A:A,0))+index(Avgs!Q:Q,match(E49,Avgs!A:A,0)),0)</f>
        <v>0</v>
      </c>
      <c r="P49" s="186">
        <f t="array" ref="P49">if( Rankings!$Q$6="y",index(Avgs!Q:Q,match(F49,Avgs!A:A,0))+index(Avgs!Q:Q,match(G49,Avgs!A:A,0))+index(Avgs!Q:Q,match(H49,Avgs!A:A,0)),0)</f>
        <v>0</v>
      </c>
      <c r="Q49" s="185">
        <f t="array" ref="Q49">if( Rankings!$Q$6="y",index(Avgs!P:P,match(C49,Avgs!A:A,0))+index(Avgs!P:P,match(D49,Avgs!A:A,0))+index(Avgs!P:P,match(E49,Avgs!A:A,0)),0)</f>
        <v>0</v>
      </c>
      <c r="R49" s="186">
        <f t="array" ref="R49">if( Rankings!$Q$6="y",index(Avgs!P:P,match(F49,Avgs!A:A,0))+index(Avgs!P:P,match(G49,Avgs!A:A,0))+index(Avgs!P:P,match(H49,Avgs!A:A,0)),0)</f>
        <v>0</v>
      </c>
      <c r="S49" s="188" t="str">
        <f t="shared" si="1"/>
        <v>tie</v>
      </c>
      <c r="T49" s="188" t="str">
        <f t="shared" si="2"/>
        <v>tie</v>
      </c>
      <c r="U49" s="185">
        <f>if($A49&gt;Rankings!$Q$2,if(S49="red",2,if(S49="tie",1,0))+if(O49&gt;=12,1,0)+if(Q49&gt;=40,1,0),0)</f>
        <v>1</v>
      </c>
      <c r="V49" s="186">
        <f>if($A49&gt;Rankings!$Q$2,if(S49="blue",2,if(S49="tie",1,0))+if(P49&gt;=12,1,0)+if(R49&gt;=40,1,0),0)</f>
        <v>1</v>
      </c>
      <c r="W49" s="185">
        <f>if($A49&gt;Rankings!$Q$2,M49,0)</f>
        <v>0</v>
      </c>
      <c r="X49" s="186">
        <f>if($A49&gt;Rankings!$Q$2,N49,0)</f>
        <v>0</v>
      </c>
      <c r="Y49" s="81" t="str">
        <f t="shared" si="3"/>
        <v/>
      </c>
      <c r="Z49" s="77"/>
      <c r="AA49" s="84">
        <f>Avgs!A49</f>
        <v>3045</v>
      </c>
      <c r="AB49" s="188">
        <f t="shared" si="4"/>
        <v>5</v>
      </c>
      <c r="AC49" s="188">
        <f t="array" ref="AC49">if(Rankings!$Q$6="n",0,index(Rankings!$C$3:$C127,match(AA49,Rankings!$B$3:$B127,0)))</f>
        <v>0</v>
      </c>
      <c r="AD49" s="188">
        <f t="shared" si="5"/>
        <v>5</v>
      </c>
      <c r="AE49" s="188">
        <f t="shared" si="6"/>
        <v>0</v>
      </c>
      <c r="AF49" s="188">
        <f t="array" ref="AF49">if(Rankings!$Q$6="n",0,index(Rankings!$D$3:$D127,match(AA49,Rankings!$B$3:$B127,0)))</f>
        <v>0</v>
      </c>
      <c r="AG49" s="188">
        <f t="shared" si="7"/>
        <v>0</v>
      </c>
      <c r="AH49" s="188">
        <f t="shared" si="8"/>
        <v>5.00000003</v>
      </c>
      <c r="AI49" s="188">
        <f t="shared" si="9"/>
        <v>13</v>
      </c>
      <c r="AJ49" s="188">
        <f t="shared" si="10"/>
        <v>3045</v>
      </c>
      <c r="AK49" s="188">
        <f t="shared" si="11"/>
        <v>5</v>
      </c>
      <c r="AL49" s="188">
        <f t="shared" si="12"/>
        <v>0</v>
      </c>
    </row>
    <row r="50">
      <c r="A50" s="83">
        <v>48.0</v>
      </c>
      <c r="B50" s="180" t="s">
        <v>429</v>
      </c>
      <c r="C50" s="181">
        <v>6305.0</v>
      </c>
      <c r="D50" s="181">
        <v>4543.0</v>
      </c>
      <c r="E50" s="181">
        <v>1388.0</v>
      </c>
      <c r="F50" s="182">
        <v>5817.0</v>
      </c>
      <c r="G50" s="182">
        <v>4415.0</v>
      </c>
      <c r="H50" s="182">
        <v>6650.0</v>
      </c>
      <c r="I50" s="183"/>
      <c r="J50" s="184"/>
      <c r="K50" s="185">
        <f t="array" ref="K50">if( Rankings!$Q$6="y",index(Avgs!B:B,match(C50,Avgs!A:A,0))+index(Avgs!B:B,match(D50,Avgs!A:A,0))+index(Avgs!B:B,match(E50,Avgs!A:A,0)),0)</f>
        <v>0</v>
      </c>
      <c r="L50" s="186">
        <f t="array" ref="L50">if( Rankings!$Q$6="y",index(Avgs!B:B,match(F50,Avgs!A:A,0))+index(Avgs!B:B,match(G50,Avgs!A:A,0))+index(Avgs!B:B,match(H50,Avgs!A:A,0)),0)</f>
        <v>0</v>
      </c>
      <c r="M50" s="187">
        <f>if( Rankings!$Q$6="y",K50,0)</f>
        <v>0</v>
      </c>
      <c r="N50" s="186">
        <f>if( Rankings!$Q$6="y",L50,0)</f>
        <v>0</v>
      </c>
      <c r="O50" s="185">
        <f t="array" ref="O50">if( Rankings!$Q$6="y",index(Avgs!Q:Q,match(C50,Avgs!A:A,0))+index(Avgs!Q:Q,match(D50,Avgs!A:A,0))+index(Avgs!Q:Q,match(E50,Avgs!A:A,0)),0)</f>
        <v>0</v>
      </c>
      <c r="P50" s="186">
        <f t="array" ref="P50">if( Rankings!$Q$6="y",index(Avgs!Q:Q,match(F50,Avgs!A:A,0))+index(Avgs!Q:Q,match(G50,Avgs!A:A,0))+index(Avgs!Q:Q,match(H50,Avgs!A:A,0)),0)</f>
        <v>0</v>
      </c>
      <c r="Q50" s="185">
        <f t="array" ref="Q50">if( Rankings!$Q$6="y",index(Avgs!P:P,match(C50,Avgs!A:A,0))+index(Avgs!P:P,match(D50,Avgs!A:A,0))+index(Avgs!P:P,match(E50,Avgs!A:A,0)),0)</f>
        <v>0</v>
      </c>
      <c r="R50" s="186">
        <f t="array" ref="R50">if( Rankings!$Q$6="y",index(Avgs!P:P,match(F50,Avgs!A:A,0))+index(Avgs!P:P,match(G50,Avgs!A:A,0))+index(Avgs!P:P,match(H50,Avgs!A:A,0)),0)</f>
        <v>0</v>
      </c>
      <c r="S50" s="188" t="str">
        <f t="shared" si="1"/>
        <v>tie</v>
      </c>
      <c r="T50" s="188" t="str">
        <f t="shared" si="2"/>
        <v>tie</v>
      </c>
      <c r="U50" s="185">
        <f>if($A50&gt;Rankings!$Q$2,if(S50="red",2,if(S50="tie",1,0))+if(O50&gt;=12,1,0)+if(Q50&gt;=40,1,0),0)</f>
        <v>1</v>
      </c>
      <c r="V50" s="186">
        <f>if($A50&gt;Rankings!$Q$2,if(S50="blue",2,if(S50="tie",1,0))+if(P50&gt;=12,1,0)+if(R50&gt;=40,1,0),0)</f>
        <v>1</v>
      </c>
      <c r="W50" s="185">
        <f>if($A50&gt;Rankings!$Q$2,M50,0)</f>
        <v>0</v>
      </c>
      <c r="X50" s="186">
        <f>if($A50&gt;Rankings!$Q$2,N50,0)</f>
        <v>0</v>
      </c>
      <c r="Y50" s="81" t="str">
        <f t="shared" si="3"/>
        <v/>
      </c>
      <c r="Z50" s="77"/>
      <c r="AA50" s="84" t="str">
        <f>Avgs!A50</f>
        <v/>
      </c>
      <c r="AB50" s="188">
        <f t="shared" si="4"/>
        <v>0</v>
      </c>
      <c r="AC50" s="188">
        <f t="array" ref="AC50">if(Rankings!$Q$6="n",0,index(Rankings!$C$3:$C127,match(AA50,Rankings!$B$3:$B127,0)))</f>
        <v>0</v>
      </c>
      <c r="AD50" s="188">
        <f t="shared" si="5"/>
        <v>0</v>
      </c>
      <c r="AE50" s="188">
        <f t="shared" si="6"/>
        <v>0</v>
      </c>
      <c r="AF50" s="188">
        <f t="array" ref="AF50">if(Rankings!$Q$6="n",0,index(Rankings!$D$3:$D127,match(AA50,Rankings!$B$3:$B127,0)))</f>
        <v>0</v>
      </c>
      <c r="AG50" s="188">
        <f t="shared" si="7"/>
        <v>0</v>
      </c>
      <c r="AH50" s="188">
        <f t="shared" si="8"/>
        <v>-0.0401500507</v>
      </c>
      <c r="AI50" s="188">
        <f t="shared" si="9"/>
        <v>77</v>
      </c>
      <c r="AJ50" s="188" t="str">
        <f t="shared" si="10"/>
        <v/>
      </c>
      <c r="AK50" s="188">
        <f t="shared" si="11"/>
        <v>0</v>
      </c>
      <c r="AL50" s="188">
        <f t="shared" si="12"/>
        <v>0</v>
      </c>
    </row>
    <row r="51">
      <c r="A51" s="83">
        <v>49.0</v>
      </c>
      <c r="B51" s="180" t="s">
        <v>430</v>
      </c>
      <c r="C51" s="181">
        <v>3189.0</v>
      </c>
      <c r="D51" s="181">
        <v>972.0</v>
      </c>
      <c r="E51" s="181">
        <v>5134.0</v>
      </c>
      <c r="F51" s="182">
        <v>5852.0</v>
      </c>
      <c r="G51" s="182">
        <v>1323.0</v>
      </c>
      <c r="H51" s="182">
        <v>852.0</v>
      </c>
      <c r="I51" s="183"/>
      <c r="J51" s="184"/>
      <c r="K51" s="185">
        <f t="array" ref="K51">if( Rankings!$Q$6="y",index(Avgs!B:B,match(C51,Avgs!A:A,0))+index(Avgs!B:B,match(D51,Avgs!A:A,0))+index(Avgs!B:B,match(E51,Avgs!A:A,0)),0)</f>
        <v>0</v>
      </c>
      <c r="L51" s="186">
        <f t="array" ref="L51">if( Rankings!$Q$6="y",index(Avgs!B:B,match(F51,Avgs!A:A,0))+index(Avgs!B:B,match(G51,Avgs!A:A,0))+index(Avgs!B:B,match(H51,Avgs!A:A,0)),0)</f>
        <v>0</v>
      </c>
      <c r="M51" s="187">
        <f>if( Rankings!$Q$6="y",K51,0)</f>
        <v>0</v>
      </c>
      <c r="N51" s="186">
        <f>if( Rankings!$Q$6="y",L51,0)</f>
        <v>0</v>
      </c>
      <c r="O51" s="185">
        <f t="array" ref="O51">if( Rankings!$Q$6="y",index(Avgs!Q:Q,match(C51,Avgs!A:A,0))+index(Avgs!Q:Q,match(D51,Avgs!A:A,0))+index(Avgs!Q:Q,match(E51,Avgs!A:A,0)),0)</f>
        <v>0</v>
      </c>
      <c r="P51" s="186">
        <f t="array" ref="P51">if( Rankings!$Q$6="y",index(Avgs!Q:Q,match(F51,Avgs!A:A,0))+index(Avgs!Q:Q,match(G51,Avgs!A:A,0))+index(Avgs!Q:Q,match(H51,Avgs!A:A,0)),0)</f>
        <v>0</v>
      </c>
      <c r="Q51" s="185">
        <f t="array" ref="Q51">if( Rankings!$Q$6="y",index(Avgs!P:P,match(C51,Avgs!A:A,0))+index(Avgs!P:P,match(D51,Avgs!A:A,0))+index(Avgs!P:P,match(E51,Avgs!A:A,0)),0)</f>
        <v>0</v>
      </c>
      <c r="R51" s="186">
        <f t="array" ref="R51">if( Rankings!$Q$6="y",index(Avgs!P:P,match(F51,Avgs!A:A,0))+index(Avgs!P:P,match(G51,Avgs!A:A,0))+index(Avgs!P:P,match(H51,Avgs!A:A,0)),0)</f>
        <v>0</v>
      </c>
      <c r="S51" s="188" t="str">
        <f t="shared" si="1"/>
        <v>tie</v>
      </c>
      <c r="T51" s="188" t="str">
        <f t="shared" si="2"/>
        <v>tie</v>
      </c>
      <c r="U51" s="185">
        <f>if($A51&gt;Rankings!$Q$2,if(S51="red",2,if(S51="tie",1,0))+if(O51&gt;=12,1,0)+if(Q51&gt;=40,1,0),0)</f>
        <v>1</v>
      </c>
      <c r="V51" s="186">
        <f>if($A51&gt;Rankings!$Q$2,if(S51="blue",2,if(S51="tie",1,0))+if(P51&gt;=12,1,0)+if(R51&gt;=40,1,0),0)</f>
        <v>1</v>
      </c>
      <c r="W51" s="185">
        <f>if($A51&gt;Rankings!$Q$2,M51,0)</f>
        <v>0</v>
      </c>
      <c r="X51" s="186">
        <f>if($A51&gt;Rankings!$Q$2,N51,0)</f>
        <v>0</v>
      </c>
      <c r="Y51" s="81" t="str">
        <f t="shared" si="3"/>
        <v/>
      </c>
      <c r="Z51" s="77"/>
      <c r="AA51" s="84" t="str">
        <f>Avgs!A51</f>
        <v/>
      </c>
      <c r="AB51" s="188">
        <f t="shared" si="4"/>
        <v>0</v>
      </c>
      <c r="AC51" s="188">
        <f t="array" ref="AC51">if(Rankings!$Q$6="n",0,index(Rankings!$C$3:$C127,match(AA51,Rankings!$B$3:$B127,0)))</f>
        <v>0</v>
      </c>
      <c r="AD51" s="188">
        <f t="shared" si="5"/>
        <v>0</v>
      </c>
      <c r="AE51" s="188">
        <f t="shared" si="6"/>
        <v>0</v>
      </c>
      <c r="AF51" s="188">
        <f t="array" ref="AF51">if(Rankings!$Q$6="n",0,index(Rankings!$D$3:$D127,match(AA51,Rankings!$B$3:$B127,0)))</f>
        <v>0</v>
      </c>
      <c r="AG51" s="188">
        <f t="shared" si="7"/>
        <v>0</v>
      </c>
      <c r="AH51" s="188">
        <f t="shared" si="8"/>
        <v>-0.02860373395</v>
      </c>
      <c r="AI51" s="188">
        <f t="shared" si="9"/>
        <v>72</v>
      </c>
      <c r="AJ51" s="188" t="str">
        <f t="shared" si="10"/>
        <v/>
      </c>
      <c r="AK51" s="188">
        <f t="shared" si="11"/>
        <v>0</v>
      </c>
      <c r="AL51" s="188">
        <f t="shared" si="12"/>
        <v>0</v>
      </c>
    </row>
    <row r="52">
      <c r="A52" s="83">
        <v>50.0</v>
      </c>
      <c r="B52" s="180" t="s">
        <v>433</v>
      </c>
      <c r="C52" s="181">
        <v>3501.0</v>
      </c>
      <c r="D52" s="181">
        <v>1671.0</v>
      </c>
      <c r="E52" s="181">
        <v>4255.0</v>
      </c>
      <c r="F52" s="182">
        <v>6711.0</v>
      </c>
      <c r="G52" s="182">
        <v>3303.0</v>
      </c>
      <c r="H52" s="182">
        <v>1662.0</v>
      </c>
      <c r="I52" s="183"/>
      <c r="J52" s="184"/>
      <c r="K52" s="185">
        <f t="array" ref="K52">if( Rankings!$Q$6="y",index(Avgs!B:B,match(C52,Avgs!A:A,0))+index(Avgs!B:B,match(D52,Avgs!A:A,0))+index(Avgs!B:B,match(E52,Avgs!A:A,0)),0)</f>
        <v>0</v>
      </c>
      <c r="L52" s="186">
        <f t="array" ref="L52">if( Rankings!$Q$6="y",index(Avgs!B:B,match(F52,Avgs!A:A,0))+index(Avgs!B:B,match(G52,Avgs!A:A,0))+index(Avgs!B:B,match(H52,Avgs!A:A,0)),0)</f>
        <v>0</v>
      </c>
      <c r="M52" s="187">
        <f>if( Rankings!$Q$6="y",K52,0)</f>
        <v>0</v>
      </c>
      <c r="N52" s="186">
        <f>if( Rankings!$Q$6="y",L52,0)</f>
        <v>0</v>
      </c>
      <c r="O52" s="185">
        <f t="array" ref="O52">if( Rankings!$Q$6="y",index(Avgs!Q:Q,match(C52,Avgs!A:A,0))+index(Avgs!Q:Q,match(D52,Avgs!A:A,0))+index(Avgs!Q:Q,match(E52,Avgs!A:A,0)),0)</f>
        <v>0</v>
      </c>
      <c r="P52" s="186">
        <f t="array" ref="P52">if( Rankings!$Q$6="y",index(Avgs!Q:Q,match(F52,Avgs!A:A,0))+index(Avgs!Q:Q,match(G52,Avgs!A:A,0))+index(Avgs!Q:Q,match(H52,Avgs!A:A,0)),0)</f>
        <v>0</v>
      </c>
      <c r="Q52" s="185">
        <f t="array" ref="Q52">if( Rankings!$Q$6="y",index(Avgs!P:P,match(C52,Avgs!A:A,0))+index(Avgs!P:P,match(D52,Avgs!A:A,0))+index(Avgs!P:P,match(E52,Avgs!A:A,0)),0)</f>
        <v>0</v>
      </c>
      <c r="R52" s="186">
        <f t="array" ref="R52">if( Rankings!$Q$6="y",index(Avgs!P:P,match(F52,Avgs!A:A,0))+index(Avgs!P:P,match(G52,Avgs!A:A,0))+index(Avgs!P:P,match(H52,Avgs!A:A,0)),0)</f>
        <v>0</v>
      </c>
      <c r="S52" s="188" t="str">
        <f t="shared" si="1"/>
        <v>tie</v>
      </c>
      <c r="T52" s="188" t="str">
        <f t="shared" si="2"/>
        <v>tie</v>
      </c>
      <c r="U52" s="185">
        <f>if($A52&gt;Rankings!$Q$2,if(S52="red",2,if(S52="tie",1,0))+if(O52&gt;=12,1,0)+if(Q52&gt;=40,1,0),0)</f>
        <v>1</v>
      </c>
      <c r="V52" s="186">
        <f>if($A52&gt;Rankings!$Q$2,if(S52="blue",2,if(S52="tie",1,0))+if(P52&gt;=12,1,0)+if(R52&gt;=40,1,0),0)</f>
        <v>1</v>
      </c>
      <c r="W52" s="185">
        <f>if($A52&gt;Rankings!$Q$2,M52,0)</f>
        <v>0</v>
      </c>
      <c r="X52" s="186">
        <f>if($A52&gt;Rankings!$Q$2,N52,0)</f>
        <v>0</v>
      </c>
      <c r="Y52" s="81" t="str">
        <f t="shared" si="3"/>
        <v/>
      </c>
      <c r="Z52" s="77"/>
      <c r="AA52" s="84" t="str">
        <f>Avgs!A52</f>
        <v/>
      </c>
      <c r="AB52" s="188">
        <f t="shared" si="4"/>
        <v>0</v>
      </c>
      <c r="AC52" s="188">
        <f t="array" ref="AC52">if(Rankings!$Q$6="n",0,index(Rankings!$C$3:$C127,match(AA52,Rankings!$B$3:$B127,0)))</f>
        <v>0</v>
      </c>
      <c r="AD52" s="188">
        <f t="shared" si="5"/>
        <v>0</v>
      </c>
      <c r="AE52" s="188">
        <f t="shared" si="6"/>
        <v>0</v>
      </c>
      <c r="AF52" s="188">
        <f t="array" ref="AF52">if(Rankings!$Q$6="n",0,index(Rankings!$D$3:$D127,match(AA52,Rankings!$B$3:$B127,0)))</f>
        <v>0</v>
      </c>
      <c r="AG52" s="188">
        <f t="shared" si="7"/>
        <v>0</v>
      </c>
      <c r="AH52" s="188">
        <f t="shared" si="8"/>
        <v>-0.01169555058</v>
      </c>
      <c r="AI52" s="188">
        <f t="shared" si="9"/>
        <v>64</v>
      </c>
      <c r="AJ52" s="188" t="str">
        <f t="shared" si="10"/>
        <v/>
      </c>
      <c r="AK52" s="188">
        <f t="shared" si="11"/>
        <v>0</v>
      </c>
      <c r="AL52" s="188">
        <f t="shared" si="12"/>
        <v>0</v>
      </c>
    </row>
    <row r="53">
      <c r="A53" s="83">
        <v>51.0</v>
      </c>
      <c r="B53" s="180" t="s">
        <v>440</v>
      </c>
      <c r="C53" s="181">
        <v>980.0</v>
      </c>
      <c r="D53" s="181">
        <v>6657.0</v>
      </c>
      <c r="E53" s="181">
        <v>1072.0</v>
      </c>
      <c r="F53" s="182">
        <v>2085.0</v>
      </c>
      <c r="G53" s="182">
        <v>3256.0</v>
      </c>
      <c r="H53" s="182">
        <v>3495.0</v>
      </c>
      <c r="I53" s="183"/>
      <c r="J53" s="184"/>
      <c r="K53" s="185">
        <f t="array" ref="K53">if( Rankings!$Q$6="y",index(Avgs!B:B,match(C53,Avgs!A:A,0))+index(Avgs!B:B,match(D53,Avgs!A:A,0))+index(Avgs!B:B,match(E53,Avgs!A:A,0)),0)</f>
        <v>0</v>
      </c>
      <c r="L53" s="186">
        <f t="array" ref="L53">if( Rankings!$Q$6="y",index(Avgs!B:B,match(F53,Avgs!A:A,0))+index(Avgs!B:B,match(G53,Avgs!A:A,0))+index(Avgs!B:B,match(H53,Avgs!A:A,0)),0)</f>
        <v>0</v>
      </c>
      <c r="M53" s="187">
        <f>if( Rankings!$Q$6="y",K53,0)</f>
        <v>0</v>
      </c>
      <c r="N53" s="186">
        <f>if( Rankings!$Q$6="y",L53,0)</f>
        <v>0</v>
      </c>
      <c r="O53" s="185">
        <f t="array" ref="O53">if( Rankings!$Q$6="y",index(Avgs!Q:Q,match(C53,Avgs!A:A,0))+index(Avgs!Q:Q,match(D53,Avgs!A:A,0))+index(Avgs!Q:Q,match(E53,Avgs!A:A,0)),0)</f>
        <v>0</v>
      </c>
      <c r="P53" s="186">
        <f t="array" ref="P53">if( Rankings!$Q$6="y",index(Avgs!Q:Q,match(F53,Avgs!A:A,0))+index(Avgs!Q:Q,match(G53,Avgs!A:A,0))+index(Avgs!Q:Q,match(H53,Avgs!A:A,0)),0)</f>
        <v>0</v>
      </c>
      <c r="Q53" s="185">
        <f t="array" ref="Q53">if( Rankings!$Q$6="y",index(Avgs!P:P,match(C53,Avgs!A:A,0))+index(Avgs!P:P,match(D53,Avgs!A:A,0))+index(Avgs!P:P,match(E53,Avgs!A:A,0)),0)</f>
        <v>0</v>
      </c>
      <c r="R53" s="186">
        <f t="array" ref="R53">if( Rankings!$Q$6="y",index(Avgs!P:P,match(F53,Avgs!A:A,0))+index(Avgs!P:P,match(G53,Avgs!A:A,0))+index(Avgs!P:P,match(H53,Avgs!A:A,0)),0)</f>
        <v>0</v>
      </c>
      <c r="S53" s="188" t="str">
        <f t="shared" si="1"/>
        <v>tie</v>
      </c>
      <c r="T53" s="188" t="str">
        <f t="shared" si="2"/>
        <v>tie</v>
      </c>
      <c r="U53" s="185">
        <f>if($A53&gt;Rankings!$Q$2,if(S53="red",2,if(S53="tie",1,0))+if(O53&gt;=12,1,0)+if(Q53&gt;=40,1,0),0)</f>
        <v>1</v>
      </c>
      <c r="V53" s="186">
        <f>if($A53&gt;Rankings!$Q$2,if(S53="blue",2,if(S53="tie",1,0))+if(P53&gt;=12,1,0)+if(R53&gt;=40,1,0),0)</f>
        <v>1</v>
      </c>
      <c r="W53" s="185">
        <f>if($A53&gt;Rankings!$Q$2,M53,0)</f>
        <v>0</v>
      </c>
      <c r="X53" s="186">
        <f>if($A53&gt;Rankings!$Q$2,N53,0)</f>
        <v>0</v>
      </c>
      <c r="Y53" s="81" t="str">
        <f t="shared" si="3"/>
        <v/>
      </c>
      <c r="Z53" s="77"/>
      <c r="AA53" s="84" t="str">
        <f>Avgs!A53</f>
        <v/>
      </c>
      <c r="AB53" s="188">
        <f t="shared" si="4"/>
        <v>0</v>
      </c>
      <c r="AC53" s="188">
        <f t="array" ref="AC53">if(Rankings!$Q$6="n",0,index(Rankings!$C$3:$C127,match(AA53,Rankings!$B$3:$B127,0)))</f>
        <v>0</v>
      </c>
      <c r="AD53" s="188">
        <f t="shared" si="5"/>
        <v>0</v>
      </c>
      <c r="AE53" s="188">
        <f t="shared" si="6"/>
        <v>0</v>
      </c>
      <c r="AF53" s="188">
        <f t="array" ref="AF53">if(Rankings!$Q$6="n",0,index(Rankings!$D$3:$D127,match(AA53,Rankings!$B$3:$B127,0)))</f>
        <v>0</v>
      </c>
      <c r="AG53" s="188">
        <f t="shared" si="7"/>
        <v>0</v>
      </c>
      <c r="AH53" s="188">
        <f t="shared" si="8"/>
        <v>-0.03968841791</v>
      </c>
      <c r="AI53" s="188">
        <f t="shared" si="9"/>
        <v>76</v>
      </c>
      <c r="AJ53" s="188" t="str">
        <f t="shared" si="10"/>
        <v/>
      </c>
      <c r="AK53" s="188">
        <f t="shared" si="11"/>
        <v>0</v>
      </c>
      <c r="AL53" s="188">
        <f t="shared" si="12"/>
        <v>0</v>
      </c>
    </row>
    <row r="54">
      <c r="A54" s="83">
        <v>52.0</v>
      </c>
      <c r="B54" s="180" t="s">
        <v>441</v>
      </c>
      <c r="C54" s="181">
        <v>5104.0</v>
      </c>
      <c r="D54" s="181">
        <v>5677.0</v>
      </c>
      <c r="E54" s="181">
        <v>3045.0</v>
      </c>
      <c r="F54" s="182">
        <v>2643.0</v>
      </c>
      <c r="G54" s="182">
        <v>2367.0</v>
      </c>
      <c r="H54" s="182">
        <v>3970.0</v>
      </c>
      <c r="I54" s="183"/>
      <c r="J54" s="184"/>
      <c r="K54" s="185">
        <f t="array" ref="K54">if( Rankings!$Q$6="y",index(Avgs!B:B,match(C54,Avgs!A:A,0))+index(Avgs!B:B,match(D54,Avgs!A:A,0))+index(Avgs!B:B,match(E54,Avgs!A:A,0)),0)</f>
        <v>0</v>
      </c>
      <c r="L54" s="186">
        <f t="array" ref="L54">if( Rankings!$Q$6="y",index(Avgs!B:B,match(F54,Avgs!A:A,0))+index(Avgs!B:B,match(G54,Avgs!A:A,0))+index(Avgs!B:B,match(H54,Avgs!A:A,0)),0)</f>
        <v>0</v>
      </c>
      <c r="M54" s="187">
        <f>if( Rankings!$Q$6="y",K54,0)</f>
        <v>0</v>
      </c>
      <c r="N54" s="186">
        <f>if( Rankings!$Q$6="y",L54,0)</f>
        <v>0</v>
      </c>
      <c r="O54" s="185">
        <f t="array" ref="O54">if( Rankings!$Q$6="y",index(Avgs!Q:Q,match(C54,Avgs!A:A,0))+index(Avgs!Q:Q,match(D54,Avgs!A:A,0))+index(Avgs!Q:Q,match(E54,Avgs!A:A,0)),0)</f>
        <v>0</v>
      </c>
      <c r="P54" s="186">
        <f t="array" ref="P54">if( Rankings!$Q$6="y",index(Avgs!Q:Q,match(F54,Avgs!A:A,0))+index(Avgs!Q:Q,match(G54,Avgs!A:A,0))+index(Avgs!Q:Q,match(H54,Avgs!A:A,0)),0)</f>
        <v>0</v>
      </c>
      <c r="Q54" s="185">
        <f t="array" ref="Q54">if( Rankings!$Q$6="y",index(Avgs!P:P,match(C54,Avgs!A:A,0))+index(Avgs!P:P,match(D54,Avgs!A:A,0))+index(Avgs!P:P,match(E54,Avgs!A:A,0)),0)</f>
        <v>0</v>
      </c>
      <c r="R54" s="186">
        <f t="array" ref="R54">if( Rankings!$Q$6="y",index(Avgs!P:P,match(F54,Avgs!A:A,0))+index(Avgs!P:P,match(G54,Avgs!A:A,0))+index(Avgs!P:P,match(H54,Avgs!A:A,0)),0)</f>
        <v>0</v>
      </c>
      <c r="S54" s="188" t="str">
        <f t="shared" si="1"/>
        <v>tie</v>
      </c>
      <c r="T54" s="188" t="str">
        <f t="shared" si="2"/>
        <v>tie</v>
      </c>
      <c r="U54" s="185">
        <f>if($A54&gt;Rankings!$Q$2,if(S54="red",2,if(S54="tie",1,0))+if(O54&gt;=12,1,0)+if(Q54&gt;=40,1,0),0)</f>
        <v>1</v>
      </c>
      <c r="V54" s="186">
        <f>if($A54&gt;Rankings!$Q$2,if(S54="blue",2,if(S54="tie",1,0))+if(P54&gt;=12,1,0)+if(R54&gt;=40,1,0),0)</f>
        <v>1</v>
      </c>
      <c r="W54" s="185">
        <f>if($A54&gt;Rankings!$Q$2,M54,0)</f>
        <v>0</v>
      </c>
      <c r="X54" s="186">
        <f>if($A54&gt;Rankings!$Q$2,N54,0)</f>
        <v>0</v>
      </c>
      <c r="Y54" s="81" t="str">
        <f t="shared" si="3"/>
        <v/>
      </c>
      <c r="Z54" s="77"/>
      <c r="AA54" s="84" t="str">
        <f>Avgs!A54</f>
        <v/>
      </c>
      <c r="AB54" s="188">
        <f t="shared" si="4"/>
        <v>0</v>
      </c>
      <c r="AC54" s="188">
        <f t="array" ref="AC54">if(Rankings!$Q$6="n",0,index(Rankings!$C$3:$C127,match(AA54,Rankings!$B$3:$B127,0)))</f>
        <v>0</v>
      </c>
      <c r="AD54" s="188">
        <f t="shared" si="5"/>
        <v>0</v>
      </c>
      <c r="AE54" s="188">
        <f t="shared" si="6"/>
        <v>0</v>
      </c>
      <c r="AF54" s="188">
        <f t="array" ref="AF54">if(Rankings!$Q$6="n",0,index(Rankings!$D$3:$D127,match(AA54,Rankings!$B$3:$B127,0)))</f>
        <v>0</v>
      </c>
      <c r="AG54" s="188">
        <f t="shared" si="7"/>
        <v>0</v>
      </c>
      <c r="AH54" s="188">
        <f t="shared" si="8"/>
        <v>-0.1248410516</v>
      </c>
      <c r="AI54" s="188">
        <f t="shared" si="9"/>
        <v>87</v>
      </c>
      <c r="AJ54" s="188" t="str">
        <f t="shared" si="10"/>
        <v/>
      </c>
      <c r="AK54" s="188">
        <f t="shared" si="11"/>
        <v>0</v>
      </c>
      <c r="AL54" s="188">
        <f t="shared" si="12"/>
        <v>0</v>
      </c>
    </row>
    <row r="55">
      <c r="A55" s="83">
        <v>53.0</v>
      </c>
      <c r="B55" s="180" t="s">
        <v>442</v>
      </c>
      <c r="C55" s="181">
        <v>973.0</v>
      </c>
      <c r="D55" s="181">
        <v>2135.0</v>
      </c>
      <c r="E55" s="181">
        <v>2493.0</v>
      </c>
      <c r="F55" s="182">
        <v>1868.0</v>
      </c>
      <c r="G55" s="182">
        <v>6059.0</v>
      </c>
      <c r="H55" s="182">
        <v>6619.0</v>
      </c>
      <c r="I55" s="183"/>
      <c r="J55" s="184"/>
      <c r="K55" s="185">
        <f t="array" ref="K55">if( Rankings!$Q$6="y",index(Avgs!B:B,match(C55,Avgs!A:A,0))+index(Avgs!B:B,match(D55,Avgs!A:A,0))+index(Avgs!B:B,match(E55,Avgs!A:A,0)),0)</f>
        <v>0</v>
      </c>
      <c r="L55" s="186">
        <f t="array" ref="L55">if( Rankings!$Q$6="y",index(Avgs!B:B,match(F55,Avgs!A:A,0))+index(Avgs!B:B,match(G55,Avgs!A:A,0))+index(Avgs!B:B,match(H55,Avgs!A:A,0)),0)</f>
        <v>0</v>
      </c>
      <c r="M55" s="187">
        <f>if( Rankings!$Q$6="y",K55,0)</f>
        <v>0</v>
      </c>
      <c r="N55" s="186">
        <f>if( Rankings!$Q$6="y",L55,0)</f>
        <v>0</v>
      </c>
      <c r="O55" s="185">
        <f t="array" ref="O55">if( Rankings!$Q$6="y",index(Avgs!Q:Q,match(C55,Avgs!A:A,0))+index(Avgs!Q:Q,match(D55,Avgs!A:A,0))+index(Avgs!Q:Q,match(E55,Avgs!A:A,0)),0)</f>
        <v>0</v>
      </c>
      <c r="P55" s="186">
        <f t="array" ref="P55">if( Rankings!$Q$6="y",index(Avgs!Q:Q,match(F55,Avgs!A:A,0))+index(Avgs!Q:Q,match(G55,Avgs!A:A,0))+index(Avgs!Q:Q,match(H55,Avgs!A:A,0)),0)</f>
        <v>0</v>
      </c>
      <c r="Q55" s="185">
        <f t="array" ref="Q55">if( Rankings!$Q$6="y",index(Avgs!P:P,match(C55,Avgs!A:A,0))+index(Avgs!P:P,match(D55,Avgs!A:A,0))+index(Avgs!P:P,match(E55,Avgs!A:A,0)),0)</f>
        <v>0</v>
      </c>
      <c r="R55" s="186">
        <f t="array" ref="R55">if( Rankings!$Q$6="y",index(Avgs!P:P,match(F55,Avgs!A:A,0))+index(Avgs!P:P,match(G55,Avgs!A:A,0))+index(Avgs!P:P,match(H55,Avgs!A:A,0)),0)</f>
        <v>0</v>
      </c>
      <c r="S55" s="188" t="str">
        <f t="shared" si="1"/>
        <v>tie</v>
      </c>
      <c r="T55" s="188" t="str">
        <f t="shared" si="2"/>
        <v>tie</v>
      </c>
      <c r="U55" s="185">
        <f>if($A55&gt;Rankings!$Q$2,if(S55="red",2,if(S55="tie",1,0))+if(O55&gt;=12,1,0)+if(Q55&gt;=40,1,0),0)</f>
        <v>1</v>
      </c>
      <c r="V55" s="186">
        <f>if($A55&gt;Rankings!$Q$2,if(S55="blue",2,if(S55="tie",1,0))+if(P55&gt;=12,1,0)+if(R55&gt;=40,1,0),0)</f>
        <v>1</v>
      </c>
      <c r="W55" s="185">
        <f>if($A55&gt;Rankings!$Q$2,M55,0)</f>
        <v>0</v>
      </c>
      <c r="X55" s="186">
        <f>if($A55&gt;Rankings!$Q$2,N55,0)</f>
        <v>0</v>
      </c>
      <c r="Y55" s="81" t="str">
        <f t="shared" si="3"/>
        <v>973-7</v>
      </c>
      <c r="Z55" s="77"/>
      <c r="AA55" s="84" t="str">
        <f>Avgs!A55</f>
        <v/>
      </c>
      <c r="AB55" s="188">
        <f t="shared" si="4"/>
        <v>0</v>
      </c>
      <c r="AC55" s="188">
        <f t="array" ref="AC55">if(Rankings!$Q$6="n",0,index(Rankings!$C$3:$C127,match(AA55,Rankings!$B$3:$B127,0)))</f>
        <v>0</v>
      </c>
      <c r="AD55" s="188">
        <f t="shared" si="5"/>
        <v>0</v>
      </c>
      <c r="AE55" s="188">
        <f t="shared" si="6"/>
        <v>0</v>
      </c>
      <c r="AF55" s="188">
        <f t="array" ref="AF55">if(Rankings!$Q$6="n",0,index(Rankings!$D$3:$D127,match(AA55,Rankings!$B$3:$B127,0)))</f>
        <v>0</v>
      </c>
      <c r="AG55" s="188">
        <f t="shared" si="7"/>
        <v>0</v>
      </c>
      <c r="AH55" s="188">
        <f t="shared" si="8"/>
        <v>-0.1578849516</v>
      </c>
      <c r="AI55" s="188">
        <f t="shared" si="9"/>
        <v>94</v>
      </c>
      <c r="AJ55" s="188" t="str">
        <f t="shared" si="10"/>
        <v/>
      </c>
      <c r="AK55" s="188">
        <f t="shared" si="11"/>
        <v>0</v>
      </c>
      <c r="AL55" s="188">
        <f t="shared" si="12"/>
        <v>0</v>
      </c>
    </row>
    <row r="56">
      <c r="A56" s="83">
        <v>54.0</v>
      </c>
      <c r="B56" s="180" t="s">
        <v>443</v>
      </c>
      <c r="C56" s="181">
        <v>4643.0</v>
      </c>
      <c r="D56" s="181">
        <v>1678.0</v>
      </c>
      <c r="E56" s="181">
        <v>687.0</v>
      </c>
      <c r="F56" s="182">
        <v>6699.0</v>
      </c>
      <c r="G56" s="182">
        <v>751.0</v>
      </c>
      <c r="H56" s="182">
        <v>2813.0</v>
      </c>
      <c r="I56" s="183"/>
      <c r="J56" s="184"/>
      <c r="K56" s="185">
        <f t="array" ref="K56">if( Rankings!$Q$6="y",index(Avgs!B:B,match(C56,Avgs!A:A,0))+index(Avgs!B:B,match(D56,Avgs!A:A,0))+index(Avgs!B:B,match(E56,Avgs!A:A,0)),0)</f>
        <v>0</v>
      </c>
      <c r="L56" s="186">
        <f t="array" ref="L56">if( Rankings!$Q$6="y",index(Avgs!B:B,match(F56,Avgs!A:A,0))+index(Avgs!B:B,match(G56,Avgs!A:A,0))+index(Avgs!B:B,match(H56,Avgs!A:A,0)),0)</f>
        <v>0</v>
      </c>
      <c r="M56" s="187">
        <f>if( Rankings!$Q$6="y",K56,0)</f>
        <v>0</v>
      </c>
      <c r="N56" s="186">
        <f>if( Rankings!$Q$6="y",L56,0)</f>
        <v>0</v>
      </c>
      <c r="O56" s="185">
        <f t="array" ref="O56">if( Rankings!$Q$6="y",index(Avgs!Q:Q,match(C56,Avgs!A:A,0))+index(Avgs!Q:Q,match(D56,Avgs!A:A,0))+index(Avgs!Q:Q,match(E56,Avgs!A:A,0)),0)</f>
        <v>0</v>
      </c>
      <c r="P56" s="186">
        <f t="array" ref="P56">if( Rankings!$Q$6="y",index(Avgs!Q:Q,match(F56,Avgs!A:A,0))+index(Avgs!Q:Q,match(G56,Avgs!A:A,0))+index(Avgs!Q:Q,match(H56,Avgs!A:A,0)),0)</f>
        <v>0</v>
      </c>
      <c r="Q56" s="185">
        <f t="array" ref="Q56">if( Rankings!$Q$6="y",index(Avgs!P:P,match(C56,Avgs!A:A,0))+index(Avgs!P:P,match(D56,Avgs!A:A,0))+index(Avgs!P:P,match(E56,Avgs!A:A,0)),0)</f>
        <v>0</v>
      </c>
      <c r="R56" s="186">
        <f t="array" ref="R56">if( Rankings!$Q$6="y",index(Avgs!P:P,match(F56,Avgs!A:A,0))+index(Avgs!P:P,match(G56,Avgs!A:A,0))+index(Avgs!P:P,match(H56,Avgs!A:A,0)),0)</f>
        <v>0</v>
      </c>
      <c r="S56" s="188" t="str">
        <f t="shared" si="1"/>
        <v>tie</v>
      </c>
      <c r="T56" s="188" t="str">
        <f t="shared" si="2"/>
        <v>tie</v>
      </c>
      <c r="U56" s="185">
        <f>if($A56&gt;Rankings!$Q$2,if(S56="red",2,if(S56="tie",1,0))+if(O56&gt;=12,1,0)+if(Q56&gt;=40,1,0),0)</f>
        <v>1</v>
      </c>
      <c r="V56" s="186">
        <f>if($A56&gt;Rankings!$Q$2,if(S56="blue",2,if(S56="tie",1,0))+if(P56&gt;=12,1,0)+if(R56&gt;=40,1,0),0)</f>
        <v>1</v>
      </c>
      <c r="W56" s="185">
        <f>if($A56&gt;Rankings!$Q$2,M56,0)</f>
        <v>0</v>
      </c>
      <c r="X56" s="186">
        <f>if($A56&gt;Rankings!$Q$2,N56,0)</f>
        <v>0</v>
      </c>
      <c r="Y56" s="81" t="str">
        <f t="shared" si="3"/>
        <v/>
      </c>
      <c r="Z56" s="77"/>
      <c r="AA56" s="84" t="str">
        <f>Avgs!A56</f>
        <v/>
      </c>
      <c r="AB56" s="188">
        <f t="shared" si="4"/>
        <v>0</v>
      </c>
      <c r="AC56" s="188">
        <f t="array" ref="AC56">if(Rankings!$Q$6="n",0,index(Rankings!$C$3:$C127,match(AA56,Rankings!$B$3:$B127,0)))</f>
        <v>0</v>
      </c>
      <c r="AD56" s="188">
        <f t="shared" si="5"/>
        <v>0</v>
      </c>
      <c r="AE56" s="188">
        <f t="shared" si="6"/>
        <v>0</v>
      </c>
      <c r="AF56" s="188">
        <f t="array" ref="AF56">if(Rankings!$Q$6="n",0,index(Rankings!$D$3:$D127,match(AA56,Rankings!$B$3:$B127,0)))</f>
        <v>0</v>
      </c>
      <c r="AG56" s="188">
        <f t="shared" si="7"/>
        <v>0</v>
      </c>
      <c r="AH56" s="188">
        <f t="shared" si="8"/>
        <v>-0.006424165912</v>
      </c>
      <c r="AI56" s="188">
        <f t="shared" si="9"/>
        <v>57</v>
      </c>
      <c r="AJ56" s="188" t="str">
        <f t="shared" si="10"/>
        <v/>
      </c>
      <c r="AK56" s="188">
        <f t="shared" si="11"/>
        <v>0</v>
      </c>
      <c r="AL56" s="188">
        <f t="shared" si="12"/>
        <v>0</v>
      </c>
    </row>
    <row r="57">
      <c r="A57" s="83">
        <v>55.0</v>
      </c>
      <c r="B57" s="180" t="s">
        <v>444</v>
      </c>
      <c r="C57" s="181">
        <v>2761.0</v>
      </c>
      <c r="D57" s="181">
        <v>1422.0</v>
      </c>
      <c r="E57" s="181">
        <v>294.0</v>
      </c>
      <c r="F57" s="182">
        <v>4276.0</v>
      </c>
      <c r="G57" s="182">
        <v>670.0</v>
      </c>
      <c r="H57" s="182">
        <v>2085.0</v>
      </c>
      <c r="I57" s="183"/>
      <c r="J57" s="184"/>
      <c r="K57" s="185">
        <f t="array" ref="K57">if( Rankings!$Q$6="y",index(Avgs!B:B,match(C57,Avgs!A:A,0))+index(Avgs!B:B,match(D57,Avgs!A:A,0))+index(Avgs!B:B,match(E57,Avgs!A:A,0)),0)</f>
        <v>0</v>
      </c>
      <c r="L57" s="186">
        <f t="array" ref="L57">if( Rankings!$Q$6="y",index(Avgs!B:B,match(F57,Avgs!A:A,0))+index(Avgs!B:B,match(G57,Avgs!A:A,0))+index(Avgs!B:B,match(H57,Avgs!A:A,0)),0)</f>
        <v>0</v>
      </c>
      <c r="M57" s="187">
        <f>if( Rankings!$Q$6="y",K57,0)</f>
        <v>0</v>
      </c>
      <c r="N57" s="186">
        <f>if( Rankings!$Q$6="y",L57,0)</f>
        <v>0</v>
      </c>
      <c r="O57" s="185">
        <f t="array" ref="O57">if( Rankings!$Q$6="y",index(Avgs!Q:Q,match(C57,Avgs!A:A,0))+index(Avgs!Q:Q,match(D57,Avgs!A:A,0))+index(Avgs!Q:Q,match(E57,Avgs!A:A,0)),0)</f>
        <v>0</v>
      </c>
      <c r="P57" s="186">
        <f t="array" ref="P57">if( Rankings!$Q$6="y",index(Avgs!Q:Q,match(F57,Avgs!A:A,0))+index(Avgs!Q:Q,match(G57,Avgs!A:A,0))+index(Avgs!Q:Q,match(H57,Avgs!A:A,0)),0)</f>
        <v>0</v>
      </c>
      <c r="Q57" s="185">
        <f t="array" ref="Q57">if( Rankings!$Q$6="y",index(Avgs!P:P,match(C57,Avgs!A:A,0))+index(Avgs!P:P,match(D57,Avgs!A:A,0))+index(Avgs!P:P,match(E57,Avgs!A:A,0)),0)</f>
        <v>0</v>
      </c>
      <c r="R57" s="186">
        <f t="array" ref="R57">if( Rankings!$Q$6="y",index(Avgs!P:P,match(F57,Avgs!A:A,0))+index(Avgs!P:P,match(G57,Avgs!A:A,0))+index(Avgs!P:P,match(H57,Avgs!A:A,0)),0)</f>
        <v>0</v>
      </c>
      <c r="S57" s="188" t="str">
        <f t="shared" si="1"/>
        <v>tie</v>
      </c>
      <c r="T57" s="188" t="str">
        <f t="shared" si="2"/>
        <v>tie</v>
      </c>
      <c r="U57" s="185">
        <f>if($A57&gt;Rankings!$Q$2,if(S57="red",2,if(S57="tie",1,0))+if(O57&gt;=12,1,0)+if(Q57&gt;=40,1,0),0)</f>
        <v>1</v>
      </c>
      <c r="V57" s="186">
        <f>if($A57&gt;Rankings!$Q$2,if(S57="blue",2,if(S57="tie",1,0))+if(P57&gt;=12,1,0)+if(R57&gt;=40,1,0),0)</f>
        <v>1</v>
      </c>
      <c r="W57" s="185">
        <f>if($A57&gt;Rankings!$Q$2,M57,0)</f>
        <v>0</v>
      </c>
      <c r="X57" s="186">
        <f>if($A57&gt;Rankings!$Q$2,N57,0)</f>
        <v>0</v>
      </c>
      <c r="Y57" s="81" t="str">
        <f t="shared" si="3"/>
        <v/>
      </c>
      <c r="Z57" s="77"/>
      <c r="AA57" s="84" t="str">
        <f>Avgs!A57</f>
        <v/>
      </c>
      <c r="AB57" s="188">
        <f t="shared" si="4"/>
        <v>0</v>
      </c>
      <c r="AC57" s="188">
        <f t="array" ref="AC57">if(Rankings!$Q$6="n",0,index(Rankings!$C$3:$C127,match(AA57,Rankings!$B$3:$B127,0)))</f>
        <v>0</v>
      </c>
      <c r="AD57" s="188">
        <f t="shared" si="5"/>
        <v>0</v>
      </c>
      <c r="AE57" s="188">
        <f t="shared" si="6"/>
        <v>0</v>
      </c>
      <c r="AF57" s="188">
        <f t="array" ref="AF57">if(Rankings!$Q$6="n",0,index(Rankings!$D$3:$D127,match(AA57,Rankings!$B$3:$B127,0)))</f>
        <v>0</v>
      </c>
      <c r="AG57" s="188">
        <f t="shared" si="7"/>
        <v>0</v>
      </c>
      <c r="AH57" s="188">
        <f t="shared" si="8"/>
        <v>-0.2135823626</v>
      </c>
      <c r="AI57" s="188">
        <f t="shared" si="9"/>
        <v>98</v>
      </c>
      <c r="AJ57" s="188" t="str">
        <f t="shared" si="10"/>
        <v/>
      </c>
      <c r="AK57" s="188">
        <f t="shared" si="11"/>
        <v>0</v>
      </c>
      <c r="AL57" s="188">
        <f t="shared" si="12"/>
        <v>0</v>
      </c>
    </row>
    <row r="58">
      <c r="A58" s="83">
        <v>56.0</v>
      </c>
      <c r="B58" s="180" t="s">
        <v>445</v>
      </c>
      <c r="C58" s="181">
        <v>1868.0</v>
      </c>
      <c r="D58" s="181">
        <v>6657.0</v>
      </c>
      <c r="E58" s="181">
        <v>5817.0</v>
      </c>
      <c r="F58" s="182">
        <v>6059.0</v>
      </c>
      <c r="G58" s="182">
        <v>6711.0</v>
      </c>
      <c r="H58" s="182">
        <v>6305.0</v>
      </c>
      <c r="I58" s="183"/>
      <c r="J58" s="184"/>
      <c r="K58" s="185">
        <f t="array" ref="K58">if( Rankings!$Q$6="y",index(Avgs!B:B,match(C58,Avgs!A:A,0))+index(Avgs!B:B,match(D58,Avgs!A:A,0))+index(Avgs!B:B,match(E58,Avgs!A:A,0)),0)</f>
        <v>0</v>
      </c>
      <c r="L58" s="186">
        <f t="array" ref="L58">if( Rankings!$Q$6="y",index(Avgs!B:B,match(F58,Avgs!A:A,0))+index(Avgs!B:B,match(G58,Avgs!A:A,0))+index(Avgs!B:B,match(H58,Avgs!A:A,0)),0)</f>
        <v>0</v>
      </c>
      <c r="M58" s="187">
        <f>if( Rankings!$Q$6="y",K58,0)</f>
        <v>0</v>
      </c>
      <c r="N58" s="186">
        <f>if( Rankings!$Q$6="y",L58,0)</f>
        <v>0</v>
      </c>
      <c r="O58" s="185">
        <f t="array" ref="O58">if( Rankings!$Q$6="y",index(Avgs!Q:Q,match(C58,Avgs!A:A,0))+index(Avgs!Q:Q,match(D58,Avgs!A:A,0))+index(Avgs!Q:Q,match(E58,Avgs!A:A,0)),0)</f>
        <v>0</v>
      </c>
      <c r="P58" s="186">
        <f t="array" ref="P58">if( Rankings!$Q$6="y",index(Avgs!Q:Q,match(F58,Avgs!A:A,0))+index(Avgs!Q:Q,match(G58,Avgs!A:A,0))+index(Avgs!Q:Q,match(H58,Avgs!A:A,0)),0)</f>
        <v>0</v>
      </c>
      <c r="Q58" s="185">
        <f t="array" ref="Q58">if( Rankings!$Q$6="y",index(Avgs!P:P,match(C58,Avgs!A:A,0))+index(Avgs!P:P,match(D58,Avgs!A:A,0))+index(Avgs!P:P,match(E58,Avgs!A:A,0)),0)</f>
        <v>0</v>
      </c>
      <c r="R58" s="186">
        <f t="array" ref="R58">if( Rankings!$Q$6="y",index(Avgs!P:P,match(F58,Avgs!A:A,0))+index(Avgs!P:P,match(G58,Avgs!A:A,0))+index(Avgs!P:P,match(H58,Avgs!A:A,0)),0)</f>
        <v>0</v>
      </c>
      <c r="S58" s="188" t="str">
        <f t="shared" si="1"/>
        <v>tie</v>
      </c>
      <c r="T58" s="188" t="str">
        <f t="shared" si="2"/>
        <v>tie</v>
      </c>
      <c r="U58" s="185">
        <f>if($A58&gt;Rankings!$Q$2,if(S58="red",2,if(S58="tie",1,0))+if(O58&gt;=12,1,0)+if(Q58&gt;=40,1,0),0)</f>
        <v>1</v>
      </c>
      <c r="V58" s="186">
        <f>if($A58&gt;Rankings!$Q$2,if(S58="blue",2,if(S58="tie",1,0))+if(P58&gt;=12,1,0)+if(R58&gt;=40,1,0),0)</f>
        <v>1</v>
      </c>
      <c r="W58" s="185">
        <f>if($A58&gt;Rankings!$Q$2,M58,0)</f>
        <v>0</v>
      </c>
      <c r="X58" s="186">
        <f>if($A58&gt;Rankings!$Q$2,N58,0)</f>
        <v>0</v>
      </c>
      <c r="Y58" s="81" t="str">
        <f t="shared" si="3"/>
        <v/>
      </c>
      <c r="Z58" s="77"/>
      <c r="AA58" s="84" t="str">
        <f>Avgs!A58</f>
        <v/>
      </c>
      <c r="AB58" s="188">
        <f t="shared" si="4"/>
        <v>0</v>
      </c>
      <c r="AC58" s="188">
        <f t="array" ref="AC58">if(Rankings!$Q$6="n",0,index(Rankings!$C$3:$C127,match(AA58,Rankings!$B$3:$B127,0)))</f>
        <v>0</v>
      </c>
      <c r="AD58" s="188">
        <f t="shared" si="5"/>
        <v>0</v>
      </c>
      <c r="AE58" s="188">
        <f t="shared" si="6"/>
        <v>0</v>
      </c>
      <c r="AF58" s="188">
        <f t="array" ref="AF58">if(Rankings!$Q$6="n",0,index(Rankings!$D$3:$D127,match(AA58,Rankings!$B$3:$B127,0)))</f>
        <v>0</v>
      </c>
      <c r="AG58" s="188">
        <f t="shared" si="7"/>
        <v>0</v>
      </c>
      <c r="AH58" s="188">
        <f t="shared" si="8"/>
        <v>-0.01016207478</v>
      </c>
      <c r="AI58" s="188">
        <f t="shared" si="9"/>
        <v>61</v>
      </c>
      <c r="AJ58" s="188" t="str">
        <f t="shared" si="10"/>
        <v/>
      </c>
      <c r="AK58" s="188">
        <f t="shared" si="11"/>
        <v>0</v>
      </c>
      <c r="AL58" s="188">
        <f t="shared" si="12"/>
        <v>0</v>
      </c>
    </row>
    <row r="59">
      <c r="A59" s="83">
        <v>57.0</v>
      </c>
      <c r="B59" s="180" t="s">
        <v>446</v>
      </c>
      <c r="C59" s="181">
        <v>6699.0</v>
      </c>
      <c r="D59" s="181">
        <v>2367.0</v>
      </c>
      <c r="E59" s="181">
        <v>1671.0</v>
      </c>
      <c r="F59" s="182">
        <v>4543.0</v>
      </c>
      <c r="G59" s="182">
        <v>972.0</v>
      </c>
      <c r="H59" s="182">
        <v>1072.0</v>
      </c>
      <c r="I59" s="183"/>
      <c r="J59" s="184"/>
      <c r="K59" s="185">
        <f t="array" ref="K59">if( Rankings!$Q$6="y",index(Avgs!B:B,match(C59,Avgs!A:A,0))+index(Avgs!B:B,match(D59,Avgs!A:A,0))+index(Avgs!B:B,match(E59,Avgs!A:A,0)),0)</f>
        <v>0</v>
      </c>
      <c r="L59" s="186">
        <f t="array" ref="L59">if( Rankings!$Q$6="y",index(Avgs!B:B,match(F59,Avgs!A:A,0))+index(Avgs!B:B,match(G59,Avgs!A:A,0))+index(Avgs!B:B,match(H59,Avgs!A:A,0)),0)</f>
        <v>0</v>
      </c>
      <c r="M59" s="187">
        <f>if( Rankings!$Q$6="y",K59,0)</f>
        <v>0</v>
      </c>
      <c r="N59" s="186">
        <f>if( Rankings!$Q$6="y",L59,0)</f>
        <v>0</v>
      </c>
      <c r="O59" s="185">
        <f t="array" ref="O59">if( Rankings!$Q$6="y",index(Avgs!Q:Q,match(C59,Avgs!A:A,0))+index(Avgs!Q:Q,match(D59,Avgs!A:A,0))+index(Avgs!Q:Q,match(E59,Avgs!A:A,0)),0)</f>
        <v>0</v>
      </c>
      <c r="P59" s="186">
        <f t="array" ref="P59">if( Rankings!$Q$6="y",index(Avgs!Q:Q,match(F59,Avgs!A:A,0))+index(Avgs!Q:Q,match(G59,Avgs!A:A,0))+index(Avgs!Q:Q,match(H59,Avgs!A:A,0)),0)</f>
        <v>0</v>
      </c>
      <c r="Q59" s="185">
        <f t="array" ref="Q59">if( Rankings!$Q$6="y",index(Avgs!P:P,match(C59,Avgs!A:A,0))+index(Avgs!P:P,match(D59,Avgs!A:A,0))+index(Avgs!P:P,match(E59,Avgs!A:A,0)),0)</f>
        <v>0</v>
      </c>
      <c r="R59" s="186">
        <f t="array" ref="R59">if( Rankings!$Q$6="y",index(Avgs!P:P,match(F59,Avgs!A:A,0))+index(Avgs!P:P,match(G59,Avgs!A:A,0))+index(Avgs!P:P,match(H59,Avgs!A:A,0)),0)</f>
        <v>0</v>
      </c>
      <c r="S59" s="188" t="str">
        <f t="shared" si="1"/>
        <v>tie</v>
      </c>
      <c r="T59" s="188" t="str">
        <f t="shared" si="2"/>
        <v>tie</v>
      </c>
      <c r="U59" s="185">
        <f>if($A59&gt;Rankings!$Q$2,if(S59="red",2,if(S59="tie",1,0))+if(O59&gt;=12,1,0)+if(Q59&gt;=40,1,0),0)</f>
        <v>1</v>
      </c>
      <c r="V59" s="186">
        <f>if($A59&gt;Rankings!$Q$2,if(S59="blue",2,if(S59="tie",1,0))+if(P59&gt;=12,1,0)+if(R59&gt;=40,1,0),0)</f>
        <v>1</v>
      </c>
      <c r="W59" s="185">
        <f>if($A59&gt;Rankings!$Q$2,M59,0)</f>
        <v>0</v>
      </c>
      <c r="X59" s="186">
        <f>if($A59&gt;Rankings!$Q$2,N59,0)</f>
        <v>0</v>
      </c>
      <c r="Y59" s="81" t="str">
        <f t="shared" si="3"/>
        <v/>
      </c>
      <c r="Z59" s="77"/>
      <c r="AA59" s="84" t="str">
        <f>Avgs!A59</f>
        <v/>
      </c>
      <c r="AB59" s="188">
        <f t="shared" si="4"/>
        <v>0</v>
      </c>
      <c r="AC59" s="188">
        <f t="array" ref="AC59">if(Rankings!$Q$6="n",0,index(Rankings!$C$3:$C127,match(AA59,Rankings!$B$3:$B127,0)))</f>
        <v>0</v>
      </c>
      <c r="AD59" s="188">
        <f t="shared" si="5"/>
        <v>0</v>
      </c>
      <c r="AE59" s="188">
        <f t="shared" si="6"/>
        <v>0</v>
      </c>
      <c r="AF59" s="188">
        <f t="array" ref="AF59">if(Rankings!$Q$6="n",0,index(Rankings!$D$3:$D127,match(AA59,Rankings!$B$3:$B127,0)))</f>
        <v>0</v>
      </c>
      <c r="AG59" s="188">
        <f t="shared" si="7"/>
        <v>0</v>
      </c>
      <c r="AH59" s="188">
        <f t="shared" si="8"/>
        <v>-0.01294074287</v>
      </c>
      <c r="AI59" s="188">
        <f t="shared" si="9"/>
        <v>65</v>
      </c>
      <c r="AJ59" s="188" t="str">
        <f t="shared" si="10"/>
        <v/>
      </c>
      <c r="AK59" s="188">
        <f t="shared" si="11"/>
        <v>0</v>
      </c>
      <c r="AL59" s="188">
        <f t="shared" si="12"/>
        <v>0</v>
      </c>
    </row>
    <row r="60">
      <c r="A60" s="83">
        <v>58.0</v>
      </c>
      <c r="B60" s="180" t="s">
        <v>447</v>
      </c>
      <c r="C60" s="181">
        <v>5852.0</v>
      </c>
      <c r="D60" s="181">
        <v>6650.0</v>
      </c>
      <c r="E60" s="181">
        <v>751.0</v>
      </c>
      <c r="F60" s="182">
        <v>1323.0</v>
      </c>
      <c r="G60" s="182">
        <v>3501.0</v>
      </c>
      <c r="H60" s="182">
        <v>6619.0</v>
      </c>
      <c r="I60" s="183"/>
      <c r="J60" s="184"/>
      <c r="K60" s="185">
        <f t="array" ref="K60">if( Rankings!$Q$6="y",index(Avgs!B:B,match(C60,Avgs!A:A,0))+index(Avgs!B:B,match(D60,Avgs!A:A,0))+index(Avgs!B:B,match(E60,Avgs!A:A,0)),0)</f>
        <v>0</v>
      </c>
      <c r="L60" s="186">
        <f t="array" ref="L60">if( Rankings!$Q$6="y",index(Avgs!B:B,match(F60,Avgs!A:A,0))+index(Avgs!B:B,match(G60,Avgs!A:A,0))+index(Avgs!B:B,match(H60,Avgs!A:A,0)),0)</f>
        <v>0</v>
      </c>
      <c r="M60" s="187">
        <f>if( Rankings!$Q$6="y",K60,0)</f>
        <v>0</v>
      </c>
      <c r="N60" s="186">
        <f>if( Rankings!$Q$6="y",L60,0)</f>
        <v>0</v>
      </c>
      <c r="O60" s="185">
        <f t="array" ref="O60">if( Rankings!$Q$6="y",index(Avgs!Q:Q,match(C60,Avgs!A:A,0))+index(Avgs!Q:Q,match(D60,Avgs!A:A,0))+index(Avgs!Q:Q,match(E60,Avgs!A:A,0)),0)</f>
        <v>0</v>
      </c>
      <c r="P60" s="186">
        <f t="array" ref="P60">if( Rankings!$Q$6="y",index(Avgs!Q:Q,match(F60,Avgs!A:A,0))+index(Avgs!Q:Q,match(G60,Avgs!A:A,0))+index(Avgs!Q:Q,match(H60,Avgs!A:A,0)),0)</f>
        <v>0</v>
      </c>
      <c r="Q60" s="185">
        <f t="array" ref="Q60">if( Rankings!$Q$6="y",index(Avgs!P:P,match(C60,Avgs!A:A,0))+index(Avgs!P:P,match(D60,Avgs!A:A,0))+index(Avgs!P:P,match(E60,Avgs!A:A,0)),0)</f>
        <v>0</v>
      </c>
      <c r="R60" s="186">
        <f t="array" ref="R60">if( Rankings!$Q$6="y",index(Avgs!P:P,match(F60,Avgs!A:A,0))+index(Avgs!P:P,match(G60,Avgs!A:A,0))+index(Avgs!P:P,match(H60,Avgs!A:A,0)),0)</f>
        <v>0</v>
      </c>
      <c r="S60" s="188" t="str">
        <f t="shared" si="1"/>
        <v>tie</v>
      </c>
      <c r="T60" s="188" t="str">
        <f t="shared" si="2"/>
        <v>tie</v>
      </c>
      <c r="U60" s="185">
        <f>if($A60&gt;Rankings!$Q$2,if(S60="red",2,if(S60="tie",1,0))+if(O60&gt;=12,1,0)+if(Q60&gt;=40,1,0),0)</f>
        <v>1</v>
      </c>
      <c r="V60" s="186">
        <f>if($A60&gt;Rankings!$Q$2,if(S60="blue",2,if(S60="tie",1,0))+if(P60&gt;=12,1,0)+if(R60&gt;=40,1,0),0)</f>
        <v>1</v>
      </c>
      <c r="W60" s="185">
        <f>if($A60&gt;Rankings!$Q$2,M60,0)</f>
        <v>0</v>
      </c>
      <c r="X60" s="186">
        <f>if($A60&gt;Rankings!$Q$2,N60,0)</f>
        <v>0</v>
      </c>
      <c r="Y60" s="81" t="str">
        <f t="shared" si="3"/>
        <v/>
      </c>
      <c r="Z60" s="77"/>
      <c r="AA60" s="84" t="str">
        <f>Avgs!A60</f>
        <v/>
      </c>
      <c r="AB60" s="188">
        <f t="shared" si="4"/>
        <v>0</v>
      </c>
      <c r="AC60" s="188">
        <f t="array" ref="AC60">if(Rankings!$Q$6="n",0,index(Rankings!$C$3:$C127,match(AA60,Rankings!$B$3:$B127,0)))</f>
        <v>0</v>
      </c>
      <c r="AD60" s="188">
        <f t="shared" si="5"/>
        <v>0</v>
      </c>
      <c r="AE60" s="188">
        <f t="shared" si="6"/>
        <v>0</v>
      </c>
      <c r="AF60" s="188">
        <f t="array" ref="AF60">if(Rankings!$Q$6="n",0,index(Rankings!$D$3:$D127,match(AA60,Rankings!$B$3:$B127,0)))</f>
        <v>0</v>
      </c>
      <c r="AG60" s="188">
        <f t="shared" si="7"/>
        <v>0</v>
      </c>
      <c r="AH60" s="188">
        <f t="shared" si="8"/>
        <v>-0.01684126373</v>
      </c>
      <c r="AI60" s="188">
        <f t="shared" si="9"/>
        <v>67</v>
      </c>
      <c r="AJ60" s="188" t="str">
        <f t="shared" si="10"/>
        <v/>
      </c>
      <c r="AK60" s="188">
        <f t="shared" si="11"/>
        <v>0</v>
      </c>
      <c r="AL60" s="188">
        <f t="shared" si="12"/>
        <v>0</v>
      </c>
    </row>
    <row r="61">
      <c r="A61" s="83">
        <v>59.0</v>
      </c>
      <c r="B61" s="180" t="s">
        <v>448</v>
      </c>
      <c r="C61" s="181">
        <v>687.0</v>
      </c>
      <c r="D61" s="181">
        <v>3045.0</v>
      </c>
      <c r="E61" s="181">
        <v>1422.0</v>
      </c>
      <c r="F61" s="182">
        <v>4643.0</v>
      </c>
      <c r="G61" s="182">
        <v>5134.0</v>
      </c>
      <c r="H61" s="182">
        <v>973.0</v>
      </c>
      <c r="I61" s="183"/>
      <c r="J61" s="184"/>
      <c r="K61" s="185">
        <f t="array" ref="K61">if( Rankings!$Q$6="y",index(Avgs!B:B,match(C61,Avgs!A:A,0))+index(Avgs!B:B,match(D61,Avgs!A:A,0))+index(Avgs!B:B,match(E61,Avgs!A:A,0)),0)</f>
        <v>0</v>
      </c>
      <c r="L61" s="186">
        <f t="array" ref="L61">if( Rankings!$Q$6="y",index(Avgs!B:B,match(F61,Avgs!A:A,0))+index(Avgs!B:B,match(G61,Avgs!A:A,0))+index(Avgs!B:B,match(H61,Avgs!A:A,0)),0)</f>
        <v>0</v>
      </c>
      <c r="M61" s="187">
        <f>if( Rankings!$Q$6="y",K61,0)</f>
        <v>0</v>
      </c>
      <c r="N61" s="186">
        <f>if( Rankings!$Q$6="y",L61,0)</f>
        <v>0</v>
      </c>
      <c r="O61" s="185">
        <f t="array" ref="O61">if( Rankings!$Q$6="y",index(Avgs!Q:Q,match(C61,Avgs!A:A,0))+index(Avgs!Q:Q,match(D61,Avgs!A:A,0))+index(Avgs!Q:Q,match(E61,Avgs!A:A,0)),0)</f>
        <v>0</v>
      </c>
      <c r="P61" s="186">
        <f t="array" ref="P61">if( Rankings!$Q$6="y",index(Avgs!Q:Q,match(F61,Avgs!A:A,0))+index(Avgs!Q:Q,match(G61,Avgs!A:A,0))+index(Avgs!Q:Q,match(H61,Avgs!A:A,0)),0)</f>
        <v>0</v>
      </c>
      <c r="Q61" s="185">
        <f t="array" ref="Q61">if( Rankings!$Q$6="y",index(Avgs!P:P,match(C61,Avgs!A:A,0))+index(Avgs!P:P,match(D61,Avgs!A:A,0))+index(Avgs!P:P,match(E61,Avgs!A:A,0)),0)</f>
        <v>0</v>
      </c>
      <c r="R61" s="186">
        <f t="array" ref="R61">if( Rankings!$Q$6="y",index(Avgs!P:P,match(F61,Avgs!A:A,0))+index(Avgs!P:P,match(G61,Avgs!A:A,0))+index(Avgs!P:P,match(H61,Avgs!A:A,0)),0)</f>
        <v>0</v>
      </c>
      <c r="S61" s="188" t="str">
        <f t="shared" si="1"/>
        <v>tie</v>
      </c>
      <c r="T61" s="188" t="str">
        <f t="shared" si="2"/>
        <v>tie</v>
      </c>
      <c r="U61" s="185">
        <f>if($A61&gt;Rankings!$Q$2,if(S61="red",2,if(S61="tie",1,0))+if(O61&gt;=12,1,0)+if(Q61&gt;=40,1,0),0)</f>
        <v>1</v>
      </c>
      <c r="V61" s="186">
        <f>if($A61&gt;Rankings!$Q$2,if(S61="blue",2,if(S61="tie",1,0))+if(P61&gt;=12,1,0)+if(R61&gt;=40,1,0),0)</f>
        <v>1</v>
      </c>
      <c r="W61" s="185">
        <f>if($A61&gt;Rankings!$Q$2,M61,0)</f>
        <v>0</v>
      </c>
      <c r="X61" s="186">
        <f>if($A61&gt;Rankings!$Q$2,N61,0)</f>
        <v>0</v>
      </c>
      <c r="Y61" s="81" t="str">
        <f t="shared" si="3"/>
        <v>973-8</v>
      </c>
      <c r="Z61" s="77"/>
      <c r="AA61" s="84" t="str">
        <f>Avgs!A61</f>
        <v/>
      </c>
      <c r="AB61" s="188">
        <f t="shared" si="4"/>
        <v>0</v>
      </c>
      <c r="AC61" s="188">
        <f t="array" ref="AC61">if(Rankings!$Q$6="n",0,index(Rankings!$C$3:$C127,match(AA61,Rankings!$B$3:$B127,0)))</f>
        <v>0</v>
      </c>
      <c r="AD61" s="188">
        <f t="shared" si="5"/>
        <v>0</v>
      </c>
      <c r="AE61" s="188">
        <f t="shared" si="6"/>
        <v>0</v>
      </c>
      <c r="AF61" s="188">
        <f t="array" ref="AF61">if(Rankings!$Q$6="n",0,index(Rankings!$D$3:$D127,match(AA61,Rankings!$B$3:$B127,0)))</f>
        <v>0</v>
      </c>
      <c r="AG61" s="188">
        <f t="shared" si="7"/>
        <v>0</v>
      </c>
      <c r="AH61" s="188">
        <f t="shared" si="8"/>
        <v>-0.02203144686</v>
      </c>
      <c r="AI61" s="188">
        <f t="shared" si="9"/>
        <v>68</v>
      </c>
      <c r="AJ61" s="188" t="str">
        <f t="shared" si="10"/>
        <v/>
      </c>
      <c r="AK61" s="188">
        <f t="shared" si="11"/>
        <v>0</v>
      </c>
      <c r="AL61" s="188">
        <f t="shared" si="12"/>
        <v>0</v>
      </c>
    </row>
    <row r="62">
      <c r="A62" s="83">
        <v>60.0</v>
      </c>
      <c r="B62" s="180" t="s">
        <v>449</v>
      </c>
      <c r="C62" s="181">
        <v>1662.0</v>
      </c>
      <c r="D62" s="181">
        <v>2643.0</v>
      </c>
      <c r="E62" s="181">
        <v>3189.0</v>
      </c>
      <c r="F62" s="182">
        <v>2493.0</v>
      </c>
      <c r="G62" s="182">
        <v>4276.0</v>
      </c>
      <c r="H62" s="182">
        <v>980.0</v>
      </c>
      <c r="I62" s="183"/>
      <c r="J62" s="184"/>
      <c r="K62" s="185">
        <f t="array" ref="K62">if( Rankings!$Q$6="y",index(Avgs!B:B,match(C62,Avgs!A:A,0))+index(Avgs!B:B,match(D62,Avgs!A:A,0))+index(Avgs!B:B,match(E62,Avgs!A:A,0)),0)</f>
        <v>0</v>
      </c>
      <c r="L62" s="186">
        <f t="array" ref="L62">if( Rankings!$Q$6="y",index(Avgs!B:B,match(F62,Avgs!A:A,0))+index(Avgs!B:B,match(G62,Avgs!A:A,0))+index(Avgs!B:B,match(H62,Avgs!A:A,0)),0)</f>
        <v>0</v>
      </c>
      <c r="M62" s="187">
        <f>if( Rankings!$Q$6="y",K62,0)</f>
        <v>0</v>
      </c>
      <c r="N62" s="186">
        <f>if( Rankings!$Q$6="y",L62,0)</f>
        <v>0</v>
      </c>
      <c r="O62" s="185">
        <f t="array" ref="O62">if( Rankings!$Q$6="y",index(Avgs!Q:Q,match(C62,Avgs!A:A,0))+index(Avgs!Q:Q,match(D62,Avgs!A:A,0))+index(Avgs!Q:Q,match(E62,Avgs!A:A,0)),0)</f>
        <v>0</v>
      </c>
      <c r="P62" s="186">
        <f t="array" ref="P62">if( Rankings!$Q$6="y",index(Avgs!Q:Q,match(F62,Avgs!A:A,0))+index(Avgs!Q:Q,match(G62,Avgs!A:A,0))+index(Avgs!Q:Q,match(H62,Avgs!A:A,0)),0)</f>
        <v>0</v>
      </c>
      <c r="Q62" s="185">
        <f t="array" ref="Q62">if( Rankings!$Q$6="y",index(Avgs!P:P,match(C62,Avgs!A:A,0))+index(Avgs!P:P,match(D62,Avgs!A:A,0))+index(Avgs!P:P,match(E62,Avgs!A:A,0)),0)</f>
        <v>0</v>
      </c>
      <c r="R62" s="186">
        <f t="array" ref="R62">if( Rankings!$Q$6="y",index(Avgs!P:P,match(F62,Avgs!A:A,0))+index(Avgs!P:P,match(G62,Avgs!A:A,0))+index(Avgs!P:P,match(H62,Avgs!A:A,0)),0)</f>
        <v>0</v>
      </c>
      <c r="S62" s="188" t="str">
        <f t="shared" si="1"/>
        <v>tie</v>
      </c>
      <c r="T62" s="188" t="str">
        <f t="shared" si="2"/>
        <v>tie</v>
      </c>
      <c r="U62" s="185">
        <f>if($A62&gt;Rankings!$Q$2,if(S62="red",2,if(S62="tie",1,0))+if(O62&gt;=12,1,0)+if(Q62&gt;=40,1,0),0)</f>
        <v>1</v>
      </c>
      <c r="V62" s="186">
        <f>if($A62&gt;Rankings!$Q$2,if(S62="blue",2,if(S62="tie",1,0))+if(P62&gt;=12,1,0)+if(R62&gt;=40,1,0),0)</f>
        <v>1</v>
      </c>
      <c r="W62" s="185">
        <f>if($A62&gt;Rankings!$Q$2,M62,0)</f>
        <v>0</v>
      </c>
      <c r="X62" s="186">
        <f>if($A62&gt;Rankings!$Q$2,N62,0)</f>
        <v>0</v>
      </c>
      <c r="Y62" s="81" t="str">
        <f t="shared" si="3"/>
        <v/>
      </c>
      <c r="Z62" s="77"/>
      <c r="AA62" s="84" t="str">
        <f>Avgs!A62</f>
        <v/>
      </c>
      <c r="AB62" s="188">
        <f t="shared" si="4"/>
        <v>0</v>
      </c>
      <c r="AC62" s="188">
        <f t="array" ref="AC62">if(Rankings!$Q$6="n",0,index(Rankings!$C$3:$C127,match(AA62,Rankings!$B$3:$B127,0)))</f>
        <v>0</v>
      </c>
      <c r="AD62" s="188">
        <f t="shared" si="5"/>
        <v>0</v>
      </c>
      <c r="AE62" s="188">
        <f t="shared" si="6"/>
        <v>0</v>
      </c>
      <c r="AF62" s="188">
        <f t="array" ref="AF62">if(Rankings!$Q$6="n",0,index(Rankings!$D$3:$D127,match(AA62,Rankings!$B$3:$B127,0)))</f>
        <v>0</v>
      </c>
      <c r="AG62" s="188">
        <f t="shared" si="7"/>
        <v>0</v>
      </c>
      <c r="AH62" s="188">
        <f t="shared" si="8"/>
        <v>-0.04719829076</v>
      </c>
      <c r="AI62" s="188">
        <f t="shared" si="9"/>
        <v>79</v>
      </c>
      <c r="AJ62" s="188" t="str">
        <f t="shared" si="10"/>
        <v/>
      </c>
      <c r="AK62" s="188">
        <f t="shared" si="11"/>
        <v>0</v>
      </c>
      <c r="AL62" s="188">
        <f t="shared" si="12"/>
        <v>0</v>
      </c>
    </row>
    <row r="63">
      <c r="A63" s="83">
        <v>61.0</v>
      </c>
      <c r="B63" s="180" t="s">
        <v>450</v>
      </c>
      <c r="C63" s="181">
        <v>2135.0</v>
      </c>
      <c r="D63" s="181">
        <v>4415.0</v>
      </c>
      <c r="E63" s="181">
        <v>5104.0</v>
      </c>
      <c r="F63" s="182">
        <v>2761.0</v>
      </c>
      <c r="G63" s="182">
        <v>670.0</v>
      </c>
      <c r="H63" s="182">
        <v>1678.0</v>
      </c>
      <c r="I63" s="183"/>
      <c r="J63" s="184"/>
      <c r="K63" s="185">
        <f t="array" ref="K63">if( Rankings!$Q$6="y",index(Avgs!B:B,match(C63,Avgs!A:A,0))+index(Avgs!B:B,match(D63,Avgs!A:A,0))+index(Avgs!B:B,match(E63,Avgs!A:A,0)),0)</f>
        <v>0</v>
      </c>
      <c r="L63" s="186">
        <f t="array" ref="L63">if( Rankings!$Q$6="y",index(Avgs!B:B,match(F63,Avgs!A:A,0))+index(Avgs!B:B,match(G63,Avgs!A:A,0))+index(Avgs!B:B,match(H63,Avgs!A:A,0)),0)</f>
        <v>0</v>
      </c>
      <c r="M63" s="187">
        <f>if( Rankings!$Q$6="y",K63,0)</f>
        <v>0</v>
      </c>
      <c r="N63" s="186">
        <f>if( Rankings!$Q$6="y",L63,0)</f>
        <v>0</v>
      </c>
      <c r="O63" s="185">
        <f t="array" ref="O63">if( Rankings!$Q$6="y",index(Avgs!Q:Q,match(C63,Avgs!A:A,0))+index(Avgs!Q:Q,match(D63,Avgs!A:A,0))+index(Avgs!Q:Q,match(E63,Avgs!A:A,0)),0)</f>
        <v>0</v>
      </c>
      <c r="P63" s="186">
        <f t="array" ref="P63">if( Rankings!$Q$6="y",index(Avgs!Q:Q,match(F63,Avgs!A:A,0))+index(Avgs!Q:Q,match(G63,Avgs!A:A,0))+index(Avgs!Q:Q,match(H63,Avgs!A:A,0)),0)</f>
        <v>0</v>
      </c>
      <c r="Q63" s="185">
        <f t="array" ref="Q63">if( Rankings!$Q$6="y",index(Avgs!P:P,match(C63,Avgs!A:A,0))+index(Avgs!P:P,match(D63,Avgs!A:A,0))+index(Avgs!P:P,match(E63,Avgs!A:A,0)),0)</f>
        <v>0</v>
      </c>
      <c r="R63" s="186">
        <f t="array" ref="R63">if( Rankings!$Q$6="y",index(Avgs!P:P,match(F63,Avgs!A:A,0))+index(Avgs!P:P,match(G63,Avgs!A:A,0))+index(Avgs!P:P,match(H63,Avgs!A:A,0)),0)</f>
        <v>0</v>
      </c>
      <c r="S63" s="188" t="str">
        <f t="shared" si="1"/>
        <v>tie</v>
      </c>
      <c r="T63" s="188" t="str">
        <f t="shared" si="2"/>
        <v>tie</v>
      </c>
      <c r="U63" s="185">
        <f>if($A63&gt;Rankings!$Q$2,if(S63="red",2,if(S63="tie",1,0))+if(O63&gt;=12,1,0)+if(Q63&gt;=40,1,0),0)</f>
        <v>1</v>
      </c>
      <c r="V63" s="186">
        <f>if($A63&gt;Rankings!$Q$2,if(S63="blue",2,if(S63="tie",1,0))+if(P63&gt;=12,1,0)+if(R63&gt;=40,1,0),0)</f>
        <v>1</v>
      </c>
      <c r="W63" s="185">
        <f>if($A63&gt;Rankings!$Q$2,M63,0)</f>
        <v>0</v>
      </c>
      <c r="X63" s="186">
        <f>if($A63&gt;Rankings!$Q$2,N63,0)</f>
        <v>0</v>
      </c>
      <c r="Y63" s="81" t="str">
        <f t="shared" si="3"/>
        <v/>
      </c>
      <c r="Z63" s="77"/>
      <c r="AA63" s="84" t="str">
        <f>Avgs!A63</f>
        <v/>
      </c>
      <c r="AB63" s="188">
        <f t="shared" si="4"/>
        <v>0</v>
      </c>
      <c r="AC63" s="188">
        <f t="array" ref="AC63">if(Rankings!$Q$6="n",0,index(Rankings!$C$3:$C127,match(AA63,Rankings!$B$3:$B127,0)))</f>
        <v>0</v>
      </c>
      <c r="AD63" s="188">
        <f t="shared" si="5"/>
        <v>0</v>
      </c>
      <c r="AE63" s="188">
        <f t="shared" si="6"/>
        <v>0</v>
      </c>
      <c r="AF63" s="188">
        <f t="array" ref="AF63">if(Rankings!$Q$6="n",0,index(Rankings!$D$3:$D127,match(AA63,Rankings!$B$3:$B127,0)))</f>
        <v>0</v>
      </c>
      <c r="AG63" s="188">
        <f t="shared" si="7"/>
        <v>0</v>
      </c>
      <c r="AH63" s="188">
        <f t="shared" si="8"/>
        <v>-0.01102562761</v>
      </c>
      <c r="AI63" s="188">
        <f t="shared" si="9"/>
        <v>62</v>
      </c>
      <c r="AJ63" s="188" t="str">
        <f t="shared" si="10"/>
        <v/>
      </c>
      <c r="AK63" s="188">
        <f t="shared" si="11"/>
        <v>0</v>
      </c>
      <c r="AL63" s="188">
        <f t="shared" si="12"/>
        <v>0</v>
      </c>
    </row>
    <row r="64">
      <c r="A64" s="83">
        <v>62.0</v>
      </c>
      <c r="B64" s="180" t="s">
        <v>451</v>
      </c>
      <c r="C64" s="181">
        <v>294.0</v>
      </c>
      <c r="D64" s="181">
        <v>3303.0</v>
      </c>
      <c r="E64" s="181">
        <v>3256.0</v>
      </c>
      <c r="F64" s="182">
        <v>3495.0</v>
      </c>
      <c r="G64" s="182">
        <v>852.0</v>
      </c>
      <c r="H64" s="182">
        <v>5677.0</v>
      </c>
      <c r="I64" s="202"/>
      <c r="J64" s="203"/>
      <c r="K64" s="185">
        <f t="array" ref="K64">if( Rankings!$Q$6="y",index(Avgs!B:B,match(C64,Avgs!A:A,0))+index(Avgs!B:B,match(D64,Avgs!A:A,0))+index(Avgs!B:B,match(E64,Avgs!A:A,0)),0)</f>
        <v>0</v>
      </c>
      <c r="L64" s="186">
        <f t="array" ref="L64">if( Rankings!$Q$6="y",index(Avgs!B:B,match(F64,Avgs!A:A,0))+index(Avgs!B:B,match(G64,Avgs!A:A,0))+index(Avgs!B:B,match(H64,Avgs!A:A,0)),0)</f>
        <v>0</v>
      </c>
      <c r="M64" s="187">
        <f>if( Rankings!$Q$6="y",K64,0)</f>
        <v>0</v>
      </c>
      <c r="N64" s="186">
        <f>if( Rankings!$Q$6="y",L64,0)</f>
        <v>0</v>
      </c>
      <c r="O64" s="185">
        <f t="array" ref="O64">if( Rankings!$Q$6="y",index(Avgs!Q:Q,match(C64,Avgs!A:A,0))+index(Avgs!Q:Q,match(D64,Avgs!A:A,0))+index(Avgs!Q:Q,match(E64,Avgs!A:A,0)),0)</f>
        <v>0</v>
      </c>
      <c r="P64" s="186">
        <f t="array" ref="P64">if( Rankings!$Q$6="y",index(Avgs!Q:Q,match(F64,Avgs!A:A,0))+index(Avgs!Q:Q,match(G64,Avgs!A:A,0))+index(Avgs!Q:Q,match(H64,Avgs!A:A,0)),0)</f>
        <v>0</v>
      </c>
      <c r="Q64" s="185">
        <f t="array" ref="Q64">if( Rankings!$Q$6="y",index(Avgs!P:P,match(C64,Avgs!A:A,0))+index(Avgs!P:P,match(D64,Avgs!A:A,0))+index(Avgs!P:P,match(E64,Avgs!A:A,0)),0)</f>
        <v>0</v>
      </c>
      <c r="R64" s="186">
        <f t="array" ref="R64">if( Rankings!$Q$6="y",index(Avgs!P:P,match(F64,Avgs!A:A,0))+index(Avgs!P:P,match(G64,Avgs!A:A,0))+index(Avgs!P:P,match(H64,Avgs!A:A,0)),0)</f>
        <v>0</v>
      </c>
      <c r="S64" s="188" t="str">
        <f t="shared" si="1"/>
        <v>tie</v>
      </c>
      <c r="T64" s="188" t="str">
        <f t="shared" si="2"/>
        <v>tie</v>
      </c>
      <c r="U64" s="185">
        <f>if($A64&gt;Rankings!$Q$2,if(S64="red",2,if(S64="tie",1,0))+if(O64&gt;=12,1,0)+if(Q64&gt;=40,1,0),0)</f>
        <v>1</v>
      </c>
      <c r="V64" s="186">
        <f>if($A64&gt;Rankings!$Q$2,if(S64="blue",2,if(S64="tie",1,0))+if(P64&gt;=12,1,0)+if(R64&gt;=40,1,0),0)</f>
        <v>1</v>
      </c>
      <c r="W64" s="185">
        <f>if($A64&gt;Rankings!$Q$2,M64,0)</f>
        <v>0</v>
      </c>
      <c r="X64" s="186">
        <f>if($A64&gt;Rankings!$Q$2,N64,0)</f>
        <v>0</v>
      </c>
      <c r="Y64" s="81" t="str">
        <f t="shared" si="3"/>
        <v/>
      </c>
      <c r="Z64" s="77"/>
      <c r="AA64" s="84" t="str">
        <f>Avgs!A64</f>
        <v/>
      </c>
      <c r="AB64" s="188">
        <f t="shared" si="4"/>
        <v>0</v>
      </c>
      <c r="AC64" s="188">
        <f t="array" ref="AC64">if(Rankings!$Q$6="n",0,index(Rankings!$C$3:$C127,match(AA64,Rankings!$B$3:$B127,0)))</f>
        <v>0</v>
      </c>
      <c r="AD64" s="188">
        <f t="shared" si="5"/>
        <v>0</v>
      </c>
      <c r="AE64" s="188">
        <f t="shared" si="6"/>
        <v>0</v>
      </c>
      <c r="AF64" s="188">
        <f t="array" ref="AF64">if(Rankings!$Q$6="n",0,index(Rankings!$D$3:$D127,match(AA64,Rankings!$B$3:$B127,0)))</f>
        <v>0</v>
      </c>
      <c r="AG64" s="188">
        <f t="shared" si="7"/>
        <v>0</v>
      </c>
      <c r="AH64" s="188">
        <f t="shared" si="8"/>
        <v>-0.0002731951855</v>
      </c>
      <c r="AI64" s="188">
        <f t="shared" si="9"/>
        <v>49</v>
      </c>
      <c r="AJ64" s="188" t="str">
        <f t="shared" si="10"/>
        <v/>
      </c>
      <c r="AK64" s="188">
        <f t="shared" si="11"/>
        <v>0</v>
      </c>
      <c r="AL64" s="188">
        <f t="shared" si="12"/>
        <v>0</v>
      </c>
    </row>
    <row r="65">
      <c r="A65" s="83">
        <v>63.0</v>
      </c>
      <c r="B65" s="180" t="s">
        <v>452</v>
      </c>
      <c r="C65" s="181">
        <v>3970.0</v>
      </c>
      <c r="D65" s="181">
        <v>4255.0</v>
      </c>
      <c r="E65" s="181">
        <v>2085.0</v>
      </c>
      <c r="F65" s="182">
        <v>2813.0</v>
      </c>
      <c r="G65" s="182">
        <v>1388.0</v>
      </c>
      <c r="H65" s="182">
        <v>3189.0</v>
      </c>
      <c r="I65" s="202"/>
      <c r="J65" s="203"/>
      <c r="K65" s="185">
        <f t="array" ref="K65">if( Rankings!$Q$6="y",index(Avgs!B:B,match(C65,Avgs!A:A,0))+index(Avgs!B:B,match(D65,Avgs!A:A,0))+index(Avgs!B:B,match(E65,Avgs!A:A,0)),0)</f>
        <v>0</v>
      </c>
      <c r="L65" s="186">
        <f t="array" ref="L65">if( Rankings!$Q$6="y",index(Avgs!B:B,match(F65,Avgs!A:A,0))+index(Avgs!B:B,match(G65,Avgs!A:A,0))+index(Avgs!B:B,match(H65,Avgs!A:A,0)),0)</f>
        <v>0</v>
      </c>
      <c r="M65" s="187">
        <f>if( Rankings!$Q$6="y",K65,0)</f>
        <v>0</v>
      </c>
      <c r="N65" s="186">
        <f>if( Rankings!$Q$6="y",L65,0)</f>
        <v>0</v>
      </c>
      <c r="O65" s="185">
        <f t="array" ref="O65">if( Rankings!$Q$6="y",index(Avgs!Q:Q,match(C65,Avgs!A:A,0))+index(Avgs!Q:Q,match(D65,Avgs!A:A,0))+index(Avgs!Q:Q,match(E65,Avgs!A:A,0)),0)</f>
        <v>0</v>
      </c>
      <c r="P65" s="186">
        <f t="array" ref="P65">if( Rankings!$Q$6="y",index(Avgs!Q:Q,match(F65,Avgs!A:A,0))+index(Avgs!Q:Q,match(G65,Avgs!A:A,0))+index(Avgs!Q:Q,match(H65,Avgs!A:A,0)),0)</f>
        <v>0</v>
      </c>
      <c r="Q65" s="185">
        <f t="array" ref="Q65">if( Rankings!$Q$6="y",index(Avgs!P:P,match(C65,Avgs!A:A,0))+index(Avgs!P:P,match(D65,Avgs!A:A,0))+index(Avgs!P:P,match(E65,Avgs!A:A,0)),0)</f>
        <v>0</v>
      </c>
      <c r="R65" s="186">
        <f t="array" ref="R65">if( Rankings!$Q$6="y",index(Avgs!P:P,match(F65,Avgs!A:A,0))+index(Avgs!P:P,match(G65,Avgs!A:A,0))+index(Avgs!P:P,match(H65,Avgs!A:A,0)),0)</f>
        <v>0</v>
      </c>
      <c r="S65" s="188" t="str">
        <f t="shared" si="1"/>
        <v>tie</v>
      </c>
      <c r="T65" s="188" t="str">
        <f t="shared" si="2"/>
        <v>tie</v>
      </c>
      <c r="U65" s="185">
        <f>if($A65&gt;Rankings!$Q$2,if(S65="red",2,if(S65="tie",1,0))+if(O65&gt;=12,1,0)+if(Q65&gt;=40,1,0),0)</f>
        <v>1</v>
      </c>
      <c r="V65" s="186">
        <f>if($A65&gt;Rankings!$Q$2,if(S65="blue",2,if(S65="tie",1,0))+if(P65&gt;=12,1,0)+if(R65&gt;=40,1,0),0)</f>
        <v>1</v>
      </c>
      <c r="W65" s="185">
        <f>if($A65&gt;Rankings!$Q$2,M65,0)</f>
        <v>0</v>
      </c>
      <c r="X65" s="186">
        <f>if($A65&gt;Rankings!$Q$2,N65,0)</f>
        <v>0</v>
      </c>
      <c r="Y65" s="81" t="str">
        <f t="shared" si="3"/>
        <v/>
      </c>
      <c r="Z65" s="77"/>
      <c r="AA65" s="84" t="str">
        <f>Avgs!A65</f>
        <v/>
      </c>
      <c r="AB65" s="188">
        <f t="shared" si="4"/>
        <v>0</v>
      </c>
      <c r="AC65" s="188">
        <f t="array" ref="AC65">if(Rankings!$Q$6="n",0,index(Rankings!$C$3:$C127,match(AA65,Rankings!$B$3:$B127,0)))</f>
        <v>0</v>
      </c>
      <c r="AD65" s="188">
        <f t="shared" si="5"/>
        <v>0</v>
      </c>
      <c r="AE65" s="188">
        <f t="shared" si="6"/>
        <v>0</v>
      </c>
      <c r="AF65" s="188">
        <f t="array" ref="AF65">if(Rankings!$Q$6="n",0,index(Rankings!$D$3:$D127,match(AA65,Rankings!$B$3:$B127,0)))</f>
        <v>0</v>
      </c>
      <c r="AG65" s="188">
        <f t="shared" si="7"/>
        <v>0</v>
      </c>
      <c r="AH65" s="188">
        <f t="shared" si="8"/>
        <v>-0.06782175497</v>
      </c>
      <c r="AI65" s="188">
        <f t="shared" si="9"/>
        <v>82</v>
      </c>
      <c r="AJ65" s="188" t="str">
        <f t="shared" si="10"/>
        <v/>
      </c>
      <c r="AK65" s="188">
        <f t="shared" si="11"/>
        <v>0</v>
      </c>
      <c r="AL65" s="188">
        <f t="shared" si="12"/>
        <v>0</v>
      </c>
    </row>
    <row r="66">
      <c r="A66" s="83">
        <v>64.0</v>
      </c>
      <c r="B66" s="180" t="s">
        <v>453</v>
      </c>
      <c r="C66" s="181">
        <v>4643.0</v>
      </c>
      <c r="D66" s="181">
        <v>2643.0</v>
      </c>
      <c r="E66" s="181">
        <v>1422.0</v>
      </c>
      <c r="F66" s="182">
        <v>4543.0</v>
      </c>
      <c r="G66" s="182">
        <v>1868.0</v>
      </c>
      <c r="H66" s="182">
        <v>1323.0</v>
      </c>
      <c r="I66" s="202"/>
      <c r="J66" s="203"/>
      <c r="K66" s="185">
        <f t="array" ref="K66">if( Rankings!$Q$6="y",index(Avgs!B:B,match(C66,Avgs!A:A,0))+index(Avgs!B:B,match(D66,Avgs!A:A,0))+index(Avgs!B:B,match(E66,Avgs!A:A,0)),0)</f>
        <v>0</v>
      </c>
      <c r="L66" s="186">
        <f t="array" ref="L66">if( Rankings!$Q$6="y",index(Avgs!B:B,match(F66,Avgs!A:A,0))+index(Avgs!B:B,match(G66,Avgs!A:A,0))+index(Avgs!B:B,match(H66,Avgs!A:A,0)),0)</f>
        <v>0</v>
      </c>
      <c r="M66" s="187">
        <f>if( Rankings!$Q$6="y",K66,0)</f>
        <v>0</v>
      </c>
      <c r="N66" s="186">
        <f>if( Rankings!$Q$6="y",L66,0)</f>
        <v>0</v>
      </c>
      <c r="O66" s="185">
        <f t="array" ref="O66">if( Rankings!$Q$6="y",index(Avgs!Q:Q,match(C66,Avgs!A:A,0))+index(Avgs!Q:Q,match(D66,Avgs!A:A,0))+index(Avgs!Q:Q,match(E66,Avgs!A:A,0)),0)</f>
        <v>0</v>
      </c>
      <c r="P66" s="186">
        <f t="array" ref="P66">if( Rankings!$Q$6="y",index(Avgs!Q:Q,match(F66,Avgs!A:A,0))+index(Avgs!Q:Q,match(G66,Avgs!A:A,0))+index(Avgs!Q:Q,match(H66,Avgs!A:A,0)),0)</f>
        <v>0</v>
      </c>
      <c r="Q66" s="185">
        <f t="array" ref="Q66">if( Rankings!$Q$6="y",index(Avgs!P:P,match(C66,Avgs!A:A,0))+index(Avgs!P:P,match(D66,Avgs!A:A,0))+index(Avgs!P:P,match(E66,Avgs!A:A,0)),0)</f>
        <v>0</v>
      </c>
      <c r="R66" s="186">
        <f t="array" ref="R66">if( Rankings!$Q$6="y",index(Avgs!P:P,match(F66,Avgs!A:A,0))+index(Avgs!P:P,match(G66,Avgs!A:A,0))+index(Avgs!P:P,match(H66,Avgs!A:A,0)),0)</f>
        <v>0</v>
      </c>
      <c r="S66" s="188" t="str">
        <f t="shared" si="1"/>
        <v>tie</v>
      </c>
      <c r="T66" s="188" t="str">
        <f t="shared" si="2"/>
        <v>tie</v>
      </c>
      <c r="U66" s="185">
        <f>if($A66&gt;Rankings!$Q$2,if(S66="red",2,if(S66="tie",1,0))+if(O66&gt;=12,1,0)+if(Q66&gt;=40,1,0),0)</f>
        <v>1</v>
      </c>
      <c r="V66" s="186">
        <f>if($A66&gt;Rankings!$Q$2,if(S66="blue",2,if(S66="tie",1,0))+if(P66&gt;=12,1,0)+if(R66&gt;=40,1,0),0)</f>
        <v>1</v>
      </c>
      <c r="W66" s="185">
        <f>if($A66&gt;Rankings!$Q$2,M66,0)</f>
        <v>0</v>
      </c>
      <c r="X66" s="186">
        <f>if($A66&gt;Rankings!$Q$2,N66,0)</f>
        <v>0</v>
      </c>
      <c r="Y66" s="81" t="str">
        <f t="shared" si="3"/>
        <v/>
      </c>
      <c r="Z66" s="77"/>
      <c r="AA66" s="84" t="str">
        <f>Avgs!A66</f>
        <v/>
      </c>
      <c r="AB66" s="188">
        <f t="shared" si="4"/>
        <v>0</v>
      </c>
      <c r="AC66" s="188">
        <f t="array" ref="AC66">if(Rankings!$Q$6="n",0,index(Rankings!$C$3:$C127,match(AA66,Rankings!$B$3:$B127,0)))</f>
        <v>0</v>
      </c>
      <c r="AD66" s="188">
        <f t="shared" si="5"/>
        <v>0</v>
      </c>
      <c r="AE66" s="188">
        <f t="shared" si="6"/>
        <v>0</v>
      </c>
      <c r="AF66" s="188">
        <f t="array" ref="AF66">if(Rankings!$Q$6="n",0,index(Rankings!$D$3:$D127,match(AA66,Rankings!$B$3:$B127,0)))</f>
        <v>0</v>
      </c>
      <c r="AG66" s="188">
        <f t="shared" si="7"/>
        <v>0</v>
      </c>
      <c r="AH66" s="188">
        <f t="shared" si="8"/>
        <v>-0.007296300371</v>
      </c>
      <c r="AI66" s="188">
        <f t="shared" si="9"/>
        <v>58</v>
      </c>
      <c r="AJ66" s="188" t="str">
        <f t="shared" si="10"/>
        <v/>
      </c>
      <c r="AK66" s="188">
        <f t="shared" si="11"/>
        <v>0</v>
      </c>
      <c r="AL66" s="188">
        <f t="shared" si="12"/>
        <v>0</v>
      </c>
    </row>
    <row r="67">
      <c r="A67" s="83">
        <v>65.0</v>
      </c>
      <c r="B67" s="180" t="s">
        <v>454</v>
      </c>
      <c r="C67" s="181">
        <v>980.0</v>
      </c>
      <c r="D67" s="181">
        <v>5104.0</v>
      </c>
      <c r="E67" s="181">
        <v>5852.0</v>
      </c>
      <c r="F67" s="182">
        <v>1671.0</v>
      </c>
      <c r="G67" s="182">
        <v>973.0</v>
      </c>
      <c r="H67" s="182">
        <v>6657.0</v>
      </c>
      <c r="I67" s="202"/>
      <c r="J67" s="203"/>
      <c r="K67" s="185">
        <f t="array" ref="K67">if( Rankings!$Q$6="y",index(Avgs!B:B,match(C67,Avgs!A:A,0))+index(Avgs!B:B,match(D67,Avgs!A:A,0))+index(Avgs!B:B,match(E67,Avgs!A:A,0)),0)</f>
        <v>0</v>
      </c>
      <c r="L67" s="186">
        <f t="array" ref="L67">if( Rankings!$Q$6="y",index(Avgs!B:B,match(F67,Avgs!A:A,0))+index(Avgs!B:B,match(G67,Avgs!A:A,0))+index(Avgs!B:B,match(H67,Avgs!A:A,0)),0)</f>
        <v>0</v>
      </c>
      <c r="M67" s="187">
        <f>if( Rankings!$Q$6="y",K67,0)</f>
        <v>0</v>
      </c>
      <c r="N67" s="186">
        <f>if( Rankings!$Q$6="y",L67,0)</f>
        <v>0</v>
      </c>
      <c r="O67" s="185">
        <f t="array" ref="O67">if( Rankings!$Q$6="y",index(Avgs!Q:Q,match(C67,Avgs!A:A,0))+index(Avgs!Q:Q,match(D67,Avgs!A:A,0))+index(Avgs!Q:Q,match(E67,Avgs!A:A,0)),0)</f>
        <v>0</v>
      </c>
      <c r="P67" s="186">
        <f t="array" ref="P67">if( Rankings!$Q$6="y",index(Avgs!Q:Q,match(F67,Avgs!A:A,0))+index(Avgs!Q:Q,match(G67,Avgs!A:A,0))+index(Avgs!Q:Q,match(H67,Avgs!A:A,0)),0)</f>
        <v>0</v>
      </c>
      <c r="Q67" s="185">
        <f t="array" ref="Q67">if( Rankings!$Q$6="y",index(Avgs!P:P,match(C67,Avgs!A:A,0))+index(Avgs!P:P,match(D67,Avgs!A:A,0))+index(Avgs!P:P,match(E67,Avgs!A:A,0)),0)</f>
        <v>0</v>
      </c>
      <c r="R67" s="186">
        <f t="array" ref="R67">if( Rankings!$Q$6="y",index(Avgs!P:P,match(F67,Avgs!A:A,0))+index(Avgs!P:P,match(G67,Avgs!A:A,0))+index(Avgs!P:P,match(H67,Avgs!A:A,0)),0)</f>
        <v>0</v>
      </c>
      <c r="S67" s="188" t="str">
        <f t="shared" si="1"/>
        <v>tie</v>
      </c>
      <c r="T67" s="188" t="str">
        <f t="shared" si="2"/>
        <v>tie</v>
      </c>
      <c r="U67" s="185">
        <f>if($A67&gt;Rankings!$Q$2,if(S67="red",2,if(S67="tie",1,0))+if(O67&gt;=12,1,0)+if(Q67&gt;=40,1,0),0)</f>
        <v>1</v>
      </c>
      <c r="V67" s="186">
        <f>if($A67&gt;Rankings!$Q$2,if(S67="blue",2,if(S67="tie",1,0))+if(P67&gt;=12,1,0)+if(R67&gt;=40,1,0),0)</f>
        <v>1</v>
      </c>
      <c r="W67" s="185">
        <f>if($A67&gt;Rankings!$Q$2,M67,0)</f>
        <v>0</v>
      </c>
      <c r="X67" s="186">
        <f>if($A67&gt;Rankings!$Q$2,N67,0)</f>
        <v>0</v>
      </c>
      <c r="Y67" s="81" t="str">
        <f t="shared" si="3"/>
        <v>973-9</v>
      </c>
      <c r="Z67" s="77"/>
      <c r="AA67" s="84" t="str">
        <f>Avgs!A67</f>
        <v/>
      </c>
      <c r="AB67" s="188">
        <f t="shared" si="4"/>
        <v>0</v>
      </c>
      <c r="AC67" s="188">
        <f t="array" ref="AC67">if(Rankings!$Q$6="n",0,index(Rankings!$C$3:$C127,match(AA67,Rankings!$B$3:$B127,0)))</f>
        <v>0</v>
      </c>
      <c r="AD67" s="188">
        <f t="shared" si="5"/>
        <v>0</v>
      </c>
      <c r="AE67" s="188">
        <f t="shared" si="6"/>
        <v>0</v>
      </c>
      <c r="AF67" s="188">
        <f t="array" ref="AF67">if(Rankings!$Q$6="n",0,index(Rankings!$D$3:$D127,match(AA67,Rankings!$B$3:$B127,0)))</f>
        <v>0</v>
      </c>
      <c r="AG67" s="188">
        <f t="shared" si="7"/>
        <v>0</v>
      </c>
      <c r="AH67" s="188">
        <f t="shared" si="8"/>
        <v>-0.101879867</v>
      </c>
      <c r="AI67" s="188">
        <f t="shared" si="9"/>
        <v>85</v>
      </c>
      <c r="AJ67" s="188" t="str">
        <f t="shared" si="10"/>
        <v/>
      </c>
      <c r="AK67" s="188">
        <f t="shared" si="11"/>
        <v>0</v>
      </c>
      <c r="AL67" s="188">
        <f t="shared" si="12"/>
        <v>0</v>
      </c>
    </row>
    <row r="68">
      <c r="A68" s="83">
        <v>66.0</v>
      </c>
      <c r="B68" s="180" t="s">
        <v>455</v>
      </c>
      <c r="C68" s="181">
        <v>3256.0</v>
      </c>
      <c r="D68" s="181">
        <v>2761.0</v>
      </c>
      <c r="E68" s="181">
        <v>5134.0</v>
      </c>
      <c r="F68" s="182">
        <v>2813.0</v>
      </c>
      <c r="G68" s="182">
        <v>1662.0</v>
      </c>
      <c r="H68" s="182">
        <v>6650.0</v>
      </c>
      <c r="I68" s="202"/>
      <c r="J68" s="203"/>
      <c r="K68" s="185">
        <f t="array" ref="K68">if( Rankings!$Q$6="y",index(Avgs!B:B,match(C68,Avgs!A:A,0))+index(Avgs!B:B,match(D68,Avgs!A:A,0))+index(Avgs!B:B,match(E68,Avgs!A:A,0)),0)</f>
        <v>0</v>
      </c>
      <c r="L68" s="186">
        <f t="array" ref="L68">if( Rankings!$Q$6="y",index(Avgs!B:B,match(F68,Avgs!A:A,0))+index(Avgs!B:B,match(G68,Avgs!A:A,0))+index(Avgs!B:B,match(H68,Avgs!A:A,0)),0)</f>
        <v>0</v>
      </c>
      <c r="M68" s="187">
        <f>if( Rankings!$Q$6="y",K68,0)</f>
        <v>0</v>
      </c>
      <c r="N68" s="186">
        <f>if( Rankings!$Q$6="y",L68,0)</f>
        <v>0</v>
      </c>
      <c r="O68" s="185">
        <f t="array" ref="O68">if( Rankings!$Q$6="y",index(Avgs!Q:Q,match(C68,Avgs!A:A,0))+index(Avgs!Q:Q,match(D68,Avgs!A:A,0))+index(Avgs!Q:Q,match(E68,Avgs!A:A,0)),0)</f>
        <v>0</v>
      </c>
      <c r="P68" s="186">
        <f t="array" ref="P68">if( Rankings!$Q$6="y",index(Avgs!Q:Q,match(F68,Avgs!A:A,0))+index(Avgs!Q:Q,match(G68,Avgs!A:A,0))+index(Avgs!Q:Q,match(H68,Avgs!A:A,0)),0)</f>
        <v>0</v>
      </c>
      <c r="Q68" s="185">
        <f t="array" ref="Q68">if( Rankings!$Q$6="y",index(Avgs!P:P,match(C68,Avgs!A:A,0))+index(Avgs!P:P,match(D68,Avgs!A:A,0))+index(Avgs!P:P,match(E68,Avgs!A:A,0)),0)</f>
        <v>0</v>
      </c>
      <c r="R68" s="186">
        <f t="array" ref="R68">if( Rankings!$Q$6="y",index(Avgs!P:P,match(F68,Avgs!A:A,0))+index(Avgs!P:P,match(G68,Avgs!A:A,0))+index(Avgs!P:P,match(H68,Avgs!A:A,0)),0)</f>
        <v>0</v>
      </c>
      <c r="S68" s="188" t="str">
        <f t="shared" si="1"/>
        <v>tie</v>
      </c>
      <c r="T68" s="188" t="str">
        <f t="shared" si="2"/>
        <v>tie</v>
      </c>
      <c r="U68" s="185">
        <f>if($A68&gt;Rankings!$Q$2,if(S68="red",2,if(S68="tie",1,0))+if(O68&gt;=12,1,0)+if(Q68&gt;=40,1,0),0)</f>
        <v>1</v>
      </c>
      <c r="V68" s="186">
        <f>if($A68&gt;Rankings!$Q$2,if(S68="blue",2,if(S68="tie",1,0))+if(P68&gt;=12,1,0)+if(R68&gt;=40,1,0),0)</f>
        <v>1</v>
      </c>
      <c r="W68" s="185">
        <f>if($A68&gt;Rankings!$Q$2,M68,0)</f>
        <v>0</v>
      </c>
      <c r="X68" s="186">
        <f>if($A68&gt;Rankings!$Q$2,N68,0)</f>
        <v>0</v>
      </c>
      <c r="Y68" s="81" t="str">
        <f t="shared" si="3"/>
        <v/>
      </c>
      <c r="Z68" s="77"/>
      <c r="AA68" s="84" t="str">
        <f>Avgs!A68</f>
        <v/>
      </c>
      <c r="AB68" s="188">
        <f t="shared" si="4"/>
        <v>0</v>
      </c>
      <c r="AC68" s="188">
        <f t="array" ref="AC68">if(Rankings!$Q$6="n",0,index(Rankings!$C$3:$C127,match(AA68,Rankings!$B$3:$B127,0)))</f>
        <v>0</v>
      </c>
      <c r="AD68" s="188">
        <f t="shared" si="5"/>
        <v>0</v>
      </c>
      <c r="AE68" s="188">
        <f t="shared" si="6"/>
        <v>0</v>
      </c>
      <c r="AF68" s="188">
        <f t="array" ref="AF68">if(Rankings!$Q$6="n",0,index(Rankings!$D$3:$D127,match(AA68,Rankings!$B$3:$B127,0)))</f>
        <v>0</v>
      </c>
      <c r="AG68" s="188">
        <f t="shared" si="7"/>
        <v>0</v>
      </c>
      <c r="AH68" s="188">
        <f t="shared" si="8"/>
        <v>-0.1946236225</v>
      </c>
      <c r="AI68" s="188">
        <f t="shared" si="9"/>
        <v>96</v>
      </c>
      <c r="AJ68" s="188" t="str">
        <f t="shared" si="10"/>
        <v/>
      </c>
      <c r="AK68" s="188">
        <f t="shared" si="11"/>
        <v>0</v>
      </c>
      <c r="AL68" s="188">
        <f t="shared" si="12"/>
        <v>0</v>
      </c>
    </row>
    <row r="69">
      <c r="A69" s="83">
        <v>67.0</v>
      </c>
      <c r="B69" s="180" t="s">
        <v>456</v>
      </c>
      <c r="C69" s="181">
        <v>3501.0</v>
      </c>
      <c r="D69" s="181">
        <v>4415.0</v>
      </c>
      <c r="E69" s="181">
        <v>6711.0</v>
      </c>
      <c r="F69" s="182">
        <v>1072.0</v>
      </c>
      <c r="G69" s="182">
        <v>3045.0</v>
      </c>
      <c r="H69" s="182">
        <v>294.0</v>
      </c>
      <c r="I69" s="202"/>
      <c r="J69" s="203"/>
      <c r="K69" s="185">
        <f t="array" ref="K69">if( Rankings!$Q$6="y",index(Avgs!B:B,match(C69,Avgs!A:A,0))+index(Avgs!B:B,match(D69,Avgs!A:A,0))+index(Avgs!B:B,match(E69,Avgs!A:A,0)),0)</f>
        <v>0</v>
      </c>
      <c r="L69" s="186">
        <f t="array" ref="L69">if( Rankings!$Q$6="y",index(Avgs!B:B,match(F69,Avgs!A:A,0))+index(Avgs!B:B,match(G69,Avgs!A:A,0))+index(Avgs!B:B,match(H69,Avgs!A:A,0)),0)</f>
        <v>0</v>
      </c>
      <c r="M69" s="187">
        <f>if( Rankings!$Q$6="y",K69,0)</f>
        <v>0</v>
      </c>
      <c r="N69" s="186">
        <f>if( Rankings!$Q$6="y",L69,0)</f>
        <v>0</v>
      </c>
      <c r="O69" s="185">
        <f t="array" ref="O69">if( Rankings!$Q$6="y",index(Avgs!Q:Q,match(C69,Avgs!A:A,0))+index(Avgs!Q:Q,match(D69,Avgs!A:A,0))+index(Avgs!Q:Q,match(E69,Avgs!A:A,0)),0)</f>
        <v>0</v>
      </c>
      <c r="P69" s="186">
        <f t="array" ref="P69">if( Rankings!$Q$6="y",index(Avgs!Q:Q,match(F69,Avgs!A:A,0))+index(Avgs!Q:Q,match(G69,Avgs!A:A,0))+index(Avgs!Q:Q,match(H69,Avgs!A:A,0)),0)</f>
        <v>0</v>
      </c>
      <c r="Q69" s="185">
        <f t="array" ref="Q69">if( Rankings!$Q$6="y",index(Avgs!P:P,match(C69,Avgs!A:A,0))+index(Avgs!P:P,match(D69,Avgs!A:A,0))+index(Avgs!P:P,match(E69,Avgs!A:A,0)),0)</f>
        <v>0</v>
      </c>
      <c r="R69" s="186">
        <f t="array" ref="R69">if( Rankings!$Q$6="y",index(Avgs!P:P,match(F69,Avgs!A:A,0))+index(Avgs!P:P,match(G69,Avgs!A:A,0))+index(Avgs!P:P,match(H69,Avgs!A:A,0)),0)</f>
        <v>0</v>
      </c>
      <c r="S69" s="188" t="str">
        <f t="shared" si="1"/>
        <v>tie</v>
      </c>
      <c r="T69" s="188" t="str">
        <f t="shared" si="2"/>
        <v>tie</v>
      </c>
      <c r="U69" s="185">
        <f>if($A69&gt;Rankings!$Q$2,if(S69="red",2,if(S69="tie",1,0))+if(O69&gt;=12,1,0)+if(Q69&gt;=40,1,0),0)</f>
        <v>1</v>
      </c>
      <c r="V69" s="186">
        <f>if($A69&gt;Rankings!$Q$2,if(S69="blue",2,if(S69="tie",1,0))+if(P69&gt;=12,1,0)+if(R69&gt;=40,1,0),0)</f>
        <v>1</v>
      </c>
      <c r="W69" s="185">
        <f>if($A69&gt;Rankings!$Q$2,M69,0)</f>
        <v>0</v>
      </c>
      <c r="X69" s="186">
        <f>if($A69&gt;Rankings!$Q$2,N69,0)</f>
        <v>0</v>
      </c>
      <c r="Y69" s="81" t="str">
        <f t="shared" si="3"/>
        <v/>
      </c>
      <c r="Z69" s="77"/>
      <c r="AA69" s="84" t="str">
        <f>Avgs!A69</f>
        <v/>
      </c>
      <c r="AB69" s="188">
        <f t="shared" si="4"/>
        <v>0</v>
      </c>
      <c r="AC69" s="188">
        <f t="array" ref="AC69">if(Rankings!$Q$6="n",0,index(Rankings!$C$3:$C127,match(AA69,Rankings!$B$3:$B127,0)))</f>
        <v>0</v>
      </c>
      <c r="AD69" s="188">
        <f t="shared" si="5"/>
        <v>0</v>
      </c>
      <c r="AE69" s="188">
        <f t="shared" si="6"/>
        <v>0</v>
      </c>
      <c r="AF69" s="188">
        <f t="array" ref="AF69">if(Rankings!$Q$6="n",0,index(Rankings!$D$3:$D127,match(AA69,Rankings!$B$3:$B127,0)))</f>
        <v>0</v>
      </c>
      <c r="AG69" s="188">
        <f t="shared" si="7"/>
        <v>0</v>
      </c>
      <c r="AH69" s="188">
        <f t="shared" si="8"/>
        <v>-0.06608166396</v>
      </c>
      <c r="AI69" s="188">
        <f t="shared" si="9"/>
        <v>80</v>
      </c>
      <c r="AJ69" s="188" t="str">
        <f t="shared" si="10"/>
        <v/>
      </c>
      <c r="AK69" s="188">
        <f t="shared" si="11"/>
        <v>0</v>
      </c>
      <c r="AL69" s="188">
        <f t="shared" si="12"/>
        <v>0</v>
      </c>
    </row>
    <row r="70">
      <c r="A70" s="83">
        <v>68.0</v>
      </c>
      <c r="B70" s="180" t="s">
        <v>481</v>
      </c>
      <c r="C70" s="181">
        <v>2135.0</v>
      </c>
      <c r="D70" s="181">
        <v>6699.0</v>
      </c>
      <c r="E70" s="181">
        <v>5817.0</v>
      </c>
      <c r="F70" s="182">
        <v>5677.0</v>
      </c>
      <c r="G70" s="182">
        <v>2493.0</v>
      </c>
      <c r="H70" s="182">
        <v>3970.0</v>
      </c>
      <c r="I70" s="202"/>
      <c r="J70" s="203"/>
      <c r="K70" s="185">
        <f t="array" ref="K70">if( Rankings!$Q$6="y",index(Avgs!B:B,match(C70,Avgs!A:A,0))+index(Avgs!B:B,match(D70,Avgs!A:A,0))+index(Avgs!B:B,match(E70,Avgs!A:A,0)),0)</f>
        <v>0</v>
      </c>
      <c r="L70" s="186">
        <f t="array" ref="L70">if( Rankings!$Q$6="y",index(Avgs!B:B,match(F70,Avgs!A:A,0))+index(Avgs!B:B,match(G70,Avgs!A:A,0))+index(Avgs!B:B,match(H70,Avgs!A:A,0)),0)</f>
        <v>0</v>
      </c>
      <c r="M70" s="187">
        <f>if( Rankings!$Q$6="y",K70,0)</f>
        <v>0</v>
      </c>
      <c r="N70" s="186">
        <f>if( Rankings!$Q$6="y",L70,0)</f>
        <v>0</v>
      </c>
      <c r="O70" s="185">
        <f t="array" ref="O70">if( Rankings!$Q$6="y",index(Avgs!Q:Q,match(C70,Avgs!A:A,0))+index(Avgs!Q:Q,match(D70,Avgs!A:A,0))+index(Avgs!Q:Q,match(E70,Avgs!A:A,0)),0)</f>
        <v>0</v>
      </c>
      <c r="P70" s="186">
        <f t="array" ref="P70">if( Rankings!$Q$6="y",index(Avgs!Q:Q,match(F70,Avgs!A:A,0))+index(Avgs!Q:Q,match(G70,Avgs!A:A,0))+index(Avgs!Q:Q,match(H70,Avgs!A:A,0)),0)</f>
        <v>0</v>
      </c>
      <c r="Q70" s="185">
        <f t="array" ref="Q70">if( Rankings!$Q$6="y",index(Avgs!P:P,match(C70,Avgs!A:A,0))+index(Avgs!P:P,match(D70,Avgs!A:A,0))+index(Avgs!P:P,match(E70,Avgs!A:A,0)),0)</f>
        <v>0</v>
      </c>
      <c r="R70" s="186">
        <f t="array" ref="R70">if( Rankings!$Q$6="y",index(Avgs!P:P,match(F70,Avgs!A:A,0))+index(Avgs!P:P,match(G70,Avgs!A:A,0))+index(Avgs!P:P,match(H70,Avgs!A:A,0)),0)</f>
        <v>0</v>
      </c>
      <c r="S70" s="188" t="str">
        <f t="shared" si="1"/>
        <v>tie</v>
      </c>
      <c r="T70" s="188" t="str">
        <f t="shared" si="2"/>
        <v>tie</v>
      </c>
      <c r="U70" s="185">
        <f>if($A70&gt;Rankings!$Q$2,if(S70="red",2,if(S70="tie",1,0))+if(O70&gt;=12,1,0)+if(Q70&gt;=40,1,0),0)</f>
        <v>1</v>
      </c>
      <c r="V70" s="186">
        <f>if($A70&gt;Rankings!$Q$2,if(S70="blue",2,if(S70="tie",1,0))+if(P70&gt;=12,1,0)+if(R70&gt;=40,1,0),0)</f>
        <v>1</v>
      </c>
      <c r="W70" s="185">
        <f>if($A70&gt;Rankings!$Q$2,M70,0)</f>
        <v>0</v>
      </c>
      <c r="X70" s="186">
        <f>if($A70&gt;Rankings!$Q$2,N70,0)</f>
        <v>0</v>
      </c>
      <c r="Y70" s="81" t="str">
        <f t="shared" si="3"/>
        <v/>
      </c>
      <c r="Z70" s="77"/>
      <c r="AA70" s="84" t="str">
        <f>Avgs!A70</f>
        <v/>
      </c>
      <c r="AB70" s="188">
        <f t="shared" si="4"/>
        <v>0</v>
      </c>
      <c r="AC70" s="188">
        <f t="array" ref="AC70">if(Rankings!$Q$6="n",0,index(Rankings!$C$3:$C127,match(AA70,Rankings!$B$3:$B127,0)))</f>
        <v>0</v>
      </c>
      <c r="AD70" s="188">
        <f t="shared" si="5"/>
        <v>0</v>
      </c>
      <c r="AE70" s="188">
        <f t="shared" si="6"/>
        <v>0</v>
      </c>
      <c r="AF70" s="188">
        <f t="array" ref="AF70">if(Rankings!$Q$6="n",0,index(Rankings!$D$3:$D127,match(AA70,Rankings!$B$3:$B127,0)))</f>
        <v>0</v>
      </c>
      <c r="AG70" s="188">
        <f t="shared" si="7"/>
        <v>0</v>
      </c>
      <c r="AH70" s="188">
        <f t="shared" si="8"/>
        <v>-0.0766415597</v>
      </c>
      <c r="AI70" s="188">
        <f t="shared" si="9"/>
        <v>83</v>
      </c>
      <c r="AJ70" s="188" t="str">
        <f t="shared" si="10"/>
        <v/>
      </c>
      <c r="AK70" s="188">
        <f t="shared" si="11"/>
        <v>0</v>
      </c>
      <c r="AL70" s="188">
        <f t="shared" si="12"/>
        <v>0</v>
      </c>
    </row>
    <row r="71">
      <c r="A71" s="83">
        <v>69.0</v>
      </c>
      <c r="B71" s="180" t="s">
        <v>496</v>
      </c>
      <c r="C71" s="181">
        <v>852.0</v>
      </c>
      <c r="D71" s="181">
        <v>687.0</v>
      </c>
      <c r="E71" s="181">
        <v>6619.0</v>
      </c>
      <c r="F71" s="182">
        <v>670.0</v>
      </c>
      <c r="G71" s="182">
        <v>1388.0</v>
      </c>
      <c r="H71" s="182">
        <v>4255.0</v>
      </c>
      <c r="I71" s="202"/>
      <c r="J71" s="203"/>
      <c r="K71" s="185">
        <f t="array" ref="K71">if( Rankings!$Q$6="y",index(Avgs!B:B,match(C71,Avgs!A:A,0))+index(Avgs!B:B,match(D71,Avgs!A:A,0))+index(Avgs!B:B,match(E71,Avgs!A:A,0)),0)</f>
        <v>0</v>
      </c>
      <c r="L71" s="186">
        <f t="array" ref="L71">if( Rankings!$Q$6="y",index(Avgs!B:B,match(F71,Avgs!A:A,0))+index(Avgs!B:B,match(G71,Avgs!A:A,0))+index(Avgs!B:B,match(H71,Avgs!A:A,0)),0)</f>
        <v>0</v>
      </c>
      <c r="M71" s="187">
        <f>if( Rankings!$Q$6="y",K71,0)</f>
        <v>0</v>
      </c>
      <c r="N71" s="186">
        <f>if( Rankings!$Q$6="y",L71,0)</f>
        <v>0</v>
      </c>
      <c r="O71" s="185">
        <f t="array" ref="O71">if( Rankings!$Q$6="y",index(Avgs!Q:Q,match(C71,Avgs!A:A,0))+index(Avgs!Q:Q,match(D71,Avgs!A:A,0))+index(Avgs!Q:Q,match(E71,Avgs!A:A,0)),0)</f>
        <v>0</v>
      </c>
      <c r="P71" s="186">
        <f t="array" ref="P71">if( Rankings!$Q$6="y",index(Avgs!Q:Q,match(F71,Avgs!A:A,0))+index(Avgs!Q:Q,match(G71,Avgs!A:A,0))+index(Avgs!Q:Q,match(H71,Avgs!A:A,0)),0)</f>
        <v>0</v>
      </c>
      <c r="Q71" s="185">
        <f t="array" ref="Q71">if( Rankings!$Q$6="y",index(Avgs!P:P,match(C71,Avgs!A:A,0))+index(Avgs!P:P,match(D71,Avgs!A:A,0))+index(Avgs!P:P,match(E71,Avgs!A:A,0)),0)</f>
        <v>0</v>
      </c>
      <c r="R71" s="186">
        <f t="array" ref="R71">if( Rankings!$Q$6="y",index(Avgs!P:P,match(F71,Avgs!A:A,0))+index(Avgs!P:P,match(G71,Avgs!A:A,0))+index(Avgs!P:P,match(H71,Avgs!A:A,0)),0)</f>
        <v>0</v>
      </c>
      <c r="S71" s="188" t="str">
        <f t="shared" si="1"/>
        <v>tie</v>
      </c>
      <c r="T71" s="188" t="str">
        <f t="shared" si="2"/>
        <v>tie</v>
      </c>
      <c r="U71" s="185">
        <f>if($A71&gt;Rankings!$Q$2,if(S71="red",2,if(S71="tie",1,0))+if(O71&gt;=12,1,0)+if(Q71&gt;=40,1,0),0)</f>
        <v>1</v>
      </c>
      <c r="V71" s="186">
        <f>if($A71&gt;Rankings!$Q$2,if(S71="blue",2,if(S71="tie",1,0))+if(P71&gt;=12,1,0)+if(R71&gt;=40,1,0),0)</f>
        <v>1</v>
      </c>
      <c r="W71" s="185">
        <f>if($A71&gt;Rankings!$Q$2,M71,0)</f>
        <v>0</v>
      </c>
      <c r="X71" s="186">
        <f>if($A71&gt;Rankings!$Q$2,N71,0)</f>
        <v>0</v>
      </c>
      <c r="Y71" s="81" t="str">
        <f t="shared" si="3"/>
        <v/>
      </c>
      <c r="Z71" s="77"/>
      <c r="AA71" s="84" t="str">
        <f>Avgs!A71</f>
        <v/>
      </c>
      <c r="AB71" s="188">
        <f t="shared" si="4"/>
        <v>0</v>
      </c>
      <c r="AC71" s="188">
        <f t="array" ref="AC71">if(Rankings!$Q$6="n",0,index(Rankings!$C$3:$C127,match(AA71,Rankings!$B$3:$B127,0)))</f>
        <v>0</v>
      </c>
      <c r="AD71" s="188">
        <f t="shared" si="5"/>
        <v>0</v>
      </c>
      <c r="AE71" s="188">
        <f t="shared" si="6"/>
        <v>0</v>
      </c>
      <c r="AF71" s="188">
        <f t="array" ref="AF71">if(Rankings!$Q$6="n",0,index(Rankings!$D$3:$D127,match(AA71,Rankings!$B$3:$B127,0)))</f>
        <v>0</v>
      </c>
      <c r="AG71" s="188">
        <f t="shared" si="7"/>
        <v>0</v>
      </c>
      <c r="AH71" s="188">
        <f t="shared" si="8"/>
        <v>-0.1231396147</v>
      </c>
      <c r="AI71" s="188">
        <f t="shared" si="9"/>
        <v>86</v>
      </c>
      <c r="AJ71" s="188" t="str">
        <f t="shared" si="10"/>
        <v/>
      </c>
      <c r="AK71" s="188">
        <f t="shared" si="11"/>
        <v>0</v>
      </c>
      <c r="AL71" s="188">
        <f t="shared" si="12"/>
        <v>0</v>
      </c>
    </row>
    <row r="72">
      <c r="A72" s="83">
        <v>70.0</v>
      </c>
      <c r="B72" s="180" t="s">
        <v>499</v>
      </c>
      <c r="C72" s="181">
        <v>6059.0</v>
      </c>
      <c r="D72" s="181">
        <v>3495.0</v>
      </c>
      <c r="E72" s="181">
        <v>3303.0</v>
      </c>
      <c r="F72" s="182">
        <v>1678.0</v>
      </c>
      <c r="G72" s="182">
        <v>751.0</v>
      </c>
      <c r="H72" s="182">
        <v>2367.0</v>
      </c>
      <c r="I72" s="202"/>
      <c r="J72" s="203"/>
      <c r="K72" s="185">
        <f t="array" ref="K72">if( Rankings!$Q$6="y",index(Avgs!B:B,match(C72,Avgs!A:A,0))+index(Avgs!B:B,match(D72,Avgs!A:A,0))+index(Avgs!B:B,match(E72,Avgs!A:A,0)),0)</f>
        <v>0</v>
      </c>
      <c r="L72" s="186">
        <f t="array" ref="L72">if( Rankings!$Q$6="y",index(Avgs!B:B,match(F72,Avgs!A:A,0))+index(Avgs!B:B,match(G72,Avgs!A:A,0))+index(Avgs!B:B,match(H72,Avgs!A:A,0)),0)</f>
        <v>0</v>
      </c>
      <c r="M72" s="187">
        <f>if( Rankings!$Q$6="y",K72,0)</f>
        <v>0</v>
      </c>
      <c r="N72" s="186">
        <f>if( Rankings!$Q$6="y",L72,0)</f>
        <v>0</v>
      </c>
      <c r="O72" s="185">
        <f t="array" ref="O72">if( Rankings!$Q$6="y",index(Avgs!Q:Q,match(C72,Avgs!A:A,0))+index(Avgs!Q:Q,match(D72,Avgs!A:A,0))+index(Avgs!Q:Q,match(E72,Avgs!A:A,0)),0)</f>
        <v>0</v>
      </c>
      <c r="P72" s="186">
        <f t="array" ref="P72">if( Rankings!$Q$6="y",index(Avgs!Q:Q,match(F72,Avgs!A:A,0))+index(Avgs!Q:Q,match(G72,Avgs!A:A,0))+index(Avgs!Q:Q,match(H72,Avgs!A:A,0)),0)</f>
        <v>0</v>
      </c>
      <c r="Q72" s="185">
        <f t="array" ref="Q72">if( Rankings!$Q$6="y",index(Avgs!P:P,match(C72,Avgs!A:A,0))+index(Avgs!P:P,match(D72,Avgs!A:A,0))+index(Avgs!P:P,match(E72,Avgs!A:A,0)),0)</f>
        <v>0</v>
      </c>
      <c r="R72" s="186">
        <f t="array" ref="R72">if( Rankings!$Q$6="y",index(Avgs!P:P,match(F72,Avgs!A:A,0))+index(Avgs!P:P,match(G72,Avgs!A:A,0))+index(Avgs!P:P,match(H72,Avgs!A:A,0)),0)</f>
        <v>0</v>
      </c>
      <c r="S72" s="188" t="str">
        <f t="shared" si="1"/>
        <v>tie</v>
      </c>
      <c r="T72" s="188" t="str">
        <f t="shared" si="2"/>
        <v>tie</v>
      </c>
      <c r="U72" s="185">
        <f>if($A72&gt;Rankings!$Q$2,if(S72="red",2,if(S72="tie",1,0))+if(O72&gt;=12,1,0)+if(Q72&gt;=40,1,0),0)</f>
        <v>1</v>
      </c>
      <c r="V72" s="186">
        <f>if($A72&gt;Rankings!$Q$2,if(S72="blue",2,if(S72="tie",1,0))+if(P72&gt;=12,1,0)+if(R72&gt;=40,1,0),0)</f>
        <v>1</v>
      </c>
      <c r="W72" s="185">
        <f>if($A72&gt;Rankings!$Q$2,M72,0)</f>
        <v>0</v>
      </c>
      <c r="X72" s="186">
        <f>if($A72&gt;Rankings!$Q$2,N72,0)</f>
        <v>0</v>
      </c>
      <c r="Y72" s="81" t="str">
        <f t="shared" si="3"/>
        <v/>
      </c>
      <c r="Z72" s="77"/>
      <c r="AA72" s="84" t="str">
        <f>Avgs!A72</f>
        <v/>
      </c>
      <c r="AB72" s="188">
        <f t="shared" si="4"/>
        <v>0</v>
      </c>
      <c r="AC72" s="188">
        <f t="array" ref="AC72">if(Rankings!$Q$6="n",0,index(Rankings!$C$3:$C127,match(AA72,Rankings!$B$3:$B127,0)))</f>
        <v>0</v>
      </c>
      <c r="AD72" s="188">
        <f t="shared" si="5"/>
        <v>0</v>
      </c>
      <c r="AE72" s="188">
        <f t="shared" si="6"/>
        <v>0</v>
      </c>
      <c r="AF72" s="188">
        <f t="array" ref="AF72">if(Rankings!$Q$6="n",0,index(Rankings!$D$3:$D127,match(AA72,Rankings!$B$3:$B127,0)))</f>
        <v>0</v>
      </c>
      <c r="AG72" s="188">
        <f t="shared" si="7"/>
        <v>0</v>
      </c>
      <c r="AH72" s="188">
        <f t="shared" si="8"/>
        <v>-0.01320209125</v>
      </c>
      <c r="AI72" s="188">
        <f t="shared" si="9"/>
        <v>66</v>
      </c>
      <c r="AJ72" s="188" t="str">
        <f t="shared" si="10"/>
        <v/>
      </c>
      <c r="AK72" s="188">
        <f t="shared" si="11"/>
        <v>0</v>
      </c>
      <c r="AL72" s="188">
        <f t="shared" si="12"/>
        <v>0</v>
      </c>
    </row>
    <row r="73">
      <c r="A73" s="83">
        <v>71.0</v>
      </c>
      <c r="B73" s="180" t="s">
        <v>502</v>
      </c>
      <c r="C73" s="181">
        <v>4276.0</v>
      </c>
      <c r="D73" s="181">
        <v>6305.0</v>
      </c>
      <c r="E73" s="181">
        <v>2135.0</v>
      </c>
      <c r="F73" s="182">
        <v>972.0</v>
      </c>
      <c r="G73" s="182">
        <v>2643.0</v>
      </c>
      <c r="H73" s="182">
        <v>1671.0</v>
      </c>
      <c r="I73" s="202"/>
      <c r="J73" s="203"/>
      <c r="K73" s="185">
        <f t="array" ref="K73">if( Rankings!$Q$6="y",index(Avgs!B:B,match(C73,Avgs!A:A,0))+index(Avgs!B:B,match(D73,Avgs!A:A,0))+index(Avgs!B:B,match(E73,Avgs!A:A,0)),0)</f>
        <v>0</v>
      </c>
      <c r="L73" s="186">
        <f t="array" ref="L73">if( Rankings!$Q$6="y",index(Avgs!B:B,match(F73,Avgs!A:A,0))+index(Avgs!B:B,match(G73,Avgs!A:A,0))+index(Avgs!B:B,match(H73,Avgs!A:A,0)),0)</f>
        <v>0</v>
      </c>
      <c r="M73" s="187">
        <f>if( Rankings!$Q$6="y",K73,0)</f>
        <v>0</v>
      </c>
      <c r="N73" s="186">
        <f>if( Rankings!$Q$6="y",L73,0)</f>
        <v>0</v>
      </c>
      <c r="O73" s="185">
        <f t="array" ref="O73">if( Rankings!$Q$6="y",index(Avgs!Q:Q,match(C73,Avgs!A:A,0))+index(Avgs!Q:Q,match(D73,Avgs!A:A,0))+index(Avgs!Q:Q,match(E73,Avgs!A:A,0)),0)</f>
        <v>0</v>
      </c>
      <c r="P73" s="186">
        <f t="array" ref="P73">if( Rankings!$Q$6="y",index(Avgs!Q:Q,match(F73,Avgs!A:A,0))+index(Avgs!Q:Q,match(G73,Avgs!A:A,0))+index(Avgs!Q:Q,match(H73,Avgs!A:A,0)),0)</f>
        <v>0</v>
      </c>
      <c r="Q73" s="185">
        <f t="array" ref="Q73">if( Rankings!$Q$6="y",index(Avgs!P:P,match(C73,Avgs!A:A,0))+index(Avgs!P:P,match(D73,Avgs!A:A,0))+index(Avgs!P:P,match(E73,Avgs!A:A,0)),0)</f>
        <v>0</v>
      </c>
      <c r="R73" s="186">
        <f t="array" ref="R73">if( Rankings!$Q$6="y",index(Avgs!P:P,match(F73,Avgs!A:A,0))+index(Avgs!P:P,match(G73,Avgs!A:A,0))+index(Avgs!P:P,match(H73,Avgs!A:A,0)),0)</f>
        <v>0</v>
      </c>
      <c r="S73" s="188" t="str">
        <f t="shared" si="1"/>
        <v>tie</v>
      </c>
      <c r="T73" s="188" t="str">
        <f t="shared" si="2"/>
        <v>tie</v>
      </c>
      <c r="U73" s="185">
        <f>if($A73&gt;Rankings!$Q$2,if(S73="red",2,if(S73="tie",1,0))+if(O73&gt;=12,1,0)+if(Q73&gt;=40,1,0),0)</f>
        <v>1</v>
      </c>
      <c r="V73" s="186">
        <f>if($A73&gt;Rankings!$Q$2,if(S73="blue",2,if(S73="tie",1,0))+if(P73&gt;=12,1,0)+if(R73&gt;=40,1,0),0)</f>
        <v>1</v>
      </c>
      <c r="W73" s="185">
        <f>if($A73&gt;Rankings!$Q$2,M73,0)</f>
        <v>0</v>
      </c>
      <c r="X73" s="186">
        <f>if($A73&gt;Rankings!$Q$2,N73,0)</f>
        <v>0</v>
      </c>
      <c r="Y73" s="81" t="str">
        <f t="shared" si="3"/>
        <v/>
      </c>
      <c r="Z73" s="77"/>
      <c r="AA73" s="84" t="str">
        <f>Avgs!A73</f>
        <v/>
      </c>
      <c r="AB73" s="188">
        <f t="shared" si="4"/>
        <v>0</v>
      </c>
      <c r="AC73" s="188">
        <f t="array" ref="AC73">if(Rankings!$Q$6="n",0,index(Rankings!$C$3:$C127,match(AA73,Rankings!$B$3:$B127,0)))</f>
        <v>0</v>
      </c>
      <c r="AD73" s="188">
        <f t="shared" si="5"/>
        <v>0</v>
      </c>
      <c r="AE73" s="188">
        <f t="shared" si="6"/>
        <v>0</v>
      </c>
      <c r="AF73" s="188">
        <f t="array" ref="AF73">if(Rankings!$Q$6="n",0,index(Rankings!$D$3:$D127,match(AA73,Rankings!$B$3:$B127,0)))</f>
        <v>0</v>
      </c>
      <c r="AG73" s="188">
        <f t="shared" si="7"/>
        <v>0</v>
      </c>
      <c r="AH73" s="188">
        <f t="shared" si="8"/>
        <v>-0.003526977842</v>
      </c>
      <c r="AI73" s="188">
        <f t="shared" si="9"/>
        <v>54</v>
      </c>
      <c r="AJ73" s="188" t="str">
        <f t="shared" si="10"/>
        <v/>
      </c>
      <c r="AK73" s="188">
        <f t="shared" si="11"/>
        <v>0</v>
      </c>
      <c r="AL73" s="188">
        <f t="shared" si="12"/>
        <v>0</v>
      </c>
    </row>
    <row r="74">
      <c r="A74" s="83">
        <v>72.0</v>
      </c>
      <c r="B74" s="226"/>
      <c r="C74" s="181"/>
      <c r="D74" s="181"/>
      <c r="E74" s="181"/>
      <c r="F74" s="182"/>
      <c r="G74" s="182"/>
      <c r="H74" s="182"/>
      <c r="I74" s="202"/>
      <c r="J74" s="203"/>
      <c r="K74" s="185">
        <f t="array" ref="K74">if( Rankings!$Q$6="y",index(Avgs!B:B,match(C74,Avgs!A:A,0))+index(Avgs!B:B,match(D74,Avgs!A:A,0))+index(Avgs!B:B,match(E74,Avgs!A:A,0)),0)</f>
        <v>0</v>
      </c>
      <c r="L74" s="186">
        <f t="array" ref="L74">if( Rankings!$Q$6="y",index(Avgs!B:B,match(F74,Avgs!A:A,0))+index(Avgs!B:B,match(G74,Avgs!A:A,0))+index(Avgs!B:B,match(H74,Avgs!A:A,0)),0)</f>
        <v>0</v>
      </c>
      <c r="M74" s="187">
        <f>if( Rankings!$Q$6="y",K74,0)</f>
        <v>0</v>
      </c>
      <c r="N74" s="186">
        <f>if( Rankings!$Q$6="y",L74,0)</f>
        <v>0</v>
      </c>
      <c r="O74" s="185">
        <f t="array" ref="O74">if( Rankings!$Q$6="y",index(Avgs!Q:Q,match(C74,Avgs!A:A,0))+index(Avgs!Q:Q,match(D74,Avgs!A:A,0))+index(Avgs!Q:Q,match(E74,Avgs!A:A,0)),0)</f>
        <v>0</v>
      </c>
      <c r="P74" s="186">
        <f t="array" ref="P74">if( Rankings!$Q$6="y",index(Avgs!Q:Q,match(F74,Avgs!A:A,0))+index(Avgs!Q:Q,match(G74,Avgs!A:A,0))+index(Avgs!Q:Q,match(H74,Avgs!A:A,0)),0)</f>
        <v>0</v>
      </c>
      <c r="Q74" s="185">
        <f t="array" ref="Q74">if( Rankings!$Q$6="y",index(Avgs!P:P,match(C74,Avgs!A:A,0))+index(Avgs!P:P,match(D74,Avgs!A:A,0))+index(Avgs!P:P,match(E74,Avgs!A:A,0)),0)</f>
        <v>0</v>
      </c>
      <c r="R74" s="186">
        <f t="array" ref="R74">if( Rankings!$Q$6="y",index(Avgs!P:P,match(F74,Avgs!A:A,0))+index(Avgs!P:P,match(G74,Avgs!A:A,0))+index(Avgs!P:P,match(H74,Avgs!A:A,0)),0)</f>
        <v>0</v>
      </c>
      <c r="S74" s="188" t="str">
        <f t="shared" si="1"/>
        <v>tie</v>
      </c>
      <c r="T74" s="188" t="str">
        <f t="shared" si="2"/>
        <v>tie</v>
      </c>
      <c r="U74" s="185">
        <f>if($A74&gt;Rankings!$Q$2,if(S74="red",2,if(S74="tie",1,0))+if(O74&gt;=12,1,0)+if(Q74&gt;=40,1,0),0)</f>
        <v>1</v>
      </c>
      <c r="V74" s="186">
        <f>if($A74&gt;Rankings!$Q$2,if(S74="blue",2,if(S74="tie",1,0))+if(P74&gt;=12,1,0)+if(R74&gt;=40,1,0),0)</f>
        <v>1</v>
      </c>
      <c r="W74" s="185">
        <f>if($A74&gt;Rankings!$Q$2,M74,0)</f>
        <v>0</v>
      </c>
      <c r="X74" s="186">
        <f>if($A74&gt;Rankings!$Q$2,N74,0)</f>
        <v>0</v>
      </c>
      <c r="Y74" s="81" t="str">
        <f t="shared" si="3"/>
        <v/>
      </c>
      <c r="Z74" s="77"/>
      <c r="AA74" s="84" t="str">
        <f>Avgs!A74</f>
        <v/>
      </c>
      <c r="AB74" s="188">
        <f t="shared" si="4"/>
        <v>0</v>
      </c>
      <c r="AC74" s="188">
        <f t="array" ref="AC74">if(Rankings!$Q$6="n",0,index(Rankings!$C$3:$C127,match(AA74,Rankings!$B$3:$B127,0)))</f>
        <v>0</v>
      </c>
      <c r="AD74" s="188">
        <f t="shared" si="5"/>
        <v>0</v>
      </c>
      <c r="AE74" s="188">
        <f t="shared" si="6"/>
        <v>0</v>
      </c>
      <c r="AF74" s="188">
        <f t="array" ref="AF74">if(Rankings!$Q$6="n",0,index(Rankings!$D$3:$D127,match(AA74,Rankings!$B$3:$B127,0)))</f>
        <v>0</v>
      </c>
      <c r="AG74" s="188">
        <f t="shared" si="7"/>
        <v>0</v>
      </c>
      <c r="AH74" s="188">
        <f t="shared" si="8"/>
        <v>-0.2088614294</v>
      </c>
      <c r="AI74" s="188">
        <f t="shared" si="9"/>
        <v>97</v>
      </c>
      <c r="AJ74" s="188" t="str">
        <f t="shared" si="10"/>
        <v/>
      </c>
      <c r="AK74" s="188">
        <f t="shared" si="11"/>
        <v>0</v>
      </c>
      <c r="AL74" s="188">
        <f t="shared" si="12"/>
        <v>0</v>
      </c>
    </row>
    <row r="75">
      <c r="A75" s="83">
        <v>73.0</v>
      </c>
      <c r="B75" s="226"/>
      <c r="C75" s="181"/>
      <c r="D75" s="181"/>
      <c r="E75" s="181"/>
      <c r="F75" s="182"/>
      <c r="G75" s="182"/>
      <c r="H75" s="182"/>
      <c r="I75" s="202"/>
      <c r="J75" s="203"/>
      <c r="K75" s="185">
        <f t="array" ref="K75">if( Rankings!$Q$6="y",index(Avgs!B:B,match(C75,Avgs!A:A,0))+index(Avgs!B:B,match(D75,Avgs!A:A,0))+index(Avgs!B:B,match(E75,Avgs!A:A,0)),0)</f>
        <v>0</v>
      </c>
      <c r="L75" s="186">
        <f t="array" ref="L75">if( Rankings!$Q$6="y",index(Avgs!B:B,match(F75,Avgs!A:A,0))+index(Avgs!B:B,match(G75,Avgs!A:A,0))+index(Avgs!B:B,match(H75,Avgs!A:A,0)),0)</f>
        <v>0</v>
      </c>
      <c r="M75" s="187">
        <f>if( Rankings!$Q$6="y",K75,0)</f>
        <v>0</v>
      </c>
      <c r="N75" s="186">
        <f>if( Rankings!$Q$6="y",L75,0)</f>
        <v>0</v>
      </c>
      <c r="O75" s="185">
        <f t="array" ref="O75">if( Rankings!$Q$6="y",index(Avgs!Q:Q,match(C75,Avgs!A:A,0))+index(Avgs!Q:Q,match(D75,Avgs!A:A,0))+index(Avgs!Q:Q,match(E75,Avgs!A:A,0)),0)</f>
        <v>0</v>
      </c>
      <c r="P75" s="186">
        <f t="array" ref="P75">if( Rankings!$Q$6="y",index(Avgs!Q:Q,match(F75,Avgs!A:A,0))+index(Avgs!Q:Q,match(G75,Avgs!A:A,0))+index(Avgs!Q:Q,match(H75,Avgs!A:A,0)),0)</f>
        <v>0</v>
      </c>
      <c r="Q75" s="185">
        <f t="array" ref="Q75">if( Rankings!$Q$6="y",index(Avgs!P:P,match(C75,Avgs!A:A,0))+index(Avgs!P:P,match(D75,Avgs!A:A,0))+index(Avgs!P:P,match(E75,Avgs!A:A,0)),0)</f>
        <v>0</v>
      </c>
      <c r="R75" s="186">
        <f t="array" ref="R75">if( Rankings!$Q$6="y",index(Avgs!P:P,match(F75,Avgs!A:A,0))+index(Avgs!P:P,match(G75,Avgs!A:A,0))+index(Avgs!P:P,match(H75,Avgs!A:A,0)),0)</f>
        <v>0</v>
      </c>
      <c r="S75" s="188" t="str">
        <f t="shared" si="1"/>
        <v>tie</v>
      </c>
      <c r="T75" s="188" t="str">
        <f t="shared" si="2"/>
        <v>tie</v>
      </c>
      <c r="U75" s="185">
        <f>if($A75&gt;Rankings!$Q$2,if(S75="red",2,if(S75="tie",1,0))+if(O75&gt;=12,1,0)+if(Q75&gt;=40,1,0),0)</f>
        <v>1</v>
      </c>
      <c r="V75" s="186">
        <f>if($A75&gt;Rankings!$Q$2,if(S75="blue",2,if(S75="tie",1,0))+if(P75&gt;=12,1,0)+if(R75&gt;=40,1,0),0)</f>
        <v>1</v>
      </c>
      <c r="W75" s="185">
        <f>if($A75&gt;Rankings!$Q$2,M75,0)</f>
        <v>0</v>
      </c>
      <c r="X75" s="186">
        <f>if($A75&gt;Rankings!$Q$2,N75,0)</f>
        <v>0</v>
      </c>
      <c r="Y75" s="81" t="str">
        <f t="shared" si="3"/>
        <v/>
      </c>
      <c r="Z75" s="77"/>
      <c r="AA75" s="84" t="str">
        <f>Avgs!A75</f>
        <v/>
      </c>
      <c r="AB75" s="188">
        <f t="shared" si="4"/>
        <v>0</v>
      </c>
      <c r="AC75" s="188">
        <f t="array" ref="AC75">if(Rankings!$Q$6="n",0,index(Rankings!$C$3:$C127,match(AA75,Rankings!$B$3:$B127,0)))</f>
        <v>0</v>
      </c>
      <c r="AD75" s="188">
        <f t="shared" si="5"/>
        <v>0</v>
      </c>
      <c r="AE75" s="188">
        <f t="shared" si="6"/>
        <v>0</v>
      </c>
      <c r="AF75" s="188">
        <f t="array" ref="AF75">if(Rankings!$Q$6="n",0,index(Rankings!$D$3:$D127,match(AA75,Rankings!$B$3:$B127,0)))</f>
        <v>0</v>
      </c>
      <c r="AG75" s="188">
        <f t="shared" si="7"/>
        <v>0</v>
      </c>
      <c r="AH75" s="188">
        <f t="shared" si="8"/>
        <v>-0.004877648388</v>
      </c>
      <c r="AI75" s="188">
        <f t="shared" si="9"/>
        <v>55</v>
      </c>
      <c r="AJ75" s="188" t="str">
        <f t="shared" si="10"/>
        <v/>
      </c>
      <c r="AK75" s="188">
        <f t="shared" si="11"/>
        <v>0</v>
      </c>
      <c r="AL75" s="188">
        <f t="shared" si="12"/>
        <v>0</v>
      </c>
    </row>
    <row r="76">
      <c r="A76" s="83">
        <v>74.0</v>
      </c>
      <c r="B76" s="226"/>
      <c r="C76" s="181"/>
      <c r="D76" s="181"/>
      <c r="E76" s="181"/>
      <c r="F76" s="182"/>
      <c r="G76" s="182"/>
      <c r="H76" s="182"/>
      <c r="I76" s="202"/>
      <c r="J76" s="203"/>
      <c r="K76" s="185">
        <f t="array" ref="K76">if( Rankings!$Q$6="y",index(Avgs!B:B,match(C76,Avgs!A:A,0))+index(Avgs!B:B,match(D76,Avgs!A:A,0))+index(Avgs!B:B,match(E76,Avgs!A:A,0)),0)</f>
        <v>0</v>
      </c>
      <c r="L76" s="186">
        <f t="array" ref="L76">if( Rankings!$Q$6="y",index(Avgs!B:B,match(F76,Avgs!A:A,0))+index(Avgs!B:B,match(G76,Avgs!A:A,0))+index(Avgs!B:B,match(H76,Avgs!A:A,0)),0)</f>
        <v>0</v>
      </c>
      <c r="M76" s="187">
        <f>if( Rankings!$Q$6="y",K76,0)</f>
        <v>0</v>
      </c>
      <c r="N76" s="186">
        <f>if( Rankings!$Q$6="y",L76,0)</f>
        <v>0</v>
      </c>
      <c r="O76" s="185">
        <f t="array" ref="O76">if( Rankings!$Q$6="y",index(Avgs!Q:Q,match(C76,Avgs!A:A,0))+index(Avgs!Q:Q,match(D76,Avgs!A:A,0))+index(Avgs!Q:Q,match(E76,Avgs!A:A,0)),0)</f>
        <v>0</v>
      </c>
      <c r="P76" s="186">
        <f t="array" ref="P76">if( Rankings!$Q$6="y",index(Avgs!Q:Q,match(F76,Avgs!A:A,0))+index(Avgs!Q:Q,match(G76,Avgs!A:A,0))+index(Avgs!Q:Q,match(H76,Avgs!A:A,0)),0)</f>
        <v>0</v>
      </c>
      <c r="Q76" s="185">
        <f t="array" ref="Q76">if( Rankings!$Q$6="y",index(Avgs!P:P,match(C76,Avgs!A:A,0))+index(Avgs!P:P,match(D76,Avgs!A:A,0))+index(Avgs!P:P,match(E76,Avgs!A:A,0)),0)</f>
        <v>0</v>
      </c>
      <c r="R76" s="186">
        <f t="array" ref="R76">if( Rankings!$Q$6="y",index(Avgs!P:P,match(F76,Avgs!A:A,0))+index(Avgs!P:P,match(G76,Avgs!A:A,0))+index(Avgs!P:P,match(H76,Avgs!A:A,0)),0)</f>
        <v>0</v>
      </c>
      <c r="S76" s="188" t="str">
        <f t="shared" si="1"/>
        <v>tie</v>
      </c>
      <c r="T76" s="188" t="str">
        <f t="shared" si="2"/>
        <v>tie</v>
      </c>
      <c r="U76" s="185">
        <f>if($A76&gt;Rankings!$Q$2,if(S76="red",2,if(S76="tie",1,0))+if(O76&gt;=12,1,0)+if(Q76&gt;=40,1,0),0)</f>
        <v>1</v>
      </c>
      <c r="V76" s="186">
        <f>if($A76&gt;Rankings!$Q$2,if(S76="blue",2,if(S76="tie",1,0))+if(P76&gt;=12,1,0)+if(R76&gt;=40,1,0),0)</f>
        <v>1</v>
      </c>
      <c r="W76" s="185">
        <f>if($A76&gt;Rankings!$Q$2,M76,0)</f>
        <v>0</v>
      </c>
      <c r="X76" s="186">
        <f>if($A76&gt;Rankings!$Q$2,N76,0)</f>
        <v>0</v>
      </c>
      <c r="Y76" s="81" t="str">
        <f t="shared" si="3"/>
        <v/>
      </c>
      <c r="Z76" s="77"/>
      <c r="AA76" s="84" t="str">
        <f>Avgs!A76</f>
        <v/>
      </c>
      <c r="AB76" s="188">
        <f t="shared" si="4"/>
        <v>0</v>
      </c>
      <c r="AC76" s="188">
        <f t="array" ref="AC76">if(Rankings!$Q$6="n",0,index(Rankings!$C$3:$C127,match(AA76,Rankings!$B$3:$B127,0)))</f>
        <v>0</v>
      </c>
      <c r="AD76" s="188">
        <f t="shared" si="5"/>
        <v>0</v>
      </c>
      <c r="AE76" s="188">
        <f t="shared" si="6"/>
        <v>0</v>
      </c>
      <c r="AF76" s="188">
        <f t="array" ref="AF76">if(Rankings!$Q$6="n",0,index(Rankings!$D$3:$D127,match(AA76,Rankings!$B$3:$B127,0)))</f>
        <v>0</v>
      </c>
      <c r="AG76" s="188">
        <f t="shared" si="7"/>
        <v>0</v>
      </c>
      <c r="AH76" s="188">
        <f t="shared" si="8"/>
        <v>-0.02602364522</v>
      </c>
      <c r="AI76" s="188">
        <f t="shared" si="9"/>
        <v>70</v>
      </c>
      <c r="AJ76" s="188" t="str">
        <f t="shared" si="10"/>
        <v/>
      </c>
      <c r="AK76" s="188">
        <f t="shared" si="11"/>
        <v>0</v>
      </c>
      <c r="AL76" s="188">
        <f t="shared" si="12"/>
        <v>0</v>
      </c>
    </row>
    <row r="77">
      <c r="A77" s="83">
        <v>75.0</v>
      </c>
      <c r="B77" s="226"/>
      <c r="C77" s="181"/>
      <c r="D77" s="181"/>
      <c r="E77" s="181"/>
      <c r="F77" s="182"/>
      <c r="G77" s="182"/>
      <c r="H77" s="182"/>
      <c r="I77" s="202"/>
      <c r="J77" s="203"/>
      <c r="K77" s="185">
        <f t="array" ref="K77">if( Rankings!$Q$6="y",index(Avgs!B:B,match(C77,Avgs!A:A,0))+index(Avgs!B:B,match(D77,Avgs!A:A,0))+index(Avgs!B:B,match(E77,Avgs!A:A,0)),0)</f>
        <v>0</v>
      </c>
      <c r="L77" s="186">
        <f t="array" ref="L77">if( Rankings!$Q$6="y",index(Avgs!B:B,match(F77,Avgs!A:A,0))+index(Avgs!B:B,match(G77,Avgs!A:A,0))+index(Avgs!B:B,match(H77,Avgs!A:A,0)),0)</f>
        <v>0</v>
      </c>
      <c r="M77" s="187">
        <f>if( Rankings!$Q$6="y",K77,0)</f>
        <v>0</v>
      </c>
      <c r="N77" s="186">
        <f>if( Rankings!$Q$6="y",L77,0)</f>
        <v>0</v>
      </c>
      <c r="O77" s="185">
        <f t="array" ref="O77">if( Rankings!$Q$6="y",index(Avgs!Q:Q,match(C77,Avgs!A:A,0))+index(Avgs!Q:Q,match(D77,Avgs!A:A,0))+index(Avgs!Q:Q,match(E77,Avgs!A:A,0)),0)</f>
        <v>0</v>
      </c>
      <c r="P77" s="186">
        <f t="array" ref="P77">if( Rankings!$Q$6="y",index(Avgs!Q:Q,match(F77,Avgs!A:A,0))+index(Avgs!Q:Q,match(G77,Avgs!A:A,0))+index(Avgs!Q:Q,match(H77,Avgs!A:A,0)),0)</f>
        <v>0</v>
      </c>
      <c r="Q77" s="185">
        <f t="array" ref="Q77">if( Rankings!$Q$6="y",index(Avgs!P:P,match(C77,Avgs!A:A,0))+index(Avgs!P:P,match(D77,Avgs!A:A,0))+index(Avgs!P:P,match(E77,Avgs!A:A,0)),0)</f>
        <v>0</v>
      </c>
      <c r="R77" s="186">
        <f t="array" ref="R77">if( Rankings!$Q$6="y",index(Avgs!P:P,match(F77,Avgs!A:A,0))+index(Avgs!P:P,match(G77,Avgs!A:A,0))+index(Avgs!P:P,match(H77,Avgs!A:A,0)),0)</f>
        <v>0</v>
      </c>
      <c r="S77" s="188" t="str">
        <f t="shared" si="1"/>
        <v>tie</v>
      </c>
      <c r="T77" s="188" t="str">
        <f t="shared" si="2"/>
        <v>tie</v>
      </c>
      <c r="U77" s="185">
        <f>if($A77&gt;Rankings!$Q$2,if(S77="red",2,if(S77="tie",1,0))+if(O77&gt;=12,1,0)+if(Q77&gt;=40,1,0),0)</f>
        <v>1</v>
      </c>
      <c r="V77" s="186">
        <f>if($A77&gt;Rankings!$Q$2,if(S77="blue",2,if(S77="tie",1,0))+if(P77&gt;=12,1,0)+if(R77&gt;=40,1,0),0)</f>
        <v>1</v>
      </c>
      <c r="W77" s="185">
        <f>if($A77&gt;Rankings!$Q$2,M77,0)</f>
        <v>0</v>
      </c>
      <c r="X77" s="186">
        <f>if($A77&gt;Rankings!$Q$2,N77,0)</f>
        <v>0</v>
      </c>
      <c r="Y77" s="81" t="str">
        <f t="shared" si="3"/>
        <v/>
      </c>
      <c r="Z77" s="77"/>
      <c r="AA77" s="84" t="str">
        <f>Avgs!A77</f>
        <v/>
      </c>
      <c r="AB77" s="188">
        <f t="shared" si="4"/>
        <v>0</v>
      </c>
      <c r="AC77" s="188">
        <f t="array" ref="AC77">if(Rankings!$Q$6="n",0,index(Rankings!$C$3:$C127,match(AA77,Rankings!$B$3:$B127,0)))</f>
        <v>0</v>
      </c>
      <c r="AD77" s="188">
        <f t="shared" si="5"/>
        <v>0</v>
      </c>
      <c r="AE77" s="188">
        <f t="shared" si="6"/>
        <v>0</v>
      </c>
      <c r="AF77" s="188">
        <f t="array" ref="AF77">if(Rankings!$Q$6="n",0,index(Rankings!$D$3:$D127,match(AA77,Rankings!$B$3:$B127,0)))</f>
        <v>0</v>
      </c>
      <c r="AG77" s="188">
        <f t="shared" si="7"/>
        <v>0</v>
      </c>
      <c r="AH77" s="188">
        <f t="shared" si="8"/>
        <v>-0.2432132446</v>
      </c>
      <c r="AI77" s="188">
        <f t="shared" si="9"/>
        <v>99</v>
      </c>
      <c r="AJ77" s="188" t="str">
        <f t="shared" si="10"/>
        <v/>
      </c>
      <c r="AK77" s="188">
        <f t="shared" si="11"/>
        <v>0</v>
      </c>
      <c r="AL77" s="188">
        <f t="shared" si="12"/>
        <v>0</v>
      </c>
    </row>
    <row r="78">
      <c r="A78" s="83">
        <v>76.0</v>
      </c>
      <c r="B78" s="226"/>
      <c r="C78" s="181"/>
      <c r="D78" s="181"/>
      <c r="E78" s="181"/>
      <c r="F78" s="182"/>
      <c r="G78" s="182"/>
      <c r="H78" s="182"/>
      <c r="I78" s="202"/>
      <c r="J78" s="203"/>
      <c r="K78" s="185">
        <f t="array" ref="K78">if( Rankings!$Q$6="y",index(Avgs!B:B,match(C78,Avgs!A:A,0))+index(Avgs!B:B,match(D78,Avgs!A:A,0))+index(Avgs!B:B,match(E78,Avgs!A:A,0)),0)</f>
        <v>0</v>
      </c>
      <c r="L78" s="186">
        <f t="array" ref="L78">if( Rankings!$Q$6="y",index(Avgs!B:B,match(F78,Avgs!A:A,0))+index(Avgs!B:B,match(G78,Avgs!A:A,0))+index(Avgs!B:B,match(H78,Avgs!A:A,0)),0)</f>
        <v>0</v>
      </c>
      <c r="M78" s="187">
        <f>if( Rankings!$Q$6="y",K78,0)</f>
        <v>0</v>
      </c>
      <c r="N78" s="186">
        <f>if( Rankings!$Q$6="y",L78,0)</f>
        <v>0</v>
      </c>
      <c r="O78" s="185">
        <f t="array" ref="O78">if( Rankings!$Q$6="y",index(Avgs!Q:Q,match(C78,Avgs!A:A,0))+index(Avgs!Q:Q,match(D78,Avgs!A:A,0))+index(Avgs!Q:Q,match(E78,Avgs!A:A,0)),0)</f>
        <v>0</v>
      </c>
      <c r="P78" s="186">
        <f t="array" ref="P78">if( Rankings!$Q$6="y",index(Avgs!Q:Q,match(F78,Avgs!A:A,0))+index(Avgs!Q:Q,match(G78,Avgs!A:A,0))+index(Avgs!Q:Q,match(H78,Avgs!A:A,0)),0)</f>
        <v>0</v>
      </c>
      <c r="Q78" s="185">
        <f t="array" ref="Q78">if( Rankings!$Q$6="y",index(Avgs!P:P,match(C78,Avgs!A:A,0))+index(Avgs!P:P,match(D78,Avgs!A:A,0))+index(Avgs!P:P,match(E78,Avgs!A:A,0)),0)</f>
        <v>0</v>
      </c>
      <c r="R78" s="186">
        <f t="array" ref="R78">if( Rankings!$Q$6="y",index(Avgs!P:P,match(F78,Avgs!A:A,0))+index(Avgs!P:P,match(G78,Avgs!A:A,0))+index(Avgs!P:P,match(H78,Avgs!A:A,0)),0)</f>
        <v>0</v>
      </c>
      <c r="S78" s="188" t="str">
        <f t="shared" si="1"/>
        <v>tie</v>
      </c>
      <c r="T78" s="188" t="str">
        <f t="shared" si="2"/>
        <v>tie</v>
      </c>
      <c r="U78" s="185">
        <f>if($A78&gt;Rankings!$Q$2,if(S78="red",2,if(S78="tie",1,0))+if(O78&gt;=12,1,0)+if(Q78&gt;=40,1,0),0)</f>
        <v>1</v>
      </c>
      <c r="V78" s="186">
        <f>if($A78&gt;Rankings!$Q$2,if(S78="blue",2,if(S78="tie",1,0))+if(P78&gt;=12,1,0)+if(R78&gt;=40,1,0),0)</f>
        <v>1</v>
      </c>
      <c r="W78" s="185">
        <f>if($A78&gt;Rankings!$Q$2,M78,0)</f>
        <v>0</v>
      </c>
      <c r="X78" s="186">
        <f>if($A78&gt;Rankings!$Q$2,N78,0)</f>
        <v>0</v>
      </c>
      <c r="Y78" s="81" t="str">
        <f t="shared" si="3"/>
        <v/>
      </c>
      <c r="Z78" s="77"/>
      <c r="AA78" s="84" t="str">
        <f>Avgs!A78</f>
        <v/>
      </c>
      <c r="AB78" s="188">
        <f t="shared" si="4"/>
        <v>0</v>
      </c>
      <c r="AC78" s="188">
        <f t="array" ref="AC78">if(Rankings!$Q$6="n",0,index(Rankings!$C$3:$C127,match(AA78,Rankings!$B$3:$B127,0)))</f>
        <v>0</v>
      </c>
      <c r="AD78" s="188">
        <f t="shared" si="5"/>
        <v>0</v>
      </c>
      <c r="AE78" s="188">
        <f t="shared" si="6"/>
        <v>0</v>
      </c>
      <c r="AF78" s="188">
        <f t="array" ref="AF78">if(Rankings!$Q$6="n",0,index(Rankings!$D$3:$D127,match(AA78,Rankings!$B$3:$B127,0)))</f>
        <v>0</v>
      </c>
      <c r="AG78" s="188">
        <f t="shared" si="7"/>
        <v>0</v>
      </c>
      <c r="AH78" s="188">
        <f t="shared" si="8"/>
        <v>-0.009610578232</v>
      </c>
      <c r="AI78" s="188">
        <f t="shared" si="9"/>
        <v>59</v>
      </c>
      <c r="AJ78" s="188" t="str">
        <f t="shared" si="10"/>
        <v/>
      </c>
      <c r="AK78" s="188">
        <f t="shared" si="11"/>
        <v>0</v>
      </c>
      <c r="AL78" s="188">
        <f t="shared" si="12"/>
        <v>0</v>
      </c>
    </row>
    <row r="79">
      <c r="A79" s="83">
        <v>77.0</v>
      </c>
      <c r="B79" s="226"/>
      <c r="C79" s="181"/>
      <c r="D79" s="181"/>
      <c r="E79" s="181"/>
      <c r="F79" s="182"/>
      <c r="G79" s="182"/>
      <c r="H79" s="182"/>
      <c r="I79" s="202"/>
      <c r="J79" s="203"/>
      <c r="K79" s="185">
        <f t="array" ref="K79">if( Rankings!$Q$6="y",index(Avgs!B:B,match(C79,Avgs!A:A,0))+index(Avgs!B:B,match(D79,Avgs!A:A,0))+index(Avgs!B:B,match(E79,Avgs!A:A,0)),0)</f>
        <v>0</v>
      </c>
      <c r="L79" s="186">
        <f t="array" ref="L79">if( Rankings!$Q$6="y",index(Avgs!B:B,match(F79,Avgs!A:A,0))+index(Avgs!B:B,match(G79,Avgs!A:A,0))+index(Avgs!B:B,match(H79,Avgs!A:A,0)),0)</f>
        <v>0</v>
      </c>
      <c r="M79" s="187">
        <f>if( Rankings!$Q$6="y",K79,0)</f>
        <v>0</v>
      </c>
      <c r="N79" s="186">
        <f>if( Rankings!$Q$6="y",L79,0)</f>
        <v>0</v>
      </c>
      <c r="O79" s="185">
        <f t="array" ref="O79">if( Rankings!$Q$6="y",index(Avgs!Q:Q,match(C79,Avgs!A:A,0))+index(Avgs!Q:Q,match(D79,Avgs!A:A,0))+index(Avgs!Q:Q,match(E79,Avgs!A:A,0)),0)</f>
        <v>0</v>
      </c>
      <c r="P79" s="186">
        <f t="array" ref="P79">if( Rankings!$Q$6="y",index(Avgs!Q:Q,match(F79,Avgs!A:A,0))+index(Avgs!Q:Q,match(G79,Avgs!A:A,0))+index(Avgs!Q:Q,match(H79,Avgs!A:A,0)),0)</f>
        <v>0</v>
      </c>
      <c r="Q79" s="185">
        <f t="array" ref="Q79">if( Rankings!$Q$6="y",index(Avgs!P:P,match(C79,Avgs!A:A,0))+index(Avgs!P:P,match(D79,Avgs!A:A,0))+index(Avgs!P:P,match(E79,Avgs!A:A,0)),0)</f>
        <v>0</v>
      </c>
      <c r="R79" s="186">
        <f t="array" ref="R79">if( Rankings!$Q$6="y",index(Avgs!P:P,match(F79,Avgs!A:A,0))+index(Avgs!P:P,match(G79,Avgs!A:A,0))+index(Avgs!P:P,match(H79,Avgs!A:A,0)),0)</f>
        <v>0</v>
      </c>
      <c r="S79" s="188" t="str">
        <f t="shared" si="1"/>
        <v>tie</v>
      </c>
      <c r="T79" s="188" t="str">
        <f t="shared" si="2"/>
        <v>tie</v>
      </c>
      <c r="U79" s="185">
        <f>if($A79&gt;Rankings!$Q$2,if(S79="red",2,if(S79="tie",1,0))+if(O79&gt;=12,1,0)+if(Q79&gt;=40,1,0),0)</f>
        <v>1</v>
      </c>
      <c r="V79" s="186">
        <f>if($A79&gt;Rankings!$Q$2,if(S79="blue",2,if(S79="tie",1,0))+if(P79&gt;=12,1,0)+if(R79&gt;=40,1,0),0)</f>
        <v>1</v>
      </c>
      <c r="W79" s="185">
        <f>if($A79&gt;Rankings!$Q$2,M79,0)</f>
        <v>0</v>
      </c>
      <c r="X79" s="186">
        <f>if($A79&gt;Rankings!$Q$2,N79,0)</f>
        <v>0</v>
      </c>
      <c r="Y79" s="81" t="str">
        <f t="shared" si="3"/>
        <v/>
      </c>
      <c r="Z79" s="77"/>
      <c r="AA79" s="84" t="str">
        <f>Avgs!A79</f>
        <v/>
      </c>
      <c r="AB79" s="188">
        <f t="shared" si="4"/>
        <v>0</v>
      </c>
      <c r="AC79" s="188">
        <f t="array" ref="AC79">if(Rankings!$Q$6="n",0,index(Rankings!$C$3:$C127,match(AA79,Rankings!$B$3:$B127,0)))</f>
        <v>0</v>
      </c>
      <c r="AD79" s="188">
        <f t="shared" si="5"/>
        <v>0</v>
      </c>
      <c r="AE79" s="188">
        <f t="shared" si="6"/>
        <v>0</v>
      </c>
      <c r="AF79" s="188">
        <f t="array" ref="AF79">if(Rankings!$Q$6="n",0,index(Rankings!$D$3:$D127,match(AA79,Rankings!$B$3:$B127,0)))</f>
        <v>0</v>
      </c>
      <c r="AG79" s="188">
        <f t="shared" si="7"/>
        <v>0</v>
      </c>
      <c r="AH79" s="188">
        <f t="shared" si="8"/>
        <v>-0.1319061674</v>
      </c>
      <c r="AI79" s="188">
        <f t="shared" si="9"/>
        <v>91</v>
      </c>
      <c r="AJ79" s="188" t="str">
        <f t="shared" si="10"/>
        <v/>
      </c>
      <c r="AK79" s="188">
        <f t="shared" si="11"/>
        <v>0</v>
      </c>
      <c r="AL79" s="188">
        <f t="shared" si="12"/>
        <v>0</v>
      </c>
    </row>
    <row r="80">
      <c r="A80" s="83">
        <v>78.0</v>
      </c>
      <c r="B80" s="226"/>
      <c r="C80" s="181"/>
      <c r="D80" s="181"/>
      <c r="E80" s="181"/>
      <c r="F80" s="182"/>
      <c r="G80" s="182"/>
      <c r="H80" s="182"/>
      <c r="I80" s="202"/>
      <c r="J80" s="203"/>
      <c r="K80" s="185">
        <f t="array" ref="K80">if( Rankings!$Q$6="y",index(Avgs!B:B,match(C80,Avgs!A:A,0))+index(Avgs!B:B,match(D80,Avgs!A:A,0))+index(Avgs!B:B,match(E80,Avgs!A:A,0)),0)</f>
        <v>0</v>
      </c>
      <c r="L80" s="186">
        <f t="array" ref="L80">if( Rankings!$Q$6="y",index(Avgs!B:B,match(F80,Avgs!A:A,0))+index(Avgs!B:B,match(G80,Avgs!A:A,0))+index(Avgs!B:B,match(H80,Avgs!A:A,0)),0)</f>
        <v>0</v>
      </c>
      <c r="M80" s="187">
        <f>if( Rankings!$Q$6="y",K80,0)</f>
        <v>0</v>
      </c>
      <c r="N80" s="186">
        <f>if( Rankings!$Q$6="y",L80,0)</f>
        <v>0</v>
      </c>
      <c r="O80" s="185">
        <f t="array" ref="O80">if( Rankings!$Q$6="y",index(Avgs!Q:Q,match(C80,Avgs!A:A,0))+index(Avgs!Q:Q,match(D80,Avgs!A:A,0))+index(Avgs!Q:Q,match(E80,Avgs!A:A,0)),0)</f>
        <v>0</v>
      </c>
      <c r="P80" s="186">
        <f t="array" ref="P80">if( Rankings!$Q$6="y",index(Avgs!Q:Q,match(F80,Avgs!A:A,0))+index(Avgs!Q:Q,match(G80,Avgs!A:A,0))+index(Avgs!Q:Q,match(H80,Avgs!A:A,0)),0)</f>
        <v>0</v>
      </c>
      <c r="Q80" s="185">
        <f t="array" ref="Q80">if( Rankings!$Q$6="y",index(Avgs!P:P,match(C80,Avgs!A:A,0))+index(Avgs!P:P,match(D80,Avgs!A:A,0))+index(Avgs!P:P,match(E80,Avgs!A:A,0)),0)</f>
        <v>0</v>
      </c>
      <c r="R80" s="186">
        <f t="array" ref="R80">if( Rankings!$Q$6="y",index(Avgs!P:P,match(F80,Avgs!A:A,0))+index(Avgs!P:P,match(G80,Avgs!A:A,0))+index(Avgs!P:P,match(H80,Avgs!A:A,0)),0)</f>
        <v>0</v>
      </c>
      <c r="S80" s="188" t="str">
        <f t="shared" si="1"/>
        <v>tie</v>
      </c>
      <c r="T80" s="188" t="str">
        <f t="shared" si="2"/>
        <v>tie</v>
      </c>
      <c r="U80" s="185">
        <f>if($A80&gt;Rankings!$Q$2,if(S80="red",2,if(S80="tie",1,0))+if(O80&gt;=12,1,0)+if(Q80&gt;=40,1,0),0)</f>
        <v>1</v>
      </c>
      <c r="V80" s="186">
        <f>if($A80&gt;Rankings!$Q$2,if(S80="blue",2,if(S80="tie",1,0))+if(P80&gt;=12,1,0)+if(R80&gt;=40,1,0),0)</f>
        <v>1</v>
      </c>
      <c r="W80" s="185">
        <f>if($A80&gt;Rankings!$Q$2,M80,0)</f>
        <v>0</v>
      </c>
      <c r="X80" s="186">
        <f>if($A80&gt;Rankings!$Q$2,N80,0)</f>
        <v>0</v>
      </c>
      <c r="Y80" s="81" t="str">
        <f t="shared" si="3"/>
        <v/>
      </c>
      <c r="Z80" s="77"/>
      <c r="AA80" s="84" t="str">
        <f>Avgs!A80</f>
        <v/>
      </c>
      <c r="AB80" s="188">
        <f t="shared" si="4"/>
        <v>0</v>
      </c>
      <c r="AC80" s="188">
        <f t="array" ref="AC80">if(Rankings!$Q$6="n",0,index(Rankings!$C$3:$C127,match(AA80,Rankings!$B$3:$B127,0)))</f>
        <v>0</v>
      </c>
      <c r="AD80" s="188">
        <f t="shared" si="5"/>
        <v>0</v>
      </c>
      <c r="AE80" s="188">
        <f t="shared" si="6"/>
        <v>0</v>
      </c>
      <c r="AF80" s="188">
        <f t="array" ref="AF80">if(Rankings!$Q$6="n",0,index(Rankings!$D$3:$D127,match(AA80,Rankings!$B$3:$B127,0)))</f>
        <v>0</v>
      </c>
      <c r="AG80" s="188">
        <f t="shared" si="7"/>
        <v>0</v>
      </c>
      <c r="AH80" s="188">
        <f t="shared" si="8"/>
        <v>-0.001237590591</v>
      </c>
      <c r="AI80" s="188">
        <f t="shared" si="9"/>
        <v>50</v>
      </c>
      <c r="AJ80" s="188" t="str">
        <f t="shared" si="10"/>
        <v/>
      </c>
      <c r="AK80" s="188">
        <f t="shared" si="11"/>
        <v>0</v>
      </c>
      <c r="AL80" s="188">
        <f t="shared" si="12"/>
        <v>0</v>
      </c>
    </row>
    <row r="81">
      <c r="A81" s="83">
        <v>79.0</v>
      </c>
      <c r="B81" s="226"/>
      <c r="C81" s="181"/>
      <c r="D81" s="181"/>
      <c r="E81" s="181"/>
      <c r="F81" s="182"/>
      <c r="G81" s="182"/>
      <c r="H81" s="182"/>
      <c r="I81" s="202"/>
      <c r="J81" s="203"/>
      <c r="K81" s="185">
        <f t="array" ref="K81">if( Rankings!$Q$6="y",index(Avgs!B:B,match(C81,Avgs!A:A,0))+index(Avgs!B:B,match(D81,Avgs!A:A,0))+index(Avgs!B:B,match(E81,Avgs!A:A,0)),0)</f>
        <v>0</v>
      </c>
      <c r="L81" s="186">
        <f t="array" ref="L81">if( Rankings!$Q$6="y",index(Avgs!B:B,match(F81,Avgs!A:A,0))+index(Avgs!B:B,match(G81,Avgs!A:A,0))+index(Avgs!B:B,match(H81,Avgs!A:A,0)),0)</f>
        <v>0</v>
      </c>
      <c r="M81" s="187">
        <f>if( Rankings!$Q$6="y",K81,0)</f>
        <v>0</v>
      </c>
      <c r="N81" s="186">
        <f>if( Rankings!$Q$6="y",L81,0)</f>
        <v>0</v>
      </c>
      <c r="O81" s="185">
        <f t="array" ref="O81">if( Rankings!$Q$6="y",index(Avgs!Q:Q,match(C81,Avgs!A:A,0))+index(Avgs!Q:Q,match(D81,Avgs!A:A,0))+index(Avgs!Q:Q,match(E81,Avgs!A:A,0)),0)</f>
        <v>0</v>
      </c>
      <c r="P81" s="186">
        <f t="array" ref="P81">if( Rankings!$Q$6="y",index(Avgs!Q:Q,match(F81,Avgs!A:A,0))+index(Avgs!Q:Q,match(G81,Avgs!A:A,0))+index(Avgs!Q:Q,match(H81,Avgs!A:A,0)),0)</f>
        <v>0</v>
      </c>
      <c r="Q81" s="185">
        <f t="array" ref="Q81">if( Rankings!$Q$6="y",index(Avgs!P:P,match(C81,Avgs!A:A,0))+index(Avgs!P:P,match(D81,Avgs!A:A,0))+index(Avgs!P:P,match(E81,Avgs!A:A,0)),0)</f>
        <v>0</v>
      </c>
      <c r="R81" s="186">
        <f t="array" ref="R81">if( Rankings!$Q$6="y",index(Avgs!P:P,match(F81,Avgs!A:A,0))+index(Avgs!P:P,match(G81,Avgs!A:A,0))+index(Avgs!P:P,match(H81,Avgs!A:A,0)),0)</f>
        <v>0</v>
      </c>
      <c r="S81" s="188" t="str">
        <f t="shared" si="1"/>
        <v>tie</v>
      </c>
      <c r="T81" s="188" t="str">
        <f t="shared" si="2"/>
        <v>tie</v>
      </c>
      <c r="U81" s="185">
        <f>if($A81&gt;Rankings!$Q$2,if(S81="red",2,if(S81="tie",1,0))+if(O81&gt;=12,1,0)+if(Q81&gt;=40,1,0),0)</f>
        <v>1</v>
      </c>
      <c r="V81" s="186">
        <f>if($A81&gt;Rankings!$Q$2,if(S81="blue",2,if(S81="tie",1,0))+if(P81&gt;=12,1,0)+if(R81&gt;=40,1,0),0)</f>
        <v>1</v>
      </c>
      <c r="W81" s="185">
        <f>if($A81&gt;Rankings!$Q$2,M81,0)</f>
        <v>0</v>
      </c>
      <c r="X81" s="186">
        <f>if($A81&gt;Rankings!$Q$2,N81,0)</f>
        <v>0</v>
      </c>
      <c r="Y81" s="81" t="str">
        <f t="shared" si="3"/>
        <v/>
      </c>
      <c r="Z81" s="77"/>
      <c r="AA81" s="84" t="str">
        <f>Avgs!A81</f>
        <v/>
      </c>
      <c r="AB81" s="188">
        <f t="shared" si="4"/>
        <v>0</v>
      </c>
      <c r="AC81" s="188">
        <f t="array" ref="AC81">if(Rankings!$Q$6="n",0,index(Rankings!$C$3:$C127,match(AA81,Rankings!$B$3:$B127,0)))</f>
        <v>0</v>
      </c>
      <c r="AD81" s="188">
        <f t="shared" si="5"/>
        <v>0</v>
      </c>
      <c r="AE81" s="188">
        <f t="shared" si="6"/>
        <v>0</v>
      </c>
      <c r="AF81" s="188">
        <f t="array" ref="AF81">if(Rankings!$Q$6="n",0,index(Rankings!$D$3:$D127,match(AA81,Rankings!$B$3:$B127,0)))</f>
        <v>0</v>
      </c>
      <c r="AG81" s="188">
        <f t="shared" si="7"/>
        <v>0</v>
      </c>
      <c r="AH81" s="188">
        <f t="shared" si="8"/>
        <v>-0.009698027008</v>
      </c>
      <c r="AI81" s="188">
        <f t="shared" si="9"/>
        <v>60</v>
      </c>
      <c r="AJ81" s="188" t="str">
        <f t="shared" si="10"/>
        <v/>
      </c>
      <c r="AK81" s="188">
        <f t="shared" si="11"/>
        <v>0</v>
      </c>
      <c r="AL81" s="188">
        <f t="shared" si="12"/>
        <v>0</v>
      </c>
    </row>
    <row r="82">
      <c r="A82" s="83">
        <v>80.0</v>
      </c>
      <c r="B82" s="226"/>
      <c r="C82" s="181"/>
      <c r="D82" s="181"/>
      <c r="E82" s="181"/>
      <c r="F82" s="182"/>
      <c r="G82" s="182"/>
      <c r="H82" s="182"/>
      <c r="I82" s="202"/>
      <c r="J82" s="203"/>
      <c r="K82" s="185">
        <f t="array" ref="K82">if( Rankings!$Q$6="y",index(Avgs!B:B,match(C82,Avgs!A:A,0))+index(Avgs!B:B,match(D82,Avgs!A:A,0))+index(Avgs!B:B,match(E82,Avgs!A:A,0)),0)</f>
        <v>0</v>
      </c>
      <c r="L82" s="186">
        <f t="array" ref="L82">if( Rankings!$Q$6="y",index(Avgs!B:B,match(F82,Avgs!A:A,0))+index(Avgs!B:B,match(G82,Avgs!A:A,0))+index(Avgs!B:B,match(H82,Avgs!A:A,0)),0)</f>
        <v>0</v>
      </c>
      <c r="M82" s="187">
        <f>if( Rankings!$Q$6="y",K82,0)</f>
        <v>0</v>
      </c>
      <c r="N82" s="186">
        <f>if( Rankings!$Q$6="y",L82,0)</f>
        <v>0</v>
      </c>
      <c r="O82" s="185">
        <f t="array" ref="O82">if( Rankings!$Q$6="y",index(Avgs!Q:Q,match(C82,Avgs!A:A,0))+index(Avgs!Q:Q,match(D82,Avgs!A:A,0))+index(Avgs!Q:Q,match(E82,Avgs!A:A,0)),0)</f>
        <v>0</v>
      </c>
      <c r="P82" s="186">
        <f t="array" ref="P82">if( Rankings!$Q$6="y",index(Avgs!Q:Q,match(F82,Avgs!A:A,0))+index(Avgs!Q:Q,match(G82,Avgs!A:A,0))+index(Avgs!Q:Q,match(H82,Avgs!A:A,0)),0)</f>
        <v>0</v>
      </c>
      <c r="Q82" s="185">
        <f t="array" ref="Q82">if( Rankings!$Q$6="y",index(Avgs!P:P,match(C82,Avgs!A:A,0))+index(Avgs!P:P,match(D82,Avgs!A:A,0))+index(Avgs!P:P,match(E82,Avgs!A:A,0)),0)</f>
        <v>0</v>
      </c>
      <c r="R82" s="186">
        <f t="array" ref="R82">if( Rankings!$Q$6="y",index(Avgs!P:P,match(F82,Avgs!A:A,0))+index(Avgs!P:P,match(G82,Avgs!A:A,0))+index(Avgs!P:P,match(H82,Avgs!A:A,0)),0)</f>
        <v>0</v>
      </c>
      <c r="S82" s="188" t="str">
        <f t="shared" si="1"/>
        <v>tie</v>
      </c>
      <c r="T82" s="188" t="str">
        <f t="shared" si="2"/>
        <v>tie</v>
      </c>
      <c r="U82" s="185">
        <f>if($A82&gt;Rankings!$Q$2,if(S82="red",2,if(S82="tie",1,0))+if(O82&gt;=12,1,0)+if(Q82&gt;=40,1,0),0)</f>
        <v>1</v>
      </c>
      <c r="V82" s="186">
        <f>if($A82&gt;Rankings!$Q$2,if(S82="blue",2,if(S82="tie",1,0))+if(P82&gt;=12,1,0)+if(R82&gt;=40,1,0),0)</f>
        <v>1</v>
      </c>
      <c r="W82" s="185">
        <f>if($A82&gt;Rankings!$Q$2,M82,0)</f>
        <v>0</v>
      </c>
      <c r="X82" s="186">
        <f>if($A82&gt;Rankings!$Q$2,N82,0)</f>
        <v>0</v>
      </c>
      <c r="Y82" s="81" t="str">
        <f t="shared" si="3"/>
        <v/>
      </c>
      <c r="Z82" s="77"/>
      <c r="AA82" s="84" t="str">
        <f>Avgs!A82</f>
        <v/>
      </c>
      <c r="AB82" s="188">
        <f t="shared" si="4"/>
        <v>0</v>
      </c>
      <c r="AC82" s="188">
        <f t="array" ref="AC82">if(Rankings!$Q$6="n",0,index(Rankings!$C$3:$C127,match(AA82,Rankings!$B$3:$B127,0)))</f>
        <v>0</v>
      </c>
      <c r="AD82" s="188">
        <f t="shared" si="5"/>
        <v>0</v>
      </c>
      <c r="AE82" s="188">
        <f t="shared" si="6"/>
        <v>0</v>
      </c>
      <c r="AF82" s="188">
        <f t="array" ref="AF82">if(Rankings!$Q$6="n",0,index(Rankings!$D$3:$D127,match(AA82,Rankings!$B$3:$B127,0)))</f>
        <v>0</v>
      </c>
      <c r="AG82" s="188">
        <f t="shared" si="7"/>
        <v>0</v>
      </c>
      <c r="AH82" s="188">
        <f t="shared" si="8"/>
        <v>-0.03531017396</v>
      </c>
      <c r="AI82" s="188">
        <f t="shared" si="9"/>
        <v>74</v>
      </c>
      <c r="AJ82" s="188" t="str">
        <f t="shared" si="10"/>
        <v/>
      </c>
      <c r="AK82" s="188">
        <f t="shared" si="11"/>
        <v>0</v>
      </c>
      <c r="AL82" s="188">
        <f t="shared" si="12"/>
        <v>0</v>
      </c>
    </row>
    <row r="83">
      <c r="A83" s="83">
        <v>81.0</v>
      </c>
      <c r="B83" s="226"/>
      <c r="C83" s="181"/>
      <c r="D83" s="181"/>
      <c r="E83" s="181"/>
      <c r="F83" s="182"/>
      <c r="G83" s="182"/>
      <c r="H83" s="182"/>
      <c r="I83" s="202"/>
      <c r="J83" s="203"/>
      <c r="K83" s="185">
        <f t="array" ref="K83">if( Rankings!$Q$6="y",index(Avgs!B:B,match(C83,Avgs!A:A,0))+index(Avgs!B:B,match(D83,Avgs!A:A,0))+index(Avgs!B:B,match(E83,Avgs!A:A,0)),0)</f>
        <v>0</v>
      </c>
      <c r="L83" s="186">
        <f t="array" ref="L83">if( Rankings!$Q$6="y",index(Avgs!B:B,match(F83,Avgs!A:A,0))+index(Avgs!B:B,match(G83,Avgs!A:A,0))+index(Avgs!B:B,match(H83,Avgs!A:A,0)),0)</f>
        <v>0</v>
      </c>
      <c r="M83" s="187">
        <f>if( Rankings!$Q$6="y",K83,0)</f>
        <v>0</v>
      </c>
      <c r="N83" s="186">
        <f>if( Rankings!$Q$6="y",L83,0)</f>
        <v>0</v>
      </c>
      <c r="O83" s="185">
        <f t="array" ref="O83">if( Rankings!$Q$6="y",index(Avgs!Q:Q,match(C83,Avgs!A:A,0))+index(Avgs!Q:Q,match(D83,Avgs!A:A,0))+index(Avgs!Q:Q,match(E83,Avgs!A:A,0)),0)</f>
        <v>0</v>
      </c>
      <c r="P83" s="186">
        <f t="array" ref="P83">if( Rankings!$Q$6="y",index(Avgs!Q:Q,match(F83,Avgs!A:A,0))+index(Avgs!Q:Q,match(G83,Avgs!A:A,0))+index(Avgs!Q:Q,match(H83,Avgs!A:A,0)),0)</f>
        <v>0</v>
      </c>
      <c r="Q83" s="185">
        <f t="array" ref="Q83">if( Rankings!$Q$6="y",index(Avgs!P:P,match(C83,Avgs!A:A,0))+index(Avgs!P:P,match(D83,Avgs!A:A,0))+index(Avgs!P:P,match(E83,Avgs!A:A,0)),0)</f>
        <v>0</v>
      </c>
      <c r="R83" s="186">
        <f t="array" ref="R83">if( Rankings!$Q$6="y",index(Avgs!P:P,match(F83,Avgs!A:A,0))+index(Avgs!P:P,match(G83,Avgs!A:A,0))+index(Avgs!P:P,match(H83,Avgs!A:A,0)),0)</f>
        <v>0</v>
      </c>
      <c r="S83" s="188" t="str">
        <f t="shared" si="1"/>
        <v>tie</v>
      </c>
      <c r="T83" s="188" t="str">
        <f t="shared" si="2"/>
        <v>tie</v>
      </c>
      <c r="U83" s="185">
        <f>if($A83&gt;Rankings!$Q$2,if(S83="red",2,if(S83="tie",1,0))+if(O83&gt;=12,1,0)+if(Q83&gt;=40,1,0),0)</f>
        <v>1</v>
      </c>
      <c r="V83" s="186">
        <f>if($A83&gt;Rankings!$Q$2,if(S83="blue",2,if(S83="tie",1,0))+if(P83&gt;=12,1,0)+if(R83&gt;=40,1,0),0)</f>
        <v>1</v>
      </c>
      <c r="W83" s="185">
        <f>if($A83&gt;Rankings!$Q$2,M83,0)</f>
        <v>0</v>
      </c>
      <c r="X83" s="186">
        <f>if($A83&gt;Rankings!$Q$2,N83,0)</f>
        <v>0</v>
      </c>
      <c r="Y83" s="81" t="str">
        <f t="shared" si="3"/>
        <v/>
      </c>
      <c r="Z83" s="77"/>
      <c r="AA83" s="84" t="str">
        <f>Avgs!A83</f>
        <v/>
      </c>
      <c r="AB83" s="188">
        <f t="shared" si="4"/>
        <v>0</v>
      </c>
      <c r="AC83" s="188">
        <f t="array" ref="AC83">if(Rankings!$Q$6="n",0,index(Rankings!$C$3:$C127,match(AA83,Rankings!$B$3:$B127,0)))</f>
        <v>0</v>
      </c>
      <c r="AD83" s="188">
        <f t="shared" si="5"/>
        <v>0</v>
      </c>
      <c r="AE83" s="188">
        <f t="shared" si="6"/>
        <v>0</v>
      </c>
      <c r="AF83" s="188">
        <f t="array" ref="AF83">if(Rankings!$Q$6="n",0,index(Rankings!$D$3:$D127,match(AA83,Rankings!$B$3:$B127,0)))</f>
        <v>0</v>
      </c>
      <c r="AG83" s="188">
        <f t="shared" si="7"/>
        <v>0</v>
      </c>
      <c r="AH83" s="188">
        <f t="shared" si="8"/>
        <v>-0.1271623408</v>
      </c>
      <c r="AI83" s="188">
        <f t="shared" si="9"/>
        <v>90</v>
      </c>
      <c r="AJ83" s="188" t="str">
        <f t="shared" si="10"/>
        <v/>
      </c>
      <c r="AK83" s="188">
        <f t="shared" si="11"/>
        <v>0</v>
      </c>
      <c r="AL83" s="188">
        <f t="shared" si="12"/>
        <v>0</v>
      </c>
    </row>
    <row r="84">
      <c r="A84" s="83">
        <v>82.0</v>
      </c>
      <c r="B84" s="226"/>
      <c r="C84" s="181"/>
      <c r="D84" s="181"/>
      <c r="E84" s="181"/>
      <c r="F84" s="182"/>
      <c r="G84" s="182"/>
      <c r="H84" s="182"/>
      <c r="I84" s="202"/>
      <c r="J84" s="203"/>
      <c r="K84" s="185">
        <f t="array" ref="K84">if( Rankings!$Q$6="y",index(Avgs!B:B,match(C84,Avgs!A:A,0))+index(Avgs!B:B,match(D84,Avgs!A:A,0))+index(Avgs!B:B,match(E84,Avgs!A:A,0)),0)</f>
        <v>0</v>
      </c>
      <c r="L84" s="186">
        <f t="array" ref="L84">if( Rankings!$Q$6="y",index(Avgs!B:B,match(F84,Avgs!A:A,0))+index(Avgs!B:B,match(G84,Avgs!A:A,0))+index(Avgs!B:B,match(H84,Avgs!A:A,0)),0)</f>
        <v>0</v>
      </c>
      <c r="M84" s="187">
        <f>if( Rankings!$Q$6="y",K84,0)</f>
        <v>0</v>
      </c>
      <c r="N84" s="186">
        <f>if( Rankings!$Q$6="y",L84,0)</f>
        <v>0</v>
      </c>
      <c r="O84" s="185">
        <f t="array" ref="O84">if( Rankings!$Q$6="y",index(Avgs!Q:Q,match(C84,Avgs!A:A,0))+index(Avgs!Q:Q,match(D84,Avgs!A:A,0))+index(Avgs!Q:Q,match(E84,Avgs!A:A,0)),0)</f>
        <v>0</v>
      </c>
      <c r="P84" s="186">
        <f t="array" ref="P84">if( Rankings!$Q$6="y",index(Avgs!Q:Q,match(F84,Avgs!A:A,0))+index(Avgs!Q:Q,match(G84,Avgs!A:A,0))+index(Avgs!Q:Q,match(H84,Avgs!A:A,0)),0)</f>
        <v>0</v>
      </c>
      <c r="Q84" s="185">
        <f t="array" ref="Q84">if( Rankings!$Q$6="y",index(Avgs!P:P,match(C84,Avgs!A:A,0))+index(Avgs!P:P,match(D84,Avgs!A:A,0))+index(Avgs!P:P,match(E84,Avgs!A:A,0)),0)</f>
        <v>0</v>
      </c>
      <c r="R84" s="186">
        <f t="array" ref="R84">if( Rankings!$Q$6="y",index(Avgs!P:P,match(F84,Avgs!A:A,0))+index(Avgs!P:P,match(G84,Avgs!A:A,0))+index(Avgs!P:P,match(H84,Avgs!A:A,0)),0)</f>
        <v>0</v>
      </c>
      <c r="S84" s="188" t="str">
        <f t="shared" si="1"/>
        <v>tie</v>
      </c>
      <c r="T84" s="188" t="str">
        <f t="shared" si="2"/>
        <v>tie</v>
      </c>
      <c r="U84" s="185">
        <f>if($A84&gt;Rankings!$Q$2,if(S84="red",2,if(S84="tie",1,0))+if(O84&gt;=12,1,0)+if(Q84&gt;=40,1,0),0)</f>
        <v>1</v>
      </c>
      <c r="V84" s="186">
        <f>if($A84&gt;Rankings!$Q$2,if(S84="blue",2,if(S84="tie",1,0))+if(P84&gt;=12,1,0)+if(R84&gt;=40,1,0),0)</f>
        <v>1</v>
      </c>
      <c r="W84" s="185">
        <f>if($A84&gt;Rankings!$Q$2,M84,0)</f>
        <v>0</v>
      </c>
      <c r="X84" s="186">
        <f>if($A84&gt;Rankings!$Q$2,N84,0)</f>
        <v>0</v>
      </c>
      <c r="Y84" s="81" t="str">
        <f t="shared" si="3"/>
        <v/>
      </c>
      <c r="Z84" s="77"/>
      <c r="AA84" s="84" t="str">
        <f>Avgs!A84</f>
        <v/>
      </c>
      <c r="AB84" s="188">
        <f t="shared" si="4"/>
        <v>0</v>
      </c>
      <c r="AC84" s="188">
        <f t="array" ref="AC84">if(Rankings!$Q$6="n",0,index(Rankings!$C$3:$C127,match(AA84,Rankings!$B$3:$B127,0)))</f>
        <v>0</v>
      </c>
      <c r="AD84" s="188">
        <f t="shared" si="5"/>
        <v>0</v>
      </c>
      <c r="AE84" s="188">
        <f t="shared" si="6"/>
        <v>0</v>
      </c>
      <c r="AF84" s="188">
        <f t="array" ref="AF84">if(Rankings!$Q$6="n",0,index(Rankings!$D$3:$D127,match(AA84,Rankings!$B$3:$B127,0)))</f>
        <v>0</v>
      </c>
      <c r="AG84" s="188">
        <f t="shared" si="7"/>
        <v>0</v>
      </c>
      <c r="AH84" s="188">
        <f t="shared" si="8"/>
        <v>-0.01105334223</v>
      </c>
      <c r="AI84" s="188">
        <f t="shared" si="9"/>
        <v>63</v>
      </c>
      <c r="AJ84" s="188" t="str">
        <f t="shared" si="10"/>
        <v/>
      </c>
      <c r="AK84" s="188">
        <f t="shared" si="11"/>
        <v>0</v>
      </c>
      <c r="AL84" s="188">
        <f t="shared" si="12"/>
        <v>0</v>
      </c>
    </row>
    <row r="85">
      <c r="A85" s="83">
        <v>83.0</v>
      </c>
      <c r="B85" s="226"/>
      <c r="C85" s="181"/>
      <c r="D85" s="181"/>
      <c r="E85" s="181"/>
      <c r="F85" s="182"/>
      <c r="G85" s="182"/>
      <c r="H85" s="182"/>
      <c r="I85" s="202"/>
      <c r="J85" s="203"/>
      <c r="K85" s="185">
        <f t="array" ref="K85">if( Rankings!$Q$6="y",index(Avgs!B:B,match(C85,Avgs!A:A,0))+index(Avgs!B:B,match(D85,Avgs!A:A,0))+index(Avgs!B:B,match(E85,Avgs!A:A,0)),0)</f>
        <v>0</v>
      </c>
      <c r="L85" s="186">
        <f t="array" ref="L85">if( Rankings!$Q$6="y",index(Avgs!B:B,match(F85,Avgs!A:A,0))+index(Avgs!B:B,match(G85,Avgs!A:A,0))+index(Avgs!B:B,match(H85,Avgs!A:A,0)),0)</f>
        <v>0</v>
      </c>
      <c r="M85" s="187">
        <f>if( Rankings!$Q$6="y",K85,0)</f>
        <v>0</v>
      </c>
      <c r="N85" s="186">
        <f>if( Rankings!$Q$6="y",L85,0)</f>
        <v>0</v>
      </c>
      <c r="O85" s="185">
        <f t="array" ref="O85">if( Rankings!$Q$6="y",index(Avgs!Q:Q,match(C85,Avgs!A:A,0))+index(Avgs!Q:Q,match(D85,Avgs!A:A,0))+index(Avgs!Q:Q,match(E85,Avgs!A:A,0)),0)</f>
        <v>0</v>
      </c>
      <c r="P85" s="186">
        <f t="array" ref="P85">if( Rankings!$Q$6="y",index(Avgs!Q:Q,match(F85,Avgs!A:A,0))+index(Avgs!Q:Q,match(G85,Avgs!A:A,0))+index(Avgs!Q:Q,match(H85,Avgs!A:A,0)),0)</f>
        <v>0</v>
      </c>
      <c r="Q85" s="185">
        <f t="array" ref="Q85">if( Rankings!$Q$6="y",index(Avgs!P:P,match(C85,Avgs!A:A,0))+index(Avgs!P:P,match(D85,Avgs!A:A,0))+index(Avgs!P:P,match(E85,Avgs!A:A,0)),0)</f>
        <v>0</v>
      </c>
      <c r="R85" s="186">
        <f t="array" ref="R85">if( Rankings!$Q$6="y",index(Avgs!P:P,match(F85,Avgs!A:A,0))+index(Avgs!P:P,match(G85,Avgs!A:A,0))+index(Avgs!P:P,match(H85,Avgs!A:A,0)),0)</f>
        <v>0</v>
      </c>
      <c r="S85" s="188" t="str">
        <f t="shared" si="1"/>
        <v>tie</v>
      </c>
      <c r="T85" s="188" t="str">
        <f t="shared" si="2"/>
        <v>tie</v>
      </c>
      <c r="U85" s="185">
        <f>if($A85&gt;Rankings!$Q$2,if(S85="red",2,if(S85="tie",1,0))+if(O85&gt;=12,1,0)+if(Q85&gt;=40,1,0),0)</f>
        <v>1</v>
      </c>
      <c r="V85" s="186">
        <f>if($A85&gt;Rankings!$Q$2,if(S85="blue",2,if(S85="tie",1,0))+if(P85&gt;=12,1,0)+if(R85&gt;=40,1,0),0)</f>
        <v>1</v>
      </c>
      <c r="W85" s="185">
        <f>if($A85&gt;Rankings!$Q$2,M85,0)</f>
        <v>0</v>
      </c>
      <c r="X85" s="186">
        <f>if($A85&gt;Rankings!$Q$2,N85,0)</f>
        <v>0</v>
      </c>
      <c r="Y85" s="81" t="str">
        <f t="shared" si="3"/>
        <v/>
      </c>
      <c r="Z85" s="77"/>
      <c r="AA85" s="84" t="str">
        <f>Avgs!A85</f>
        <v/>
      </c>
      <c r="AB85" s="188">
        <f t="shared" si="4"/>
        <v>0</v>
      </c>
      <c r="AC85" s="188">
        <f t="array" ref="AC85">if(Rankings!$Q$6="n",0,index(Rankings!$C$3:$C127,match(AA85,Rankings!$B$3:$B127,0)))</f>
        <v>0</v>
      </c>
      <c r="AD85" s="188">
        <f t="shared" si="5"/>
        <v>0</v>
      </c>
      <c r="AE85" s="188">
        <f t="shared" si="6"/>
        <v>0</v>
      </c>
      <c r="AF85" s="188">
        <f t="array" ref="AF85">if(Rankings!$Q$6="n",0,index(Rankings!$D$3:$D127,match(AA85,Rankings!$B$3:$B127,0)))</f>
        <v>0</v>
      </c>
      <c r="AG85" s="188">
        <f t="shared" si="7"/>
        <v>0</v>
      </c>
      <c r="AH85" s="188">
        <f t="shared" si="8"/>
        <v>-0.1486848806</v>
      </c>
      <c r="AI85" s="188">
        <f t="shared" si="9"/>
        <v>93</v>
      </c>
      <c r="AJ85" s="188" t="str">
        <f t="shared" si="10"/>
        <v/>
      </c>
      <c r="AK85" s="188">
        <f t="shared" si="11"/>
        <v>0</v>
      </c>
      <c r="AL85" s="188">
        <f t="shared" si="12"/>
        <v>0</v>
      </c>
    </row>
    <row r="86">
      <c r="A86" s="83">
        <v>84.0</v>
      </c>
      <c r="B86" s="227"/>
      <c r="C86" s="181"/>
      <c r="D86" s="181"/>
      <c r="E86" s="181"/>
      <c r="F86" s="182"/>
      <c r="G86" s="182"/>
      <c r="H86" s="182"/>
      <c r="I86" s="183"/>
      <c r="J86" s="184"/>
      <c r="K86" s="185">
        <f t="array" ref="K86">if( Rankings!$Q$6="y",index(Avgs!B:B,match(C86,Avgs!A:A,0))+index(Avgs!B:B,match(D86,Avgs!A:A,0))+index(Avgs!B:B,match(E86,Avgs!A:A,0)),0)</f>
        <v>0</v>
      </c>
      <c r="L86" s="186">
        <f t="array" ref="L86">if( Rankings!$Q$6="y",index(Avgs!B:B,match(F86,Avgs!A:A,0))+index(Avgs!B:B,match(G86,Avgs!A:A,0))+index(Avgs!B:B,match(H86,Avgs!A:A,0)),0)</f>
        <v>0</v>
      </c>
      <c r="M86" s="187">
        <f>if( Rankings!$Q$6="y",K86,0)</f>
        <v>0</v>
      </c>
      <c r="N86" s="186">
        <f>if( Rankings!$Q$6="y",L86,0)</f>
        <v>0</v>
      </c>
      <c r="O86" s="185">
        <f t="array" ref="O86">if( Rankings!$Q$6="y",index(Avgs!Q:Q,match(C86,Avgs!A:A,0))+index(Avgs!Q:Q,match(D86,Avgs!A:A,0))+index(Avgs!Q:Q,match(E86,Avgs!A:A,0)),0)</f>
        <v>0</v>
      </c>
      <c r="P86" s="186">
        <f t="array" ref="P86">if( Rankings!$Q$6="y",index(Avgs!Q:Q,match(F86,Avgs!A:A,0))+index(Avgs!Q:Q,match(G86,Avgs!A:A,0))+index(Avgs!Q:Q,match(H86,Avgs!A:A,0)),0)</f>
        <v>0</v>
      </c>
      <c r="Q86" s="185">
        <f t="array" ref="Q86">if( Rankings!$Q$6="y",index(Avgs!P:P,match(C86,Avgs!A:A,0))+index(Avgs!P:P,match(D86,Avgs!A:A,0))+index(Avgs!P:P,match(E86,Avgs!A:A,0)),0)</f>
        <v>0</v>
      </c>
      <c r="R86" s="186">
        <f t="array" ref="R86">if( Rankings!$Q$6="y",index(Avgs!P:P,match(F86,Avgs!A:A,0))+index(Avgs!P:P,match(G86,Avgs!A:A,0))+index(Avgs!P:P,match(H86,Avgs!A:A,0)),0)</f>
        <v>0</v>
      </c>
      <c r="S86" s="188" t="str">
        <f t="shared" si="1"/>
        <v>tie</v>
      </c>
      <c r="T86" s="188" t="str">
        <f t="shared" si="2"/>
        <v>tie</v>
      </c>
      <c r="U86" s="185">
        <f>if($A86&gt;Rankings!$Q$2,if(S86="red",2,if(S86="tie",1,0))+if(O86&gt;=12,1,0)+if(Q86&gt;=40,1,0),0)</f>
        <v>1</v>
      </c>
      <c r="V86" s="186">
        <f>if($A86&gt;Rankings!$Q$2,if(S86="blue",2,if(S86="tie",1,0))+if(P86&gt;=12,1,0)+if(R86&gt;=40,1,0),0)</f>
        <v>1</v>
      </c>
      <c r="W86" s="185">
        <f>if($A86&gt;Rankings!$Q$2,M86,0)</f>
        <v>0</v>
      </c>
      <c r="X86" s="186">
        <f>if($A86&gt;Rankings!$Q$2,N86,0)</f>
        <v>0</v>
      </c>
      <c r="Y86" s="81" t="str">
        <f t="shared" si="3"/>
        <v/>
      </c>
      <c r="Z86" s="77"/>
      <c r="AA86" s="84" t="str">
        <f>Avgs!A86</f>
        <v/>
      </c>
      <c r="AB86" s="188">
        <f t="shared" si="4"/>
        <v>0</v>
      </c>
      <c r="AC86" s="188">
        <f t="array" ref="AC86">if(Rankings!$Q$6="n",0,index(Rankings!$C$3:$C127,match(AA86,Rankings!$B$3:$B127,0)))</f>
        <v>0</v>
      </c>
      <c r="AD86" s="188">
        <f t="shared" si="5"/>
        <v>0</v>
      </c>
      <c r="AE86" s="188">
        <f t="shared" si="6"/>
        <v>0</v>
      </c>
      <c r="AF86" s="188">
        <f t="array" ref="AF86">if(Rankings!$Q$6="n",0,index(Rankings!$D$3:$D127,match(AA86,Rankings!$B$3:$B127,0)))</f>
        <v>0</v>
      </c>
      <c r="AG86" s="188">
        <f t="shared" si="7"/>
        <v>0</v>
      </c>
      <c r="AH86" s="188">
        <f t="shared" si="8"/>
        <v>-0.04227953027</v>
      </c>
      <c r="AI86" s="188">
        <f t="shared" si="9"/>
        <v>78</v>
      </c>
      <c r="AJ86" s="188" t="str">
        <f t="shared" si="10"/>
        <v/>
      </c>
      <c r="AK86" s="188">
        <f t="shared" si="11"/>
        <v>0</v>
      </c>
      <c r="AL86" s="188">
        <f t="shared" si="12"/>
        <v>0</v>
      </c>
    </row>
    <row r="87">
      <c r="A87" s="83">
        <v>85.0</v>
      </c>
      <c r="B87" s="227"/>
      <c r="C87" s="181"/>
      <c r="D87" s="181"/>
      <c r="E87" s="181"/>
      <c r="F87" s="182"/>
      <c r="G87" s="182"/>
      <c r="H87" s="182"/>
      <c r="I87" s="183"/>
      <c r="J87" s="184"/>
      <c r="K87" s="185">
        <f t="array" ref="K87">if( Rankings!$Q$6="y",index(Avgs!B:B,match(C87,Avgs!A:A,0))+index(Avgs!B:B,match(D87,Avgs!A:A,0))+index(Avgs!B:B,match(E87,Avgs!A:A,0)),0)</f>
        <v>0</v>
      </c>
      <c r="L87" s="186">
        <f t="array" ref="L87">if( Rankings!$Q$6="y",index(Avgs!B:B,match(F87,Avgs!A:A,0))+index(Avgs!B:B,match(G87,Avgs!A:A,0))+index(Avgs!B:B,match(H87,Avgs!A:A,0)),0)</f>
        <v>0</v>
      </c>
      <c r="M87" s="187">
        <f>if( Rankings!$Q$6="y",K87,0)</f>
        <v>0</v>
      </c>
      <c r="N87" s="186">
        <f>if( Rankings!$Q$6="y",L87,0)</f>
        <v>0</v>
      </c>
      <c r="O87" s="185">
        <f t="array" ref="O87">if( Rankings!$Q$6="y",index(Avgs!Q:Q,match(C87,Avgs!A:A,0))+index(Avgs!Q:Q,match(D87,Avgs!A:A,0))+index(Avgs!Q:Q,match(E87,Avgs!A:A,0)),0)</f>
        <v>0</v>
      </c>
      <c r="P87" s="186">
        <f t="array" ref="P87">if( Rankings!$Q$6="y",index(Avgs!Q:Q,match(F87,Avgs!A:A,0))+index(Avgs!Q:Q,match(G87,Avgs!A:A,0))+index(Avgs!Q:Q,match(H87,Avgs!A:A,0)),0)</f>
        <v>0</v>
      </c>
      <c r="Q87" s="185">
        <f t="array" ref="Q87">if( Rankings!$Q$6="y",index(Avgs!P:P,match(C87,Avgs!A:A,0))+index(Avgs!P:P,match(D87,Avgs!A:A,0))+index(Avgs!P:P,match(E87,Avgs!A:A,0)),0)</f>
        <v>0</v>
      </c>
      <c r="R87" s="186">
        <f t="array" ref="R87">if( Rankings!$Q$6="y",index(Avgs!P:P,match(F87,Avgs!A:A,0))+index(Avgs!P:P,match(G87,Avgs!A:A,0))+index(Avgs!P:P,match(H87,Avgs!A:A,0)),0)</f>
        <v>0</v>
      </c>
      <c r="S87" s="188" t="str">
        <f t="shared" si="1"/>
        <v>tie</v>
      </c>
      <c r="T87" s="188" t="str">
        <f t="shared" si="2"/>
        <v>tie</v>
      </c>
      <c r="U87" s="185">
        <f>if($A87&gt;Rankings!$Q$2,if(S87="red",2,if(S87="tie",1,0))+if(O87&gt;=12,1,0)+if(Q87&gt;=40,1,0),0)</f>
        <v>1</v>
      </c>
      <c r="V87" s="186">
        <f>if($A87&gt;Rankings!$Q$2,if(S87="blue",2,if(S87="tie",1,0))+if(P87&gt;=12,1,0)+if(R87&gt;=40,1,0),0)</f>
        <v>1</v>
      </c>
      <c r="W87" s="185">
        <f>if($A87&gt;Rankings!$Q$2,M87,0)</f>
        <v>0</v>
      </c>
      <c r="X87" s="186">
        <f>if($A87&gt;Rankings!$Q$2,N87,0)</f>
        <v>0</v>
      </c>
      <c r="Y87" s="81" t="str">
        <f t="shared" si="3"/>
        <v/>
      </c>
      <c r="Z87" s="77"/>
      <c r="AA87" s="84" t="str">
        <f>Avgs!A87</f>
        <v/>
      </c>
      <c r="AB87" s="188">
        <f t="shared" si="4"/>
        <v>0</v>
      </c>
      <c r="AC87" s="188">
        <f t="array" ref="AC87">if(Rankings!$Q$6="n",0,index(Rankings!$C$3:$C127,match(AA87,Rankings!$B$3:$B127,0)))</f>
        <v>0</v>
      </c>
      <c r="AD87" s="188">
        <f t="shared" si="5"/>
        <v>0</v>
      </c>
      <c r="AE87" s="188">
        <f t="shared" si="6"/>
        <v>0</v>
      </c>
      <c r="AF87" s="188">
        <f t="array" ref="AF87">if(Rankings!$Q$6="n",0,index(Rankings!$D$3:$D127,match(AA87,Rankings!$B$3:$B127,0)))</f>
        <v>0</v>
      </c>
      <c r="AG87" s="188">
        <f t="shared" si="7"/>
        <v>0</v>
      </c>
      <c r="AH87" s="188">
        <f t="shared" si="8"/>
        <v>-0.177021827</v>
      </c>
      <c r="AI87" s="188">
        <f t="shared" si="9"/>
        <v>95</v>
      </c>
      <c r="AJ87" s="188" t="str">
        <f t="shared" si="10"/>
        <v/>
      </c>
      <c r="AK87" s="188">
        <f t="shared" si="11"/>
        <v>0</v>
      </c>
      <c r="AL87" s="188">
        <f t="shared" si="12"/>
        <v>0</v>
      </c>
    </row>
    <row r="88">
      <c r="A88" s="83">
        <v>86.0</v>
      </c>
      <c r="B88" s="227"/>
      <c r="C88" s="181"/>
      <c r="D88" s="181"/>
      <c r="E88" s="181"/>
      <c r="F88" s="182"/>
      <c r="G88" s="182"/>
      <c r="H88" s="182"/>
      <c r="I88" s="183"/>
      <c r="J88" s="184"/>
      <c r="K88" s="185">
        <f t="array" ref="K88">if( Rankings!$Q$6="y",index(Avgs!B:B,match(C88,Avgs!A:A,0))+index(Avgs!B:B,match(D88,Avgs!A:A,0))+index(Avgs!B:B,match(E88,Avgs!A:A,0)),0)</f>
        <v>0</v>
      </c>
      <c r="L88" s="186">
        <f t="array" ref="L88">if( Rankings!$Q$6="y",index(Avgs!B:B,match(F88,Avgs!A:A,0))+index(Avgs!B:B,match(G88,Avgs!A:A,0))+index(Avgs!B:B,match(H88,Avgs!A:A,0)),0)</f>
        <v>0</v>
      </c>
      <c r="M88" s="187">
        <f>if( Rankings!$Q$6="y",K88,0)</f>
        <v>0</v>
      </c>
      <c r="N88" s="186">
        <f>if( Rankings!$Q$6="y",L88,0)</f>
        <v>0</v>
      </c>
      <c r="O88" s="185">
        <f t="array" ref="O88">if( Rankings!$Q$6="y",index(Avgs!Q:Q,match(C88,Avgs!A:A,0))+index(Avgs!Q:Q,match(D88,Avgs!A:A,0))+index(Avgs!Q:Q,match(E88,Avgs!A:A,0)),0)</f>
        <v>0</v>
      </c>
      <c r="P88" s="186">
        <f t="array" ref="P88">if( Rankings!$Q$6="y",index(Avgs!Q:Q,match(F88,Avgs!A:A,0))+index(Avgs!Q:Q,match(G88,Avgs!A:A,0))+index(Avgs!Q:Q,match(H88,Avgs!A:A,0)),0)</f>
        <v>0</v>
      </c>
      <c r="Q88" s="185">
        <f t="array" ref="Q88">if( Rankings!$Q$6="y",index(Avgs!P:P,match(C88,Avgs!A:A,0))+index(Avgs!P:P,match(D88,Avgs!A:A,0))+index(Avgs!P:P,match(E88,Avgs!A:A,0)),0)</f>
        <v>0</v>
      </c>
      <c r="R88" s="186">
        <f t="array" ref="R88">if( Rankings!$Q$6="y",index(Avgs!P:P,match(F88,Avgs!A:A,0))+index(Avgs!P:P,match(G88,Avgs!A:A,0))+index(Avgs!P:P,match(H88,Avgs!A:A,0)),0)</f>
        <v>0</v>
      </c>
      <c r="S88" s="188" t="str">
        <f t="shared" si="1"/>
        <v>tie</v>
      </c>
      <c r="T88" s="188" t="str">
        <f t="shared" si="2"/>
        <v>tie</v>
      </c>
      <c r="U88" s="185">
        <f>if($A88&gt;Rankings!$Q$2,if(S88="red",2,if(S88="tie",1,0))+if(O88&gt;=12,1,0)+if(Q88&gt;=40,1,0),0)</f>
        <v>1</v>
      </c>
      <c r="V88" s="186">
        <f>if($A88&gt;Rankings!$Q$2,if(S88="blue",2,if(S88="tie",1,0))+if(P88&gt;=12,1,0)+if(R88&gt;=40,1,0),0)</f>
        <v>1</v>
      </c>
      <c r="W88" s="185">
        <f>if($A88&gt;Rankings!$Q$2,M88,0)</f>
        <v>0</v>
      </c>
      <c r="X88" s="186">
        <f>if($A88&gt;Rankings!$Q$2,N88,0)</f>
        <v>0</v>
      </c>
      <c r="Y88" s="81" t="str">
        <f t="shared" si="3"/>
        <v/>
      </c>
      <c r="Z88" s="77"/>
      <c r="AA88" s="84" t="str">
        <f>Avgs!A88</f>
        <v/>
      </c>
      <c r="AB88" s="188">
        <f t="shared" si="4"/>
        <v>0</v>
      </c>
      <c r="AC88" s="188">
        <f t="array" ref="AC88">if(Rankings!$Q$6="n",0,index(Rankings!$C$3:$C127,match(AA88,Rankings!$B$3:$B127,0)))</f>
        <v>0</v>
      </c>
      <c r="AD88" s="188">
        <f t="shared" si="5"/>
        <v>0</v>
      </c>
      <c r="AE88" s="188">
        <f t="shared" si="6"/>
        <v>0</v>
      </c>
      <c r="AF88" s="188">
        <f t="array" ref="AF88">if(Rankings!$Q$6="n",0,index(Rankings!$D$3:$D127,match(AA88,Rankings!$B$3:$B127,0)))</f>
        <v>0</v>
      </c>
      <c r="AG88" s="188">
        <f t="shared" si="7"/>
        <v>0</v>
      </c>
      <c r="AH88" s="188">
        <f t="shared" si="8"/>
        <v>-0.1452816857</v>
      </c>
      <c r="AI88" s="188">
        <f t="shared" si="9"/>
        <v>92</v>
      </c>
      <c r="AJ88" s="188" t="str">
        <f t="shared" si="10"/>
        <v/>
      </c>
      <c r="AK88" s="188">
        <f t="shared" si="11"/>
        <v>0</v>
      </c>
      <c r="AL88" s="188">
        <f t="shared" si="12"/>
        <v>0</v>
      </c>
    </row>
    <row r="89">
      <c r="A89" s="83">
        <v>87.0</v>
      </c>
      <c r="B89" s="228"/>
      <c r="C89" s="181"/>
      <c r="D89" s="181"/>
      <c r="E89" s="181"/>
      <c r="F89" s="182"/>
      <c r="G89" s="182"/>
      <c r="H89" s="182"/>
      <c r="I89" s="183"/>
      <c r="J89" s="184"/>
      <c r="K89" s="185">
        <f t="array" ref="K89">if( Rankings!$Q$6="y",index(Avgs!B:B,match(C89,Avgs!A:A,0))+index(Avgs!B:B,match(D89,Avgs!A:A,0))+index(Avgs!B:B,match(E89,Avgs!A:A,0)),0)</f>
        <v>0</v>
      </c>
      <c r="L89" s="186">
        <f t="array" ref="L89">if( Rankings!$Q$6="y",index(Avgs!B:B,match(F89,Avgs!A:A,0))+index(Avgs!B:B,match(G89,Avgs!A:A,0))+index(Avgs!B:B,match(H89,Avgs!A:A,0)),0)</f>
        <v>0</v>
      </c>
      <c r="M89" s="187">
        <f>if( Rankings!$Q$6="y",K89,0)</f>
        <v>0</v>
      </c>
      <c r="N89" s="186">
        <f>if( Rankings!$Q$6="y",L89,0)</f>
        <v>0</v>
      </c>
      <c r="O89" s="185">
        <f t="array" ref="O89">if( Rankings!$Q$6="y",index(Avgs!Q:Q,match(C89,Avgs!A:A,0))+index(Avgs!Q:Q,match(D89,Avgs!A:A,0))+index(Avgs!Q:Q,match(E89,Avgs!A:A,0)),0)</f>
        <v>0</v>
      </c>
      <c r="P89" s="186">
        <f t="array" ref="P89">if( Rankings!$Q$6="y",index(Avgs!Q:Q,match(F89,Avgs!A:A,0))+index(Avgs!Q:Q,match(G89,Avgs!A:A,0))+index(Avgs!Q:Q,match(H89,Avgs!A:A,0)),0)</f>
        <v>0</v>
      </c>
      <c r="Q89" s="185">
        <f t="array" ref="Q89">if( Rankings!$Q$6="y",index(Avgs!P:P,match(C89,Avgs!A:A,0))+index(Avgs!P:P,match(D89,Avgs!A:A,0))+index(Avgs!P:P,match(E89,Avgs!A:A,0)),0)</f>
        <v>0</v>
      </c>
      <c r="R89" s="186">
        <f t="array" ref="R89">if( Rankings!$Q$6="y",index(Avgs!P:P,match(F89,Avgs!A:A,0))+index(Avgs!P:P,match(G89,Avgs!A:A,0))+index(Avgs!P:P,match(H89,Avgs!A:A,0)),0)</f>
        <v>0</v>
      </c>
      <c r="S89" s="188" t="str">
        <f t="shared" si="1"/>
        <v>tie</v>
      </c>
      <c r="T89" s="188" t="str">
        <f t="shared" si="2"/>
        <v>tie</v>
      </c>
      <c r="U89" s="185">
        <f>if($B89&gt;Rankings!$Q$2,if(S89="red",2,if(S89="tie",1,0))+if(O89&gt;=12,1,0)+if(Q89&gt;=40,1,0),0)</f>
        <v>0</v>
      </c>
      <c r="V89" s="186">
        <f>if($B89&gt;Rankings!$Q$2,if(S89="blue",2,if(S89="tie",1,0))+if(P89&gt;=12,1,0)+if(R89&gt;=40,1,0),0)</f>
        <v>0</v>
      </c>
      <c r="W89" s="185">
        <f>if($B89&gt;Rankings!$Q$2,M89,0)</f>
        <v>0</v>
      </c>
      <c r="X89" s="186">
        <f>if($B89&gt;Rankings!$Q$2,N89,0)</f>
        <v>0</v>
      </c>
      <c r="Y89" s="81" t="str">
        <f t="shared" si="3"/>
        <v/>
      </c>
      <c r="Z89" s="77"/>
      <c r="AA89" s="84" t="str">
        <f>Avgs!A89</f>
        <v/>
      </c>
      <c r="AB89" s="188">
        <f t="shared" si="4"/>
        <v>0</v>
      </c>
      <c r="AC89" s="188">
        <f t="array" ref="AC89">if(Rankings!$Q$6="n",0,index(Rankings!$C$3:$C127,match(AA89,Rankings!$B$3:$B127,0)))</f>
        <v>0</v>
      </c>
      <c r="AD89" s="188">
        <f t="shared" si="5"/>
        <v>0</v>
      </c>
      <c r="AE89" s="188">
        <f t="shared" si="6"/>
        <v>0</v>
      </c>
      <c r="AF89" s="188">
        <f t="array" ref="AF89">if(Rankings!$Q$6="n",0,index(Rankings!$D$3:$D127,match(AA89,Rankings!$B$3:$B127,0)))</f>
        <v>0</v>
      </c>
      <c r="AG89" s="188">
        <f t="shared" si="7"/>
        <v>0</v>
      </c>
      <c r="AH89" s="188">
        <f t="shared" si="8"/>
        <v>-0.386001388</v>
      </c>
      <c r="AI89" s="188">
        <f t="shared" si="9"/>
        <v>100</v>
      </c>
      <c r="AJ89" s="188" t="str">
        <f t="shared" si="10"/>
        <v/>
      </c>
      <c r="AK89" s="188">
        <f t="shared" si="11"/>
        <v>0</v>
      </c>
      <c r="AL89" s="188">
        <f t="shared" si="12"/>
        <v>0</v>
      </c>
    </row>
    <row r="90">
      <c r="A90" s="83">
        <v>88.0</v>
      </c>
      <c r="B90" s="229"/>
      <c r="C90" s="181"/>
      <c r="D90" s="181"/>
      <c r="E90" s="181"/>
      <c r="F90" s="182"/>
      <c r="G90" s="182"/>
      <c r="H90" s="182"/>
      <c r="I90" s="183"/>
      <c r="J90" s="184"/>
      <c r="K90" s="185">
        <f t="array" ref="K90">if( Rankings!$Q$6="y",index(Avgs!B:B,match(C90,Avgs!A:A,0))+index(Avgs!B:B,match(D90,Avgs!A:A,0))+index(Avgs!B:B,match(E90,Avgs!A:A,0)),0)</f>
        <v>0</v>
      </c>
      <c r="L90" s="186">
        <f t="array" ref="L90">if( Rankings!$Q$6="y",index(Avgs!B:B,match(F90,Avgs!A:A,0))+index(Avgs!B:B,match(G90,Avgs!A:A,0))+index(Avgs!B:B,match(H90,Avgs!A:A,0)),0)</f>
        <v>0</v>
      </c>
      <c r="M90" s="187">
        <f>if( Rankings!$Q$6="y",K90,0)</f>
        <v>0</v>
      </c>
      <c r="N90" s="186">
        <f>if( Rankings!$Q$6="y",L90,0)</f>
        <v>0</v>
      </c>
      <c r="O90" s="185">
        <f t="array" ref="O90">if( Rankings!$Q$6="y",index(Avgs!Q:Q,match(C90,Avgs!A:A,0))+index(Avgs!Q:Q,match(D90,Avgs!A:A,0))+index(Avgs!Q:Q,match(E90,Avgs!A:A,0)),0)</f>
        <v>0</v>
      </c>
      <c r="P90" s="186">
        <f t="array" ref="P90">if( Rankings!$Q$6="y",index(Avgs!Q:Q,match(F90,Avgs!A:A,0))+index(Avgs!Q:Q,match(G90,Avgs!A:A,0))+index(Avgs!Q:Q,match(H90,Avgs!A:A,0)),0)</f>
        <v>0</v>
      </c>
      <c r="Q90" s="185">
        <f t="array" ref="Q90">if( Rankings!$Q$6="y",index(Avgs!P:P,match(C90,Avgs!A:A,0))+index(Avgs!P:P,match(D90,Avgs!A:A,0))+index(Avgs!P:P,match(E90,Avgs!A:A,0)),0)</f>
        <v>0</v>
      </c>
      <c r="R90" s="186">
        <f t="array" ref="R90">if( Rankings!$Q$6="y",index(Avgs!P:P,match(F90,Avgs!A:A,0))+index(Avgs!P:P,match(G90,Avgs!A:A,0))+index(Avgs!P:P,match(H90,Avgs!A:A,0)),0)</f>
        <v>0</v>
      </c>
      <c r="S90" s="188" t="str">
        <f t="shared" si="1"/>
        <v>tie</v>
      </c>
      <c r="T90" s="188" t="str">
        <f t="shared" si="2"/>
        <v>tie</v>
      </c>
      <c r="U90" s="185">
        <f>if($B90&gt;Rankings!$Q$2,if(S90="red",2,if(S90="tie",1,0))+if(O90&gt;=12,1,0)+if(Q90&gt;=40,1,0),0)</f>
        <v>0</v>
      </c>
      <c r="V90" s="186">
        <f>if($B90&gt;Rankings!$Q$2,if(S90="blue",2,if(S90="tie",1,0))+if(P90&gt;=12,1,0)+if(R90&gt;=40,1,0),0)</f>
        <v>0</v>
      </c>
      <c r="W90" s="185">
        <f>if($B90&gt;Rankings!$Q$2,M90,0)</f>
        <v>0</v>
      </c>
      <c r="X90" s="186">
        <f>if($B90&gt;Rankings!$Q$2,N90,0)</f>
        <v>0</v>
      </c>
      <c r="Y90" s="81" t="str">
        <f t="shared" si="3"/>
        <v/>
      </c>
      <c r="Z90" s="77"/>
      <c r="AA90" s="84" t="str">
        <f>Avgs!A90</f>
        <v/>
      </c>
      <c r="AB90" s="188">
        <f t="shared" si="4"/>
        <v>0</v>
      </c>
      <c r="AC90" s="188">
        <f t="array" ref="AC90">if(Rankings!$Q$6="n",0,index(Rankings!$C$3:$C127,match(AA90,Rankings!$B$3:$B127,0)))</f>
        <v>0</v>
      </c>
      <c r="AD90" s="188">
        <f t="shared" si="5"/>
        <v>0</v>
      </c>
      <c r="AE90" s="188">
        <f t="shared" si="6"/>
        <v>0</v>
      </c>
      <c r="AF90" s="188">
        <f t="array" ref="AF90">if(Rankings!$Q$6="n",0,index(Rankings!$D$3:$D127,match(AA90,Rankings!$B$3:$B127,0)))</f>
        <v>0</v>
      </c>
      <c r="AG90" s="188">
        <f t="shared" si="7"/>
        <v>0</v>
      </c>
      <c r="AH90" s="188">
        <f t="shared" si="8"/>
        <v>-0.003342622984</v>
      </c>
      <c r="AI90" s="188">
        <f t="shared" si="9"/>
        <v>53</v>
      </c>
      <c r="AJ90" s="188" t="str">
        <f t="shared" si="10"/>
        <v/>
      </c>
      <c r="AK90" s="188">
        <f t="shared" si="11"/>
        <v>0</v>
      </c>
      <c r="AL90" s="188">
        <f t="shared" si="12"/>
        <v>0</v>
      </c>
    </row>
    <row r="91">
      <c r="A91" s="83">
        <v>89.0</v>
      </c>
      <c r="B91" s="229"/>
      <c r="C91" s="181"/>
      <c r="D91" s="181"/>
      <c r="E91" s="181"/>
      <c r="F91" s="182"/>
      <c r="G91" s="182"/>
      <c r="H91" s="182"/>
      <c r="I91" s="183"/>
      <c r="J91" s="184"/>
      <c r="K91" s="185">
        <f t="array" ref="K91">if( Rankings!$Q$6="y",index(Avgs!B:B,match(C91,Avgs!A:A,0))+index(Avgs!B:B,match(D91,Avgs!A:A,0))+index(Avgs!B:B,match(E91,Avgs!A:A,0)),0)</f>
        <v>0</v>
      </c>
      <c r="L91" s="186">
        <f t="array" ref="L91">if( Rankings!$Q$6="y",index(Avgs!B:B,match(F91,Avgs!A:A,0))+index(Avgs!B:B,match(G91,Avgs!A:A,0))+index(Avgs!B:B,match(H91,Avgs!A:A,0)),0)</f>
        <v>0</v>
      </c>
      <c r="M91" s="187">
        <f>if( Rankings!$Q$6="y",K91,0)</f>
        <v>0</v>
      </c>
      <c r="N91" s="186">
        <f>if( Rankings!$Q$6="y",L91,0)</f>
        <v>0</v>
      </c>
      <c r="O91" s="185">
        <f t="array" ref="O91">if( Rankings!$Q$6="y",index(Avgs!Q:Q,match(C91,Avgs!A:A,0))+index(Avgs!Q:Q,match(D91,Avgs!A:A,0))+index(Avgs!Q:Q,match(E91,Avgs!A:A,0)),0)</f>
        <v>0</v>
      </c>
      <c r="P91" s="186">
        <f t="array" ref="P91">if( Rankings!$Q$6="y",index(Avgs!Q:Q,match(F91,Avgs!A:A,0))+index(Avgs!Q:Q,match(G91,Avgs!A:A,0))+index(Avgs!Q:Q,match(H91,Avgs!A:A,0)),0)</f>
        <v>0</v>
      </c>
      <c r="Q91" s="185">
        <f t="array" ref="Q91">if( Rankings!$Q$6="y",index(Avgs!P:P,match(C91,Avgs!A:A,0))+index(Avgs!P:P,match(D91,Avgs!A:A,0))+index(Avgs!P:P,match(E91,Avgs!A:A,0)),0)</f>
        <v>0</v>
      </c>
      <c r="R91" s="186">
        <f t="array" ref="R91">if( Rankings!$Q$6="y",index(Avgs!P:P,match(F91,Avgs!A:A,0))+index(Avgs!P:P,match(G91,Avgs!A:A,0))+index(Avgs!P:P,match(H91,Avgs!A:A,0)),0)</f>
        <v>0</v>
      </c>
      <c r="S91" s="188" t="str">
        <f t="shared" si="1"/>
        <v>tie</v>
      </c>
      <c r="T91" s="188" t="str">
        <f t="shared" si="2"/>
        <v>tie</v>
      </c>
      <c r="U91" s="185">
        <f>if($B91&gt;Rankings!$Q$2,if(S91="red",2,if(S91="tie",1,0))+if(O91&gt;=12,1,0)+if(Q91&gt;=40,1,0),0)</f>
        <v>0</v>
      </c>
      <c r="V91" s="186">
        <f>if($B91&gt;Rankings!$Q$2,if(S91="blue",2,if(S91="tie",1,0))+if(P91&gt;=12,1,0)+if(R91&gt;=40,1,0),0)</f>
        <v>0</v>
      </c>
      <c r="W91" s="185">
        <f>if($B91&gt;Rankings!$Q$2,M91,0)</f>
        <v>0</v>
      </c>
      <c r="X91" s="186">
        <f>if($B91&gt;Rankings!$Q$2,N91,0)</f>
        <v>0</v>
      </c>
      <c r="Y91" s="81" t="str">
        <f t="shared" si="3"/>
        <v/>
      </c>
      <c r="Z91" s="77"/>
      <c r="AA91" s="84" t="str">
        <f>Avgs!A91</f>
        <v/>
      </c>
      <c r="AB91" s="188">
        <f t="shared" si="4"/>
        <v>0</v>
      </c>
      <c r="AC91" s="188">
        <f t="array" ref="AC91">if(Rankings!$Q$6="n",0,index(Rankings!$C$3:$C127,match(AA91,Rankings!$B$3:$B127,0)))</f>
        <v>0</v>
      </c>
      <c r="AD91" s="188">
        <f t="shared" si="5"/>
        <v>0</v>
      </c>
      <c r="AE91" s="188">
        <f t="shared" si="6"/>
        <v>0</v>
      </c>
      <c r="AF91" s="188">
        <f t="array" ref="AF91">if(Rankings!$Q$6="n",0,index(Rankings!$D$3:$D127,match(AA91,Rankings!$B$3:$B127,0)))</f>
        <v>0</v>
      </c>
      <c r="AG91" s="188">
        <f t="shared" si="7"/>
        <v>0</v>
      </c>
      <c r="AH91" s="188">
        <f t="shared" si="8"/>
        <v>-0.03871706448</v>
      </c>
      <c r="AI91" s="188">
        <f t="shared" si="9"/>
        <v>75</v>
      </c>
      <c r="AJ91" s="188" t="str">
        <f t="shared" si="10"/>
        <v/>
      </c>
      <c r="AK91" s="188">
        <f t="shared" si="11"/>
        <v>0</v>
      </c>
      <c r="AL91" s="188">
        <f t="shared" si="12"/>
        <v>0</v>
      </c>
    </row>
    <row r="92">
      <c r="A92" s="83">
        <v>90.0</v>
      </c>
      <c r="B92" s="229"/>
      <c r="C92" s="181"/>
      <c r="D92" s="181"/>
      <c r="E92" s="181"/>
      <c r="F92" s="182"/>
      <c r="G92" s="182"/>
      <c r="H92" s="182"/>
      <c r="I92" s="183"/>
      <c r="J92" s="184"/>
      <c r="K92" s="185">
        <f t="array" ref="K92">if( Rankings!$Q$6="y",index(Avgs!B:B,match(C92,Avgs!A:A,0))+index(Avgs!B:B,match(D92,Avgs!A:A,0))+index(Avgs!B:B,match(E92,Avgs!A:A,0)),0)</f>
        <v>0</v>
      </c>
      <c r="L92" s="186">
        <f t="array" ref="L92">if( Rankings!$Q$6="y",index(Avgs!B:B,match(F92,Avgs!A:A,0))+index(Avgs!B:B,match(G92,Avgs!A:A,0))+index(Avgs!B:B,match(H92,Avgs!A:A,0)),0)</f>
        <v>0</v>
      </c>
      <c r="M92" s="187">
        <f>if( Rankings!$Q$6="y",K92,0)</f>
        <v>0</v>
      </c>
      <c r="N92" s="186">
        <f>if( Rankings!$Q$6="y",L92,0)</f>
        <v>0</v>
      </c>
      <c r="O92" s="185">
        <f t="array" ref="O92">if( Rankings!$Q$6="y",index(Avgs!Q:Q,match(C92,Avgs!A:A,0))+index(Avgs!Q:Q,match(D92,Avgs!A:A,0))+index(Avgs!Q:Q,match(E92,Avgs!A:A,0)),0)</f>
        <v>0</v>
      </c>
      <c r="P92" s="186">
        <f t="array" ref="P92">if( Rankings!$Q$6="y",index(Avgs!Q:Q,match(F92,Avgs!A:A,0))+index(Avgs!Q:Q,match(G92,Avgs!A:A,0))+index(Avgs!Q:Q,match(H92,Avgs!A:A,0)),0)</f>
        <v>0</v>
      </c>
      <c r="Q92" s="185">
        <f t="array" ref="Q92">if( Rankings!$Q$6="y",index(Avgs!P:P,match(C92,Avgs!A:A,0))+index(Avgs!P:P,match(D92,Avgs!A:A,0))+index(Avgs!P:P,match(E92,Avgs!A:A,0)),0)</f>
        <v>0</v>
      </c>
      <c r="R92" s="186">
        <f t="array" ref="R92">if( Rankings!$Q$6="y",index(Avgs!P:P,match(F92,Avgs!A:A,0))+index(Avgs!P:P,match(G92,Avgs!A:A,0))+index(Avgs!P:P,match(H92,Avgs!A:A,0)),0)</f>
        <v>0</v>
      </c>
      <c r="S92" s="188" t="str">
        <f t="shared" si="1"/>
        <v>tie</v>
      </c>
      <c r="T92" s="188" t="str">
        <f t="shared" si="2"/>
        <v>tie</v>
      </c>
      <c r="U92" s="185">
        <f>if($B92&gt;Rankings!$Q$2,if(S92="red",2,if(S92="tie",1,0))+if(O92&gt;=12,1,0)+if(Q92&gt;=40,1,0),0)</f>
        <v>0</v>
      </c>
      <c r="V92" s="186">
        <f>if($B92&gt;Rankings!$Q$2,if(S92="blue",2,if(S92="tie",1,0))+if(P92&gt;=12,1,0)+if(R92&gt;=40,1,0),0)</f>
        <v>0</v>
      </c>
      <c r="W92" s="185">
        <f>if($B92&gt;Rankings!$Q$2,M92,0)</f>
        <v>0</v>
      </c>
      <c r="X92" s="186">
        <f>if($B92&gt;Rankings!$Q$2,N92,0)</f>
        <v>0</v>
      </c>
      <c r="Y92" s="81" t="str">
        <f t="shared" si="3"/>
        <v/>
      </c>
      <c r="Z92" s="77"/>
      <c r="AA92" s="84" t="str">
        <f>Avgs!A92</f>
        <v/>
      </c>
      <c r="AB92" s="188">
        <f t="shared" si="4"/>
        <v>0</v>
      </c>
      <c r="AC92" s="188">
        <f t="array" ref="AC92">if(Rankings!$Q$6="n",0,index(Rankings!$C$3:$C127,match(AA92,Rankings!$B$3:$B127,0)))</f>
        <v>0</v>
      </c>
      <c r="AD92" s="188">
        <f t="shared" si="5"/>
        <v>0</v>
      </c>
      <c r="AE92" s="188">
        <f t="shared" si="6"/>
        <v>0</v>
      </c>
      <c r="AF92" s="188">
        <f t="array" ref="AF92">if(Rankings!$Q$6="n",0,index(Rankings!$D$3:$D127,match(AA92,Rankings!$B$3:$B127,0)))</f>
        <v>0</v>
      </c>
      <c r="AG92" s="188">
        <f t="shared" si="7"/>
        <v>0</v>
      </c>
      <c r="AH92" s="188">
        <f t="shared" si="8"/>
        <v>-0.02816840318</v>
      </c>
      <c r="AI92" s="188">
        <f t="shared" si="9"/>
        <v>71</v>
      </c>
      <c r="AJ92" s="188" t="str">
        <f t="shared" si="10"/>
        <v/>
      </c>
      <c r="AK92" s="188">
        <f t="shared" si="11"/>
        <v>0</v>
      </c>
      <c r="AL92" s="188">
        <f t="shared" si="12"/>
        <v>0</v>
      </c>
    </row>
    <row r="93">
      <c r="A93" s="83">
        <v>91.0</v>
      </c>
      <c r="B93" s="229"/>
      <c r="C93" s="181"/>
      <c r="D93" s="181"/>
      <c r="E93" s="181"/>
      <c r="F93" s="182"/>
      <c r="G93" s="182"/>
      <c r="H93" s="182"/>
      <c r="I93" s="183"/>
      <c r="J93" s="184"/>
      <c r="K93" s="185">
        <f t="array" ref="K93">if( Rankings!$Q$6="y",index(Avgs!B:B,match(C93,Avgs!A:A,0))+index(Avgs!B:B,match(D93,Avgs!A:A,0))+index(Avgs!B:B,match(E93,Avgs!A:A,0)),0)</f>
        <v>0</v>
      </c>
      <c r="L93" s="186">
        <f t="array" ref="L93">if( Rankings!$Q$6="y",index(Avgs!B:B,match(F93,Avgs!A:A,0))+index(Avgs!B:B,match(G93,Avgs!A:A,0))+index(Avgs!B:B,match(H93,Avgs!A:A,0)),0)</f>
        <v>0</v>
      </c>
      <c r="M93" s="187">
        <f>if( Rankings!$Q$6="y",K93,0)</f>
        <v>0</v>
      </c>
      <c r="N93" s="186">
        <f>if( Rankings!$Q$6="y",L93,0)</f>
        <v>0</v>
      </c>
      <c r="O93" s="185">
        <f t="array" ref="O93">if( Rankings!$Q$6="y",index(Avgs!Q:Q,match(C93,Avgs!A:A,0))+index(Avgs!Q:Q,match(D93,Avgs!A:A,0))+index(Avgs!Q:Q,match(E93,Avgs!A:A,0)),0)</f>
        <v>0</v>
      </c>
      <c r="P93" s="186">
        <f t="array" ref="P93">if( Rankings!$Q$6="y",index(Avgs!Q:Q,match(F93,Avgs!A:A,0))+index(Avgs!Q:Q,match(G93,Avgs!A:A,0))+index(Avgs!Q:Q,match(H93,Avgs!A:A,0)),0)</f>
        <v>0</v>
      </c>
      <c r="Q93" s="185">
        <f t="array" ref="Q93">if( Rankings!$Q$6="y",index(Avgs!P:P,match(C93,Avgs!A:A,0))+index(Avgs!P:P,match(D93,Avgs!A:A,0))+index(Avgs!P:P,match(E93,Avgs!A:A,0)),0)</f>
        <v>0</v>
      </c>
      <c r="R93" s="186">
        <f t="array" ref="R93">if( Rankings!$Q$6="y",index(Avgs!P:P,match(F93,Avgs!A:A,0))+index(Avgs!P:P,match(G93,Avgs!A:A,0))+index(Avgs!P:P,match(H93,Avgs!A:A,0)),0)</f>
        <v>0</v>
      </c>
      <c r="S93" s="188" t="str">
        <f t="shared" si="1"/>
        <v>tie</v>
      </c>
      <c r="T93" s="188" t="str">
        <f t="shared" si="2"/>
        <v>tie</v>
      </c>
      <c r="U93" s="185">
        <f>if($B93&gt;Rankings!$Q$2,if(S93="red",2,if(S93="tie",1,0))+if(O93&gt;=12,1,0)+if(Q93&gt;=40,1,0),0)</f>
        <v>0</v>
      </c>
      <c r="V93" s="186">
        <f>if($B93&gt;Rankings!$Q$2,if(S93="blue",2,if(S93="tie",1,0))+if(P93&gt;=12,1,0)+if(R93&gt;=40,1,0),0)</f>
        <v>0</v>
      </c>
      <c r="W93" s="185">
        <f>if($B93&gt;Rankings!$Q$2,M93,0)</f>
        <v>0</v>
      </c>
      <c r="X93" s="186">
        <f>if($B93&gt;Rankings!$Q$2,N93,0)</f>
        <v>0</v>
      </c>
      <c r="Y93" s="81" t="str">
        <f t="shared" si="3"/>
        <v/>
      </c>
      <c r="Z93" s="77"/>
      <c r="AA93" s="84" t="str">
        <f>Avgs!A93</f>
        <v/>
      </c>
      <c r="AB93" s="188">
        <f t="shared" si="4"/>
        <v>0</v>
      </c>
      <c r="AC93" s="188">
        <f t="array" ref="AC93">if(Rankings!$Q$6="n",0,index(Rankings!$C$3:$C127,match(AA93,Rankings!$B$3:$B127,0)))</f>
        <v>0</v>
      </c>
      <c r="AD93" s="188">
        <f t="shared" si="5"/>
        <v>0</v>
      </c>
      <c r="AE93" s="188">
        <f t="shared" si="6"/>
        <v>0</v>
      </c>
      <c r="AF93" s="188">
        <f t="array" ref="AF93">if(Rankings!$Q$6="n",0,index(Rankings!$D$3:$D127,match(AA93,Rankings!$B$3:$B127,0)))</f>
        <v>0</v>
      </c>
      <c r="AG93" s="188">
        <f t="shared" si="7"/>
        <v>0</v>
      </c>
      <c r="AH93" s="188">
        <f t="shared" si="8"/>
        <v>-0.006103963864</v>
      </c>
      <c r="AI93" s="188">
        <f t="shared" si="9"/>
        <v>56</v>
      </c>
      <c r="AJ93" s="188" t="str">
        <f t="shared" si="10"/>
        <v/>
      </c>
      <c r="AK93" s="188">
        <f t="shared" si="11"/>
        <v>0</v>
      </c>
      <c r="AL93" s="188">
        <f t="shared" si="12"/>
        <v>0</v>
      </c>
    </row>
    <row r="94">
      <c r="A94" s="83">
        <v>92.0</v>
      </c>
      <c r="B94" s="229"/>
      <c r="C94" s="181"/>
      <c r="D94" s="181"/>
      <c r="E94" s="181"/>
      <c r="F94" s="182"/>
      <c r="G94" s="182"/>
      <c r="H94" s="182"/>
      <c r="I94" s="183"/>
      <c r="J94" s="184"/>
      <c r="K94" s="185">
        <f t="array" ref="K94">if( Rankings!$Q$6="y",index(Avgs!B:B,match(C94,Avgs!A:A,0))+index(Avgs!B:B,match(D94,Avgs!A:A,0))+index(Avgs!B:B,match(E94,Avgs!A:A,0)),0)</f>
        <v>0</v>
      </c>
      <c r="L94" s="186">
        <f t="array" ref="L94">if( Rankings!$Q$6="y",index(Avgs!B:B,match(F94,Avgs!A:A,0))+index(Avgs!B:B,match(G94,Avgs!A:A,0))+index(Avgs!B:B,match(H94,Avgs!A:A,0)),0)</f>
        <v>0</v>
      </c>
      <c r="M94" s="187">
        <f>if( Rankings!$Q$6="y",K94,0)</f>
        <v>0</v>
      </c>
      <c r="N94" s="186">
        <f>if( Rankings!$Q$6="y",L94,0)</f>
        <v>0</v>
      </c>
      <c r="O94" s="185">
        <f t="array" ref="O94">if( Rankings!$Q$6="y",index(Avgs!Q:Q,match(C94,Avgs!A:A,0))+index(Avgs!Q:Q,match(D94,Avgs!A:A,0))+index(Avgs!Q:Q,match(E94,Avgs!A:A,0)),0)</f>
        <v>0</v>
      </c>
      <c r="P94" s="186">
        <f t="array" ref="P94">if( Rankings!$Q$6="y",index(Avgs!Q:Q,match(F94,Avgs!A:A,0))+index(Avgs!Q:Q,match(G94,Avgs!A:A,0))+index(Avgs!Q:Q,match(H94,Avgs!A:A,0)),0)</f>
        <v>0</v>
      </c>
      <c r="Q94" s="185">
        <f t="array" ref="Q94">if( Rankings!$Q$6="y",index(Avgs!P:P,match(C94,Avgs!A:A,0))+index(Avgs!P:P,match(D94,Avgs!A:A,0))+index(Avgs!P:P,match(E94,Avgs!A:A,0)),0)</f>
        <v>0</v>
      </c>
      <c r="R94" s="186">
        <f t="array" ref="R94">if( Rankings!$Q$6="y",index(Avgs!P:P,match(F94,Avgs!A:A,0))+index(Avgs!P:P,match(G94,Avgs!A:A,0))+index(Avgs!P:P,match(H94,Avgs!A:A,0)),0)</f>
        <v>0</v>
      </c>
      <c r="S94" s="188" t="str">
        <f t="shared" si="1"/>
        <v>tie</v>
      </c>
      <c r="T94" s="188" t="str">
        <f t="shared" si="2"/>
        <v>tie</v>
      </c>
      <c r="U94" s="185">
        <f>if($B94&gt;Rankings!$Q$2,if(S94="red",2,if(S94="tie",1,0))+if(O94&gt;=12,1,0)+if(Q94&gt;=40,1,0),0)</f>
        <v>0</v>
      </c>
      <c r="V94" s="186">
        <f>if($B94&gt;Rankings!$Q$2,if(S94="blue",2,if(S94="tie",1,0))+if(P94&gt;=12,1,0)+if(R94&gt;=40,1,0),0)</f>
        <v>0</v>
      </c>
      <c r="W94" s="185">
        <f>if($B94&gt;Rankings!$Q$2,M94,0)</f>
        <v>0</v>
      </c>
      <c r="X94" s="186">
        <f>if($B94&gt;Rankings!$Q$2,N94,0)</f>
        <v>0</v>
      </c>
      <c r="Y94" s="81" t="str">
        <f t="shared" si="3"/>
        <v/>
      </c>
      <c r="Z94" s="77"/>
      <c r="AA94" s="84" t="str">
        <f>Avgs!A94</f>
        <v/>
      </c>
      <c r="AB94" s="188">
        <f t="shared" si="4"/>
        <v>0</v>
      </c>
      <c r="AC94" s="188">
        <f t="array" ref="AC94">if(Rankings!$Q$6="n",0,index(Rankings!$C$3:$C127,match(AA94,Rankings!$B$3:$B127,0)))</f>
        <v>0</v>
      </c>
      <c r="AD94" s="188">
        <f t="shared" si="5"/>
        <v>0</v>
      </c>
      <c r="AE94" s="188">
        <f t="shared" si="6"/>
        <v>0</v>
      </c>
      <c r="AF94" s="188">
        <f t="array" ref="AF94">if(Rankings!$Q$6="n",0,index(Rankings!$D$3:$D127,match(AA94,Rankings!$B$3:$B127,0)))</f>
        <v>0</v>
      </c>
      <c r="AG94" s="188">
        <f t="shared" si="7"/>
        <v>0</v>
      </c>
      <c r="AH94" s="188">
        <f t="shared" si="8"/>
        <v>-0.125002402</v>
      </c>
      <c r="AI94" s="188">
        <f t="shared" si="9"/>
        <v>88</v>
      </c>
      <c r="AJ94" s="188" t="str">
        <f t="shared" si="10"/>
        <v/>
      </c>
      <c r="AK94" s="188">
        <f t="shared" si="11"/>
        <v>0</v>
      </c>
      <c r="AL94" s="188">
        <f t="shared" si="12"/>
        <v>0</v>
      </c>
    </row>
    <row r="95">
      <c r="A95" s="83">
        <v>93.0</v>
      </c>
      <c r="B95" s="229"/>
      <c r="C95" s="181"/>
      <c r="D95" s="181"/>
      <c r="E95" s="181"/>
      <c r="F95" s="182"/>
      <c r="G95" s="182"/>
      <c r="H95" s="182"/>
      <c r="I95" s="183"/>
      <c r="J95" s="184"/>
      <c r="K95" s="185">
        <f t="array" ref="K95">if( Rankings!$Q$6="y",index(Avgs!B:B,match(C95,Avgs!A:A,0))+index(Avgs!B:B,match(D95,Avgs!A:A,0))+index(Avgs!B:B,match(E95,Avgs!A:A,0)),0)</f>
        <v>0</v>
      </c>
      <c r="L95" s="186">
        <f t="array" ref="L95">if( Rankings!$Q$6="y",index(Avgs!B:B,match(F95,Avgs!A:A,0))+index(Avgs!B:B,match(G95,Avgs!A:A,0))+index(Avgs!B:B,match(H95,Avgs!A:A,0)),0)</f>
        <v>0</v>
      </c>
      <c r="M95" s="187">
        <f>if( Rankings!$Q$6="y",K95,0)</f>
        <v>0</v>
      </c>
      <c r="N95" s="186">
        <f>if( Rankings!$Q$6="y",L95,0)</f>
        <v>0</v>
      </c>
      <c r="O95" s="185">
        <f t="array" ref="O95">if( Rankings!$Q$6="y",index(Avgs!Q:Q,match(C95,Avgs!A:A,0))+index(Avgs!Q:Q,match(D95,Avgs!A:A,0))+index(Avgs!Q:Q,match(E95,Avgs!A:A,0)),0)</f>
        <v>0</v>
      </c>
      <c r="P95" s="186">
        <f t="array" ref="P95">if( Rankings!$Q$6="y",index(Avgs!Q:Q,match(F95,Avgs!A:A,0))+index(Avgs!Q:Q,match(G95,Avgs!A:A,0))+index(Avgs!Q:Q,match(H95,Avgs!A:A,0)),0)</f>
        <v>0</v>
      </c>
      <c r="Q95" s="185">
        <f t="array" ref="Q95">if( Rankings!$Q$6="y",index(Avgs!P:P,match(C95,Avgs!A:A,0))+index(Avgs!P:P,match(D95,Avgs!A:A,0))+index(Avgs!P:P,match(E95,Avgs!A:A,0)),0)</f>
        <v>0</v>
      </c>
      <c r="R95" s="186">
        <f t="array" ref="R95">if( Rankings!$Q$6="y",index(Avgs!P:P,match(F95,Avgs!A:A,0))+index(Avgs!P:P,match(G95,Avgs!A:A,0))+index(Avgs!P:P,match(H95,Avgs!A:A,0)),0)</f>
        <v>0</v>
      </c>
      <c r="S95" s="188" t="str">
        <f t="shared" si="1"/>
        <v>tie</v>
      </c>
      <c r="T95" s="188" t="str">
        <f t="shared" si="2"/>
        <v>tie</v>
      </c>
      <c r="U95" s="185">
        <f>if($B95&gt;Rankings!$Q$2,if(S95="red",2,if(S95="tie",1,0))+if(O95&gt;=12,1,0)+if(Q95&gt;=40,1,0),0)</f>
        <v>0</v>
      </c>
      <c r="V95" s="186">
        <f>if($B95&gt;Rankings!$Q$2,if(S95="blue",2,if(S95="tie",1,0))+if(P95&gt;=12,1,0)+if(R95&gt;=40,1,0),0)</f>
        <v>0</v>
      </c>
      <c r="W95" s="185">
        <f>if($B95&gt;Rankings!$Q$2,M95,0)</f>
        <v>0</v>
      </c>
      <c r="X95" s="186">
        <f>if($B95&gt;Rankings!$Q$2,N95,0)</f>
        <v>0</v>
      </c>
      <c r="Y95" s="81" t="str">
        <f t="shared" si="3"/>
        <v/>
      </c>
      <c r="Z95" s="77"/>
      <c r="AA95" s="84" t="str">
        <f>Avgs!A95</f>
        <v/>
      </c>
      <c r="AB95" s="188">
        <f t="shared" si="4"/>
        <v>0</v>
      </c>
      <c r="AC95" s="188">
        <f t="array" ref="AC95">if(Rankings!$Q$6="n",0,index(Rankings!$C$3:$C127,match(AA95,Rankings!$B$3:$B127,0)))</f>
        <v>0</v>
      </c>
      <c r="AD95" s="188">
        <f t="shared" si="5"/>
        <v>0</v>
      </c>
      <c r="AE95" s="188">
        <f t="shared" si="6"/>
        <v>0</v>
      </c>
      <c r="AF95" s="188">
        <f t="array" ref="AF95">if(Rankings!$Q$6="n",0,index(Rankings!$D$3:$D127,match(AA95,Rankings!$B$3:$B127,0)))</f>
        <v>0</v>
      </c>
      <c r="AG95" s="188">
        <f t="shared" si="7"/>
        <v>0</v>
      </c>
      <c r="AH95" s="188">
        <f t="shared" si="8"/>
        <v>-0.00164716532</v>
      </c>
      <c r="AI95" s="188">
        <f t="shared" si="9"/>
        <v>51</v>
      </c>
      <c r="AJ95" s="188" t="str">
        <f t="shared" si="10"/>
        <v/>
      </c>
      <c r="AK95" s="188">
        <f t="shared" si="11"/>
        <v>0</v>
      </c>
      <c r="AL95" s="188">
        <f t="shared" si="12"/>
        <v>0</v>
      </c>
    </row>
    <row r="96">
      <c r="A96" s="83">
        <v>94.0</v>
      </c>
      <c r="B96" s="229"/>
      <c r="C96" s="181"/>
      <c r="D96" s="181"/>
      <c r="E96" s="181"/>
      <c r="F96" s="182"/>
      <c r="G96" s="182"/>
      <c r="H96" s="182"/>
      <c r="I96" s="183"/>
      <c r="J96" s="184"/>
      <c r="K96" s="185">
        <f t="array" ref="K96">if( Rankings!$Q$6="y",index(Avgs!B:B,match(C96,Avgs!A:A,0))+index(Avgs!B:B,match(D96,Avgs!A:A,0))+index(Avgs!B:B,match(E96,Avgs!A:A,0)),0)</f>
        <v>0</v>
      </c>
      <c r="L96" s="186">
        <f t="array" ref="L96">if( Rankings!$Q$6="y",index(Avgs!B:B,match(F96,Avgs!A:A,0))+index(Avgs!B:B,match(G96,Avgs!A:A,0))+index(Avgs!B:B,match(H96,Avgs!A:A,0)),0)</f>
        <v>0</v>
      </c>
      <c r="M96" s="187">
        <f>if( Rankings!$Q$6="y",K96,0)</f>
        <v>0</v>
      </c>
      <c r="N96" s="186">
        <f>if( Rankings!$Q$6="y",L96,0)</f>
        <v>0</v>
      </c>
      <c r="O96" s="185">
        <f t="array" ref="O96">if( Rankings!$Q$6="y",index(Avgs!Q:Q,match(C96,Avgs!A:A,0))+index(Avgs!Q:Q,match(D96,Avgs!A:A,0))+index(Avgs!Q:Q,match(E96,Avgs!A:A,0)),0)</f>
        <v>0</v>
      </c>
      <c r="P96" s="186">
        <f t="array" ref="P96">if( Rankings!$Q$6="y",index(Avgs!Q:Q,match(F96,Avgs!A:A,0))+index(Avgs!Q:Q,match(G96,Avgs!A:A,0))+index(Avgs!Q:Q,match(H96,Avgs!A:A,0)),0)</f>
        <v>0</v>
      </c>
      <c r="Q96" s="185">
        <f t="array" ref="Q96">if( Rankings!$Q$6="y",index(Avgs!P:P,match(C96,Avgs!A:A,0))+index(Avgs!P:P,match(D96,Avgs!A:A,0))+index(Avgs!P:P,match(E96,Avgs!A:A,0)),0)</f>
        <v>0</v>
      </c>
      <c r="R96" s="186">
        <f t="array" ref="R96">if( Rankings!$Q$6="y",index(Avgs!P:P,match(F96,Avgs!A:A,0))+index(Avgs!P:P,match(G96,Avgs!A:A,0))+index(Avgs!P:P,match(H96,Avgs!A:A,0)),0)</f>
        <v>0</v>
      </c>
      <c r="S96" s="188" t="str">
        <f t="shared" si="1"/>
        <v>tie</v>
      </c>
      <c r="T96" s="188" t="str">
        <f t="shared" si="2"/>
        <v>tie</v>
      </c>
      <c r="U96" s="185">
        <f>if($B96&gt;Rankings!$Q$2,if(S96="red",2,if(S96="tie",1,0))+if(O96&gt;=12,1,0)+if(Q96&gt;=40,1,0),0)</f>
        <v>0</v>
      </c>
      <c r="V96" s="186">
        <f>if($B96&gt;Rankings!$Q$2,if(S96="blue",2,if(S96="tie",1,0))+if(P96&gt;=12,1,0)+if(R96&gt;=40,1,0),0)</f>
        <v>0</v>
      </c>
      <c r="W96" s="185">
        <f>if($B96&gt;Rankings!$Q$2,M96,0)</f>
        <v>0</v>
      </c>
      <c r="X96" s="186">
        <f>if($B96&gt;Rankings!$Q$2,N96,0)</f>
        <v>0</v>
      </c>
      <c r="Y96" s="81" t="str">
        <f t="shared" si="3"/>
        <v/>
      </c>
      <c r="Z96" s="77"/>
      <c r="AA96" s="84" t="str">
        <f>Avgs!A96</f>
        <v/>
      </c>
      <c r="AB96" s="188">
        <f t="shared" si="4"/>
        <v>0</v>
      </c>
      <c r="AC96" s="188">
        <f t="array" ref="AC96">if(Rankings!$Q$6="n",0,index(Rankings!$C$3:$C127,match(AA96,Rankings!$B$3:$B127,0)))</f>
        <v>0</v>
      </c>
      <c r="AD96" s="188">
        <f t="shared" si="5"/>
        <v>0</v>
      </c>
      <c r="AE96" s="188">
        <f t="shared" si="6"/>
        <v>0</v>
      </c>
      <c r="AF96" s="188">
        <f t="array" ref="AF96">if(Rankings!$Q$6="n",0,index(Rankings!$D$3:$D127,match(AA96,Rankings!$B$3:$B127,0)))</f>
        <v>0</v>
      </c>
      <c r="AG96" s="188">
        <f t="shared" si="7"/>
        <v>0</v>
      </c>
      <c r="AH96" s="188">
        <f t="shared" si="8"/>
        <v>-0.06758072688</v>
      </c>
      <c r="AI96" s="188">
        <f t="shared" si="9"/>
        <v>81</v>
      </c>
      <c r="AJ96" s="188" t="str">
        <f t="shared" si="10"/>
        <v/>
      </c>
      <c r="AK96" s="188">
        <f t="shared" si="11"/>
        <v>0</v>
      </c>
      <c r="AL96" s="188">
        <f t="shared" si="12"/>
        <v>0</v>
      </c>
    </row>
    <row r="97">
      <c r="A97" s="83">
        <v>95.0</v>
      </c>
      <c r="B97" s="229"/>
      <c r="C97" s="181"/>
      <c r="D97" s="181"/>
      <c r="E97" s="181"/>
      <c r="F97" s="182"/>
      <c r="G97" s="182"/>
      <c r="H97" s="182"/>
      <c r="I97" s="183"/>
      <c r="J97" s="184"/>
      <c r="K97" s="185">
        <f t="array" ref="K97">if( Rankings!$Q$6="y",index(Avgs!B:B,match(C97,Avgs!A:A,0))+index(Avgs!B:B,match(D97,Avgs!A:A,0))+index(Avgs!B:B,match(E97,Avgs!A:A,0)),0)</f>
        <v>0</v>
      </c>
      <c r="L97" s="186">
        <f t="array" ref="L97">if( Rankings!$Q$6="y",index(Avgs!B:B,match(F97,Avgs!A:A,0))+index(Avgs!B:B,match(G97,Avgs!A:A,0))+index(Avgs!B:B,match(H97,Avgs!A:A,0)),0)</f>
        <v>0</v>
      </c>
      <c r="M97" s="187">
        <f>if( Rankings!$Q$6="y",K97,0)</f>
        <v>0</v>
      </c>
      <c r="N97" s="186">
        <f>if( Rankings!$Q$6="y",L97,0)</f>
        <v>0</v>
      </c>
      <c r="O97" s="185">
        <f t="array" ref="O97">if( Rankings!$Q$6="y",index(Avgs!Q:Q,match(C97,Avgs!A:A,0))+index(Avgs!Q:Q,match(D97,Avgs!A:A,0))+index(Avgs!Q:Q,match(E97,Avgs!A:A,0)),0)</f>
        <v>0</v>
      </c>
      <c r="P97" s="186">
        <f t="array" ref="P97">if( Rankings!$Q$6="y",index(Avgs!Q:Q,match(F97,Avgs!A:A,0))+index(Avgs!Q:Q,match(G97,Avgs!A:A,0))+index(Avgs!Q:Q,match(H97,Avgs!A:A,0)),0)</f>
        <v>0</v>
      </c>
      <c r="Q97" s="185">
        <f t="array" ref="Q97">if( Rankings!$Q$6="y",index(Avgs!P:P,match(C97,Avgs!A:A,0))+index(Avgs!P:P,match(D97,Avgs!A:A,0))+index(Avgs!P:P,match(E97,Avgs!A:A,0)),0)</f>
        <v>0</v>
      </c>
      <c r="R97" s="186">
        <f t="array" ref="R97">if( Rankings!$Q$6="y",index(Avgs!P:P,match(F97,Avgs!A:A,0))+index(Avgs!P:P,match(G97,Avgs!A:A,0))+index(Avgs!P:P,match(H97,Avgs!A:A,0)),0)</f>
        <v>0</v>
      </c>
      <c r="S97" s="188" t="str">
        <f t="shared" si="1"/>
        <v>tie</v>
      </c>
      <c r="T97" s="188" t="str">
        <f t="shared" si="2"/>
        <v>tie</v>
      </c>
      <c r="U97" s="185">
        <f>if($B97&gt;Rankings!$Q$2,if(S97="red",2,if(S97="tie",1,0))+if(O97&gt;=12,1,0)+if(Q97&gt;=40,1,0),0)</f>
        <v>0</v>
      </c>
      <c r="V97" s="186">
        <f>if($B97&gt;Rankings!$Q$2,if(S97="blue",2,if(S97="tie",1,0))+if(P97&gt;=12,1,0)+if(R97&gt;=40,1,0),0)</f>
        <v>0</v>
      </c>
      <c r="W97" s="185">
        <f>if($B97&gt;Rankings!$Q$2,M97,0)</f>
        <v>0</v>
      </c>
      <c r="X97" s="186">
        <f>if($B97&gt;Rankings!$Q$2,N97,0)</f>
        <v>0</v>
      </c>
      <c r="Y97" s="81" t="str">
        <f t="shared" si="3"/>
        <v/>
      </c>
      <c r="Z97" s="77"/>
      <c r="AA97" s="84" t="str">
        <f>Avgs!A97</f>
        <v/>
      </c>
      <c r="AB97" s="188">
        <f t="shared" si="4"/>
        <v>0</v>
      </c>
      <c r="AC97" s="188">
        <f t="array" ref="AC97">if(Rankings!$Q$6="n",0,index(Rankings!$C$3:$C127,match(AA97,Rankings!$B$3:$B127,0)))</f>
        <v>0</v>
      </c>
      <c r="AD97" s="188">
        <f t="shared" si="5"/>
        <v>0</v>
      </c>
      <c r="AE97" s="188">
        <f t="shared" si="6"/>
        <v>0</v>
      </c>
      <c r="AF97" s="188">
        <f t="array" ref="AF97">if(Rankings!$Q$6="n",0,index(Rankings!$D$3:$D127,match(AA97,Rankings!$B$3:$B127,0)))</f>
        <v>0</v>
      </c>
      <c r="AG97" s="188">
        <f t="shared" si="7"/>
        <v>0</v>
      </c>
      <c r="AH97" s="188">
        <f t="shared" si="8"/>
        <v>-0.0952744727</v>
      </c>
      <c r="AI97" s="188">
        <f t="shared" si="9"/>
        <v>84</v>
      </c>
      <c r="AJ97" s="188" t="str">
        <f t="shared" si="10"/>
        <v/>
      </c>
      <c r="AK97" s="188">
        <f t="shared" si="11"/>
        <v>0</v>
      </c>
      <c r="AL97" s="188">
        <f t="shared" si="12"/>
        <v>0</v>
      </c>
    </row>
    <row r="98">
      <c r="A98" s="83">
        <v>96.0</v>
      </c>
      <c r="B98" s="229"/>
      <c r="C98" s="181"/>
      <c r="D98" s="181"/>
      <c r="E98" s="181"/>
      <c r="F98" s="182"/>
      <c r="G98" s="182"/>
      <c r="H98" s="182"/>
      <c r="I98" s="183"/>
      <c r="J98" s="184"/>
      <c r="K98" s="185">
        <f t="array" ref="K98">if( Rankings!$Q$6="y",index(Avgs!B:B,match(C98,Avgs!A:A,0))+index(Avgs!B:B,match(D98,Avgs!A:A,0))+index(Avgs!B:B,match(E98,Avgs!A:A,0)),0)</f>
        <v>0</v>
      </c>
      <c r="L98" s="186">
        <f t="array" ref="L98">if( Rankings!$Q$6="y",index(Avgs!B:B,match(F98,Avgs!A:A,0))+index(Avgs!B:B,match(G98,Avgs!A:A,0))+index(Avgs!B:B,match(H98,Avgs!A:A,0)),0)</f>
        <v>0</v>
      </c>
      <c r="M98" s="187">
        <f>if( Rankings!$Q$6="y",K98,0)</f>
        <v>0</v>
      </c>
      <c r="N98" s="186">
        <f>if( Rankings!$Q$6="y",L98,0)</f>
        <v>0</v>
      </c>
      <c r="O98" s="185">
        <f t="array" ref="O98">if( Rankings!$Q$6="y",index(Avgs!Q:Q,match(C98,Avgs!A:A,0))+index(Avgs!Q:Q,match(D98,Avgs!A:A,0))+index(Avgs!Q:Q,match(E98,Avgs!A:A,0)),0)</f>
        <v>0</v>
      </c>
      <c r="P98" s="186">
        <f t="array" ref="P98">if( Rankings!$Q$6="y",index(Avgs!Q:Q,match(F98,Avgs!A:A,0))+index(Avgs!Q:Q,match(G98,Avgs!A:A,0))+index(Avgs!Q:Q,match(H98,Avgs!A:A,0)),0)</f>
        <v>0</v>
      </c>
      <c r="Q98" s="185">
        <f t="array" ref="Q98">if( Rankings!$Q$6="y",index(Avgs!P:P,match(C98,Avgs!A:A,0))+index(Avgs!P:P,match(D98,Avgs!A:A,0))+index(Avgs!P:P,match(E98,Avgs!A:A,0)),0)</f>
        <v>0</v>
      </c>
      <c r="R98" s="186">
        <f t="array" ref="R98">if( Rankings!$Q$6="y",index(Avgs!P:P,match(F98,Avgs!A:A,0))+index(Avgs!P:P,match(G98,Avgs!A:A,0))+index(Avgs!P:P,match(H98,Avgs!A:A,0)),0)</f>
        <v>0</v>
      </c>
      <c r="S98" s="188" t="str">
        <f t="shared" si="1"/>
        <v>tie</v>
      </c>
      <c r="T98" s="188" t="str">
        <f t="shared" si="2"/>
        <v>tie</v>
      </c>
      <c r="U98" s="185">
        <f>if($B98&gt;Rankings!$Q$2,if(S98="red",2,if(S98="tie",1,0))+if(O98&gt;=12,1,0)+if(Q98&gt;=40,1,0),0)</f>
        <v>0</v>
      </c>
      <c r="V98" s="186">
        <f>if($B98&gt;Rankings!$Q$2,if(S98="blue",2,if(S98="tie",1,0))+if(P98&gt;=12,1,0)+if(R98&gt;=40,1,0),0)</f>
        <v>0</v>
      </c>
      <c r="W98" s="185">
        <f>if($B98&gt;Rankings!$Q$2,M98,0)</f>
        <v>0</v>
      </c>
      <c r="X98" s="186">
        <f>if($B98&gt;Rankings!$Q$2,N98,0)</f>
        <v>0</v>
      </c>
      <c r="Y98" s="81" t="str">
        <f t="shared" si="3"/>
        <v/>
      </c>
      <c r="Z98" s="77"/>
      <c r="AA98" s="84" t="str">
        <f>Avgs!A98</f>
        <v/>
      </c>
      <c r="AB98" s="188">
        <f t="shared" si="4"/>
        <v>0</v>
      </c>
      <c r="AC98" s="188">
        <f t="array" ref="AC98">if(Rankings!$Q$6="n",0,index(Rankings!$C$3:$C127,match(AA98,Rankings!$B$3:$B127,0)))</f>
        <v>0</v>
      </c>
      <c r="AD98" s="188">
        <f t="shared" si="5"/>
        <v>0</v>
      </c>
      <c r="AE98" s="188">
        <f t="shared" si="6"/>
        <v>0</v>
      </c>
      <c r="AF98" s="188">
        <f t="array" ref="AF98">if(Rankings!$Q$6="n",0,index(Rankings!$D$3:$D127,match(AA98,Rankings!$B$3:$B127,0)))</f>
        <v>0</v>
      </c>
      <c r="AG98" s="188">
        <f t="shared" si="7"/>
        <v>0</v>
      </c>
      <c r="AH98" s="188">
        <f t="shared" si="8"/>
        <v>-0.03181971945</v>
      </c>
      <c r="AI98" s="188">
        <f t="shared" si="9"/>
        <v>73</v>
      </c>
      <c r="AJ98" s="188" t="str">
        <f t="shared" si="10"/>
        <v/>
      </c>
      <c r="AK98" s="188">
        <f t="shared" si="11"/>
        <v>0</v>
      </c>
      <c r="AL98" s="188">
        <f t="shared" si="12"/>
        <v>0</v>
      </c>
    </row>
    <row r="99">
      <c r="A99" s="83">
        <v>97.0</v>
      </c>
      <c r="B99" s="229"/>
      <c r="C99" s="181"/>
      <c r="D99" s="181"/>
      <c r="E99" s="181"/>
      <c r="F99" s="182"/>
      <c r="G99" s="182"/>
      <c r="H99" s="182"/>
      <c r="I99" s="183"/>
      <c r="J99" s="184"/>
      <c r="K99" s="185">
        <f t="array" ref="K99">if( Rankings!$Q$6="y",index(Avgs!B:B,match(C99,Avgs!A:A,0))+index(Avgs!B:B,match(D99,Avgs!A:A,0))+index(Avgs!B:B,match(E99,Avgs!A:A,0)),0)</f>
        <v>0</v>
      </c>
      <c r="L99" s="186">
        <f t="array" ref="L99">if( Rankings!$Q$6="y",index(Avgs!B:B,match(F99,Avgs!A:A,0))+index(Avgs!B:B,match(G99,Avgs!A:A,0))+index(Avgs!B:B,match(H99,Avgs!A:A,0)),0)</f>
        <v>0</v>
      </c>
      <c r="M99" s="187">
        <f>if( Rankings!$Q$6="y",K99,0)</f>
        <v>0</v>
      </c>
      <c r="N99" s="186">
        <f>if( Rankings!$Q$6="y",L99,0)</f>
        <v>0</v>
      </c>
      <c r="O99" s="185">
        <f t="array" ref="O99">if( Rankings!$Q$6="y",index(Avgs!Q:Q,match(C99,Avgs!A:A,0))+index(Avgs!Q:Q,match(D99,Avgs!A:A,0))+index(Avgs!Q:Q,match(E99,Avgs!A:A,0)),0)</f>
        <v>0</v>
      </c>
      <c r="P99" s="186">
        <f t="array" ref="P99">if( Rankings!$Q$6="y",index(Avgs!Q:Q,match(F99,Avgs!A:A,0))+index(Avgs!Q:Q,match(G99,Avgs!A:A,0))+index(Avgs!Q:Q,match(H99,Avgs!A:A,0)),0)</f>
        <v>0</v>
      </c>
      <c r="Q99" s="185">
        <f t="array" ref="Q99">if( Rankings!$Q$6="y",index(Avgs!P:P,match(C99,Avgs!A:A,0))+index(Avgs!P:P,match(D99,Avgs!A:A,0))+index(Avgs!P:P,match(E99,Avgs!A:A,0)),0)</f>
        <v>0</v>
      </c>
      <c r="R99" s="186">
        <f t="array" ref="R99">if( Rankings!$Q$6="y",index(Avgs!P:P,match(F99,Avgs!A:A,0))+index(Avgs!P:P,match(G99,Avgs!A:A,0))+index(Avgs!P:P,match(H99,Avgs!A:A,0)),0)</f>
        <v>0</v>
      </c>
      <c r="S99" s="188" t="str">
        <f t="shared" si="1"/>
        <v>tie</v>
      </c>
      <c r="T99" s="188" t="str">
        <f t="shared" si="2"/>
        <v>tie</v>
      </c>
      <c r="U99" s="185">
        <f>if($B99&gt;Rankings!$Q$2,if(S99="red",2,if(S99="tie",1,0))+if(O99&gt;=12,1,0)+if(Q99&gt;=40,1,0),0)</f>
        <v>0</v>
      </c>
      <c r="V99" s="186">
        <f>if($B99&gt;Rankings!$Q$2,if(S99="blue",2,if(S99="tie",1,0))+if(P99&gt;=12,1,0)+if(R99&gt;=40,1,0),0)</f>
        <v>0</v>
      </c>
      <c r="W99" s="185">
        <f>if($B99&gt;Rankings!$Q$2,M99,0)</f>
        <v>0</v>
      </c>
      <c r="X99" s="186">
        <f>if($B99&gt;Rankings!$Q$2,N99,0)</f>
        <v>0</v>
      </c>
      <c r="Y99" s="81" t="str">
        <f t="shared" si="3"/>
        <v/>
      </c>
      <c r="Z99" s="77"/>
      <c r="AA99" s="84" t="str">
        <f>Avgs!A99</f>
        <v/>
      </c>
      <c r="AB99" s="188">
        <f t="shared" si="4"/>
        <v>0</v>
      </c>
      <c r="AC99" s="188">
        <f t="array" ref="AC99">if(Rankings!$Q$6="n",0,index(Rankings!$C$3:$C127,match(AA99,Rankings!$B$3:$B127,0)))</f>
        <v>0</v>
      </c>
      <c r="AD99" s="188">
        <f t="shared" si="5"/>
        <v>0</v>
      </c>
      <c r="AE99" s="188">
        <f t="shared" si="6"/>
        <v>0</v>
      </c>
      <c r="AF99" s="188">
        <f t="array" ref="AF99">if(Rankings!$Q$6="n",0,index(Rankings!$D$3:$D127,match(AA99,Rankings!$B$3:$B127,0)))</f>
        <v>0</v>
      </c>
      <c r="AG99" s="188">
        <f t="shared" si="7"/>
        <v>0</v>
      </c>
      <c r="AH99" s="188">
        <f t="shared" si="8"/>
        <v>-0.1254350018</v>
      </c>
      <c r="AI99" s="188">
        <f t="shared" si="9"/>
        <v>89</v>
      </c>
      <c r="AJ99" s="188" t="str">
        <f t="shared" si="10"/>
        <v/>
      </c>
      <c r="AK99" s="188">
        <f t="shared" si="11"/>
        <v>0</v>
      </c>
      <c r="AL99" s="188">
        <f t="shared" si="12"/>
        <v>0</v>
      </c>
    </row>
    <row r="100">
      <c r="A100" s="83">
        <v>98.0</v>
      </c>
      <c r="B100" s="229"/>
      <c r="C100" s="181"/>
      <c r="D100" s="181"/>
      <c r="E100" s="181"/>
      <c r="F100" s="182"/>
      <c r="G100" s="182"/>
      <c r="H100" s="182"/>
      <c r="I100" s="183"/>
      <c r="J100" s="184"/>
      <c r="K100" s="185">
        <f t="array" ref="K100">if( Rankings!$Q$6="y",index(Avgs!B:B,match(C100,Avgs!A:A,0))+index(Avgs!B:B,match(D100,Avgs!A:A,0))+index(Avgs!B:B,match(E100,Avgs!A:A,0)),0)</f>
        <v>0</v>
      </c>
      <c r="L100" s="186">
        <f t="array" ref="L100">if( Rankings!$Q$6="y",index(Avgs!B:B,match(F100,Avgs!A:A,0))+index(Avgs!B:B,match(G100,Avgs!A:A,0))+index(Avgs!B:B,match(H100,Avgs!A:A,0)),0)</f>
        <v>0</v>
      </c>
      <c r="M100" s="187">
        <f>if( Rankings!$Q$6="y",K100,0)</f>
        <v>0</v>
      </c>
      <c r="N100" s="186">
        <f>if( Rankings!$Q$6="y",L100,0)</f>
        <v>0</v>
      </c>
      <c r="O100" s="185">
        <f t="array" ref="O100">if( Rankings!$Q$6="y",index(Avgs!Q:Q,match(C100,Avgs!A:A,0))+index(Avgs!Q:Q,match(D100,Avgs!A:A,0))+index(Avgs!Q:Q,match(E100,Avgs!A:A,0)),0)</f>
        <v>0</v>
      </c>
      <c r="P100" s="186">
        <f t="array" ref="P100">if( Rankings!$Q$6="y",index(Avgs!Q:Q,match(F100,Avgs!A:A,0))+index(Avgs!Q:Q,match(G100,Avgs!A:A,0))+index(Avgs!Q:Q,match(H100,Avgs!A:A,0)),0)</f>
        <v>0</v>
      </c>
      <c r="Q100" s="185">
        <f t="array" ref="Q100">if( Rankings!$Q$6="y",index(Avgs!P:P,match(C100,Avgs!A:A,0))+index(Avgs!P:P,match(D100,Avgs!A:A,0))+index(Avgs!P:P,match(E100,Avgs!A:A,0)),0)</f>
        <v>0</v>
      </c>
      <c r="R100" s="186">
        <f t="array" ref="R100">if( Rankings!$Q$6="y",index(Avgs!P:P,match(F100,Avgs!A:A,0))+index(Avgs!P:P,match(G100,Avgs!A:A,0))+index(Avgs!P:P,match(H100,Avgs!A:A,0)),0)</f>
        <v>0</v>
      </c>
      <c r="S100" s="188" t="str">
        <f t="shared" si="1"/>
        <v>tie</v>
      </c>
      <c r="T100" s="188" t="str">
        <f t="shared" si="2"/>
        <v>tie</v>
      </c>
      <c r="U100" s="185">
        <f>if($B100&gt;Rankings!$Q$2,if(S100="red",2,if(S100="tie",1,0))+if(O100&gt;=12,1,0)+if(Q100&gt;=40,1,0),0)</f>
        <v>0</v>
      </c>
      <c r="V100" s="186">
        <f>if($B100&gt;Rankings!$Q$2,if(S100="blue",2,if(S100="tie",1,0))+if(P100&gt;=12,1,0)+if(R100&gt;=40,1,0),0)</f>
        <v>0</v>
      </c>
      <c r="W100" s="185">
        <f>if($B100&gt;Rankings!$Q$2,M100,0)</f>
        <v>0</v>
      </c>
      <c r="X100" s="186">
        <f>if($B100&gt;Rankings!$Q$2,N100,0)</f>
        <v>0</v>
      </c>
      <c r="Y100" s="81" t="str">
        <f t="shared" si="3"/>
        <v/>
      </c>
      <c r="Z100" s="77"/>
      <c r="AA100" s="84" t="str">
        <f>Avgs!A100</f>
        <v/>
      </c>
      <c r="AB100" s="188">
        <f t="shared" si="4"/>
        <v>0</v>
      </c>
      <c r="AC100" s="188">
        <f t="array" ref="AC100">if(Rankings!$Q$6="n",0,index(Rankings!$C$3:$C127,match(AA100,Rankings!$B$3:$B127,0)))</f>
        <v>0</v>
      </c>
      <c r="AD100" s="188">
        <f t="shared" si="5"/>
        <v>0</v>
      </c>
      <c r="AE100" s="188">
        <f t="shared" si="6"/>
        <v>0</v>
      </c>
      <c r="AF100" s="188">
        <f t="array" ref="AF100">if(Rankings!$Q$6="n",0,index(Rankings!$D$3:$D127,match(AA100,Rankings!$B$3:$B127,0)))</f>
        <v>0</v>
      </c>
      <c r="AG100" s="188">
        <f t="shared" si="7"/>
        <v>0</v>
      </c>
      <c r="AH100" s="188">
        <f t="shared" si="8"/>
        <v>-0.0001862393626</v>
      </c>
      <c r="AI100" s="188">
        <f t="shared" si="9"/>
        <v>48</v>
      </c>
      <c r="AJ100" s="188" t="str">
        <f t="shared" si="10"/>
        <v/>
      </c>
      <c r="AK100" s="188">
        <f t="shared" si="11"/>
        <v>0</v>
      </c>
      <c r="AL100" s="188">
        <f t="shared" si="12"/>
        <v>0</v>
      </c>
    </row>
    <row r="101">
      <c r="A101" s="83">
        <v>99.0</v>
      </c>
      <c r="B101" s="229"/>
      <c r="C101" s="181"/>
      <c r="D101" s="181"/>
      <c r="E101" s="181"/>
      <c r="F101" s="182"/>
      <c r="G101" s="182"/>
      <c r="H101" s="182"/>
      <c r="I101" s="183"/>
      <c r="J101" s="184"/>
      <c r="K101" s="185">
        <f t="array" ref="K101">if( Rankings!$Q$6="y",index(Avgs!B:B,match(C101,Avgs!A:A,0))+index(Avgs!B:B,match(D101,Avgs!A:A,0))+index(Avgs!B:B,match(E101,Avgs!A:A,0)),0)</f>
        <v>0</v>
      </c>
      <c r="L101" s="186">
        <f t="array" ref="L101">if( Rankings!$Q$6="y",index(Avgs!B:B,match(F101,Avgs!A:A,0))+index(Avgs!B:B,match(G101,Avgs!A:A,0))+index(Avgs!B:B,match(H101,Avgs!A:A,0)),0)</f>
        <v>0</v>
      </c>
      <c r="M101" s="187">
        <f>if( Rankings!$Q$6="y",K101,0)</f>
        <v>0</v>
      </c>
      <c r="N101" s="186">
        <f>if( Rankings!$Q$6="y",L101,0)</f>
        <v>0</v>
      </c>
      <c r="O101" s="185">
        <f t="array" ref="O101">if( Rankings!$Q$6="y",index(Avgs!Q:Q,match(C101,Avgs!A:A,0))+index(Avgs!Q:Q,match(D101,Avgs!A:A,0))+index(Avgs!Q:Q,match(E101,Avgs!A:A,0)),0)</f>
        <v>0</v>
      </c>
      <c r="P101" s="186">
        <f t="array" ref="P101">if( Rankings!$Q$6="y",index(Avgs!Q:Q,match(F101,Avgs!A:A,0))+index(Avgs!Q:Q,match(G101,Avgs!A:A,0))+index(Avgs!Q:Q,match(H101,Avgs!A:A,0)),0)</f>
        <v>0</v>
      </c>
      <c r="Q101" s="185">
        <f t="array" ref="Q101">if( Rankings!$Q$6="y",index(Avgs!P:P,match(C101,Avgs!A:A,0))+index(Avgs!P:P,match(D101,Avgs!A:A,0))+index(Avgs!P:P,match(E101,Avgs!A:A,0)),0)</f>
        <v>0</v>
      </c>
      <c r="R101" s="186">
        <f t="array" ref="R101">if( Rankings!$Q$6="y",index(Avgs!P:P,match(F101,Avgs!A:A,0))+index(Avgs!P:P,match(G101,Avgs!A:A,0))+index(Avgs!P:P,match(H101,Avgs!A:A,0)),0)</f>
        <v>0</v>
      </c>
      <c r="S101" s="188" t="str">
        <f t="shared" si="1"/>
        <v>tie</v>
      </c>
      <c r="T101" s="188" t="str">
        <f t="shared" si="2"/>
        <v>tie</v>
      </c>
      <c r="U101" s="185">
        <f>if($B101&gt;Rankings!$Q$2,if(S101="red",2,if(S101="tie",1,0))+if(O101&gt;=12,1,0)+if(Q101&gt;=40,1,0),0)</f>
        <v>0</v>
      </c>
      <c r="V101" s="186">
        <f>if($B101&gt;Rankings!$Q$2,if(S101="blue",2,if(S101="tie",1,0))+if(P101&gt;=12,1,0)+if(R101&gt;=40,1,0),0)</f>
        <v>0</v>
      </c>
      <c r="W101" s="185">
        <f>if($B101&gt;Rankings!$Q$2,M101,0)</f>
        <v>0</v>
      </c>
      <c r="X101" s="186">
        <f>if($B101&gt;Rankings!$Q$2,N101,0)</f>
        <v>0</v>
      </c>
      <c r="Y101" s="81" t="str">
        <f t="shared" si="3"/>
        <v/>
      </c>
      <c r="Z101" s="77"/>
      <c r="AA101" s="84" t="str">
        <f>Avgs!A101</f>
        <v/>
      </c>
      <c r="AB101" s="188">
        <f t="shared" si="4"/>
        <v>0</v>
      </c>
      <c r="AC101" s="188">
        <f t="array" ref="AC101">if(Rankings!$Q$6="n",0,index(Rankings!$C$3:$C127,match(AA101,Rankings!$B$3:$B127,0)))</f>
        <v>0</v>
      </c>
      <c r="AD101" s="188">
        <f t="shared" si="5"/>
        <v>0</v>
      </c>
      <c r="AE101" s="188">
        <f t="shared" si="6"/>
        <v>0</v>
      </c>
      <c r="AF101" s="188">
        <f t="array" ref="AF101">if(Rankings!$Q$6="n",0,index(Rankings!$D$3:$D127,match(AA101,Rankings!$B$3:$B127,0)))</f>
        <v>0</v>
      </c>
      <c r="AG101" s="188">
        <f t="shared" si="7"/>
        <v>0</v>
      </c>
      <c r="AH101" s="188">
        <f t="shared" si="8"/>
        <v>-0.02571524208</v>
      </c>
      <c r="AI101" s="188">
        <f t="shared" si="9"/>
        <v>69</v>
      </c>
      <c r="AJ101" s="188" t="str">
        <f t="shared" si="10"/>
        <v/>
      </c>
      <c r="AK101" s="188">
        <f t="shared" si="11"/>
        <v>0</v>
      </c>
      <c r="AL101" s="188">
        <f t="shared" si="12"/>
        <v>0</v>
      </c>
    </row>
    <row r="102">
      <c r="A102" s="83">
        <v>100.0</v>
      </c>
      <c r="B102" s="229"/>
      <c r="C102" s="181"/>
      <c r="D102" s="181"/>
      <c r="E102" s="181"/>
      <c r="F102" s="182"/>
      <c r="G102" s="182"/>
      <c r="H102" s="182"/>
      <c r="I102" s="183"/>
      <c r="J102" s="184"/>
      <c r="K102" s="185">
        <f t="array" ref="K102">if( Rankings!$Q$6="y",index(Avgs!B:B,match(C102,Avgs!A:A,0))+index(Avgs!B:B,match(D102,Avgs!A:A,0))+index(Avgs!B:B,match(E102,Avgs!A:A,0)),0)</f>
        <v>0</v>
      </c>
      <c r="L102" s="186">
        <f t="array" ref="L102">if( Rankings!$Q$6="y",index(Avgs!B:B,match(F102,Avgs!A:A,0))+index(Avgs!B:B,match(G102,Avgs!A:A,0))+index(Avgs!B:B,match(H102,Avgs!A:A,0)),0)</f>
        <v>0</v>
      </c>
      <c r="M102" s="187">
        <f>if( Rankings!$Q$6="y",K102,0)</f>
        <v>0</v>
      </c>
      <c r="N102" s="186">
        <f>if( Rankings!$Q$6="y",L102,0)</f>
        <v>0</v>
      </c>
      <c r="O102" s="185">
        <f t="array" ref="O102">if( Rankings!$Q$6="y",index(Avgs!Q:Q,match(C102,Avgs!A:A,0))+index(Avgs!Q:Q,match(D102,Avgs!A:A,0))+index(Avgs!Q:Q,match(E102,Avgs!A:A,0)),0)</f>
        <v>0</v>
      </c>
      <c r="P102" s="186">
        <f t="array" ref="P102">if( Rankings!$Q$6="y",index(Avgs!Q:Q,match(F102,Avgs!A:A,0))+index(Avgs!Q:Q,match(G102,Avgs!A:A,0))+index(Avgs!Q:Q,match(H102,Avgs!A:A,0)),0)</f>
        <v>0</v>
      </c>
      <c r="Q102" s="185">
        <f t="array" ref="Q102">if( Rankings!$Q$6="y",index(Avgs!P:P,match(C102,Avgs!A:A,0))+index(Avgs!P:P,match(D102,Avgs!A:A,0))+index(Avgs!P:P,match(E102,Avgs!A:A,0)),0)</f>
        <v>0</v>
      </c>
      <c r="R102" s="186">
        <f t="array" ref="R102">if( Rankings!$Q$6="y",index(Avgs!P:P,match(F102,Avgs!A:A,0))+index(Avgs!P:P,match(G102,Avgs!A:A,0))+index(Avgs!P:P,match(H102,Avgs!A:A,0)),0)</f>
        <v>0</v>
      </c>
      <c r="S102" s="188" t="str">
        <f t="shared" si="1"/>
        <v>tie</v>
      </c>
      <c r="T102" s="188" t="str">
        <f t="shared" si="2"/>
        <v>tie</v>
      </c>
      <c r="U102" s="185">
        <f>if($B102&gt;Rankings!$Q$2,if(S102="red",2,if(S102="tie",1,0))+if(O102&gt;=12,1,0)+if(Q102&gt;=40,1,0),0)</f>
        <v>0</v>
      </c>
      <c r="V102" s="186">
        <f>if($B102&gt;Rankings!$Q$2,if(S102="blue",2,if(S102="tie",1,0))+if(P102&gt;=12,1,0)+if(R102&gt;=40,1,0),0)</f>
        <v>0</v>
      </c>
      <c r="W102" s="185">
        <f>if($B102&gt;Rankings!$Q$2,M102,0)</f>
        <v>0</v>
      </c>
      <c r="X102" s="186">
        <f>if($B102&gt;Rankings!$Q$2,N102,0)</f>
        <v>0</v>
      </c>
      <c r="Y102" s="81" t="str">
        <f t="shared" si="3"/>
        <v/>
      </c>
      <c r="Z102" s="77"/>
      <c r="AA102" s="84" t="str">
        <f>Avgs!A102</f>
        <v/>
      </c>
      <c r="AB102" s="188">
        <f t="shared" si="4"/>
        <v>0</v>
      </c>
      <c r="AC102" s="188">
        <f t="array" ref="AC102">if(Rankings!$Q$6="n",0,index(Rankings!$C$3:$C127,match(AA102,Rankings!$B$3:$B127,0)))</f>
        <v>0</v>
      </c>
      <c r="AD102" s="188">
        <f t="shared" si="5"/>
        <v>0</v>
      </c>
      <c r="AE102" s="188">
        <f t="shared" si="6"/>
        <v>0</v>
      </c>
      <c r="AF102" s="188">
        <f t="array" ref="AF102">if(Rankings!$Q$6="n",0,index(Rankings!$D$3:$D127,match(AA102,Rankings!$B$3:$B127,0)))</f>
        <v>0</v>
      </c>
      <c r="AG102" s="188">
        <f t="shared" si="7"/>
        <v>0</v>
      </c>
      <c r="AH102" s="188">
        <f t="shared" si="8"/>
        <v>-0.002586477094</v>
      </c>
      <c r="AI102" s="188">
        <f t="shared" si="9"/>
        <v>52</v>
      </c>
      <c r="AJ102" s="188" t="str">
        <f t="shared" si="10"/>
        <v/>
      </c>
      <c r="AK102" s="188">
        <f t="shared" si="11"/>
        <v>0</v>
      </c>
      <c r="AL102" s="188">
        <f t="shared" si="12"/>
        <v>0</v>
      </c>
    </row>
    <row r="103">
      <c r="A103" s="83">
        <v>101.0</v>
      </c>
      <c r="B103" s="229"/>
      <c r="C103" s="181"/>
      <c r="D103" s="181"/>
      <c r="E103" s="181"/>
      <c r="F103" s="182"/>
      <c r="G103" s="182"/>
      <c r="H103" s="182"/>
      <c r="I103" s="183"/>
      <c r="J103" s="184"/>
      <c r="K103" s="185">
        <f t="array" ref="K103">if( Rankings!$Q$6="y",index(Avgs!B:B,match(C103,Avgs!A:A,0))+index(Avgs!B:B,match(D103,Avgs!A:A,0))+index(Avgs!B:B,match(E103,Avgs!A:A,0)),0)</f>
        <v>0</v>
      </c>
      <c r="L103" s="186">
        <f t="array" ref="L103">if( Rankings!$Q$6="y",index(Avgs!B:B,match(F103,Avgs!A:A,0))+index(Avgs!B:B,match(G103,Avgs!A:A,0))+index(Avgs!B:B,match(H103,Avgs!A:A,0)),0)</f>
        <v>0</v>
      </c>
      <c r="M103" s="187">
        <f>if( Rankings!$Q$6="y",K103,0)</f>
        <v>0</v>
      </c>
      <c r="N103" s="186">
        <f>if( Rankings!$Q$6="y",L103,0)</f>
        <v>0</v>
      </c>
      <c r="O103" s="185">
        <f t="array" ref="O103">if( Rankings!$Q$6="y",index(Avgs!Q:Q,match(C103,Avgs!A:A,0))+index(Avgs!Q:Q,match(D103,Avgs!A:A,0))+index(Avgs!Q:Q,match(E103,Avgs!A:A,0)),0)</f>
        <v>0</v>
      </c>
      <c r="P103" s="186">
        <f t="array" ref="P103">if( Rankings!$Q$6="y",index(Avgs!Q:Q,match(F103,Avgs!A:A,0))+index(Avgs!Q:Q,match(G103,Avgs!A:A,0))+index(Avgs!Q:Q,match(H103,Avgs!A:A,0)),0)</f>
        <v>0</v>
      </c>
      <c r="Q103" s="185">
        <f t="array" ref="Q103">if( Rankings!$Q$6="y",index(Avgs!P:P,match(C103,Avgs!A:A,0))+index(Avgs!P:P,match(D103,Avgs!A:A,0))+index(Avgs!P:P,match(E103,Avgs!A:A,0)),0)</f>
        <v>0</v>
      </c>
      <c r="R103" s="186">
        <f t="array" ref="R103">if( Rankings!$Q$6="y",index(Avgs!P:P,match(F103,Avgs!A:A,0))+index(Avgs!P:P,match(G103,Avgs!A:A,0))+index(Avgs!P:P,match(H103,Avgs!A:A,0)),0)</f>
        <v>0</v>
      </c>
      <c r="S103" s="188" t="str">
        <f t="shared" si="1"/>
        <v>tie</v>
      </c>
      <c r="T103" s="188" t="str">
        <f t="shared" si="2"/>
        <v>tie</v>
      </c>
      <c r="U103" s="185">
        <f>if($B103&gt;Rankings!$Q$2,if(S103="red",2,if(S103="tie",1,0))+if(O103&gt;=12,1,0)+if(Q103&gt;=40,1,0),0)</f>
        <v>0</v>
      </c>
      <c r="V103" s="186">
        <f>if($B103&gt;Rankings!$Q$2,if(S103="blue",2,if(S103="tie",1,0))+if(P103&gt;=12,1,0)+if(R103&gt;=40,1,0),0)</f>
        <v>0</v>
      </c>
      <c r="W103" s="185">
        <f>if($B103&gt;Rankings!$Q$2,M103,0)</f>
        <v>0</v>
      </c>
      <c r="X103" s="186">
        <f>if($B103&gt;Rankings!$Q$2,N103,0)</f>
        <v>0</v>
      </c>
      <c r="Y103" s="81" t="str">
        <f t="shared" si="3"/>
        <v/>
      </c>
      <c r="Z103" s="77"/>
      <c r="AA103" s="84" t="str">
        <f>Avgs!A103</f>
        <v/>
      </c>
      <c r="AB103" s="188"/>
      <c r="AC103" s="188"/>
      <c r="AD103" s="188"/>
      <c r="AE103" s="188"/>
      <c r="AF103" s="188"/>
      <c r="AG103" s="188"/>
      <c r="AH103" s="188"/>
      <c r="AI103" s="188"/>
      <c r="AJ103" s="188"/>
      <c r="AK103" s="188"/>
      <c r="AL103" s="188"/>
    </row>
    <row r="104">
      <c r="A104" s="83">
        <v>102.0</v>
      </c>
      <c r="B104" s="229"/>
      <c r="C104" s="181"/>
      <c r="D104" s="181"/>
      <c r="E104" s="181"/>
      <c r="F104" s="182"/>
      <c r="G104" s="182"/>
      <c r="H104" s="182"/>
      <c r="I104" s="183"/>
      <c r="J104" s="184"/>
      <c r="K104" s="185">
        <f t="array" ref="K104">if( Rankings!$Q$6="y",index(Avgs!B:B,match(C104,Avgs!A:A,0))+index(Avgs!B:B,match(D104,Avgs!A:A,0))+index(Avgs!B:B,match(E104,Avgs!A:A,0)),0)</f>
        <v>0</v>
      </c>
      <c r="L104" s="186">
        <f t="array" ref="L104">if( Rankings!$Q$6="y",index(Avgs!B:B,match(F104,Avgs!A:A,0))+index(Avgs!B:B,match(G104,Avgs!A:A,0))+index(Avgs!B:B,match(H104,Avgs!A:A,0)),0)</f>
        <v>0</v>
      </c>
      <c r="M104" s="187">
        <f>if( Rankings!$Q$6="y",K104,0)</f>
        <v>0</v>
      </c>
      <c r="N104" s="186">
        <f>if( Rankings!$Q$6="y",L104,0)</f>
        <v>0</v>
      </c>
      <c r="O104" s="185">
        <f t="array" ref="O104">if( Rankings!$Q$6="y",index(Avgs!Q:Q,match(C104,Avgs!A:A,0))+index(Avgs!Q:Q,match(D104,Avgs!A:A,0))+index(Avgs!Q:Q,match(E104,Avgs!A:A,0)),0)</f>
        <v>0</v>
      </c>
      <c r="P104" s="186">
        <f t="array" ref="P104">if( Rankings!$Q$6="y",index(Avgs!Q:Q,match(F104,Avgs!A:A,0))+index(Avgs!Q:Q,match(G104,Avgs!A:A,0))+index(Avgs!Q:Q,match(H104,Avgs!A:A,0)),0)</f>
        <v>0</v>
      </c>
      <c r="Q104" s="185">
        <f t="array" ref="Q104">if( Rankings!$Q$6="y",index(Avgs!P:P,match(C104,Avgs!A:A,0))+index(Avgs!P:P,match(D104,Avgs!A:A,0))+index(Avgs!P:P,match(E104,Avgs!A:A,0)),0)</f>
        <v>0</v>
      </c>
      <c r="R104" s="186">
        <f t="array" ref="R104">if( Rankings!$Q$6="y",index(Avgs!P:P,match(F104,Avgs!A:A,0))+index(Avgs!P:P,match(G104,Avgs!A:A,0))+index(Avgs!P:P,match(H104,Avgs!A:A,0)),0)</f>
        <v>0</v>
      </c>
      <c r="S104" s="188" t="str">
        <f t="shared" si="1"/>
        <v>tie</v>
      </c>
      <c r="T104" s="188" t="str">
        <f t="shared" si="2"/>
        <v>tie</v>
      </c>
      <c r="U104" s="185">
        <f>if($B104&gt;Rankings!$Q$2,if(S104="red",2,if(S104="tie",1,0))+if(O104&gt;=12,1,0)+if(Q104&gt;=40,1,0),0)</f>
        <v>0</v>
      </c>
      <c r="V104" s="186">
        <f>if($B104&gt;Rankings!$Q$2,if(S104="blue",2,if(S104="tie",1,0))+if(P104&gt;=12,1,0)+if(R104&gt;=40,1,0),0)</f>
        <v>0</v>
      </c>
      <c r="W104" s="185">
        <f>if($B104&gt;Rankings!$Q$2,M104,0)</f>
        <v>0</v>
      </c>
      <c r="X104" s="186">
        <f>if($B104&gt;Rankings!$Q$2,N104,0)</f>
        <v>0</v>
      </c>
      <c r="Y104" s="81" t="str">
        <f t="shared" si="3"/>
        <v/>
      </c>
      <c r="Z104" s="77"/>
      <c r="AA104" s="84" t="str">
        <f>Avgs!A104</f>
        <v/>
      </c>
      <c r="AB104" s="188"/>
      <c r="AC104" s="188"/>
      <c r="AD104" s="188"/>
      <c r="AE104" s="188"/>
      <c r="AF104" s="188"/>
      <c r="AG104" s="188"/>
      <c r="AH104" s="188"/>
      <c r="AI104" s="188"/>
      <c r="AJ104" s="188"/>
      <c r="AK104" s="188"/>
      <c r="AL104" s="188"/>
    </row>
    <row r="105">
      <c r="A105" s="83">
        <v>103.0</v>
      </c>
      <c r="B105" s="229"/>
      <c r="C105" s="181"/>
      <c r="D105" s="181"/>
      <c r="E105" s="181"/>
      <c r="F105" s="182"/>
      <c r="G105" s="182"/>
      <c r="H105" s="182"/>
      <c r="I105" s="183"/>
      <c r="J105" s="184"/>
      <c r="K105" s="185">
        <f t="array" ref="K105">if( Rankings!$Q$6="y",index(Avgs!B:B,match(C105,Avgs!A:A,0))+index(Avgs!B:B,match(D105,Avgs!A:A,0))+index(Avgs!B:B,match(E105,Avgs!A:A,0)),0)</f>
        <v>0</v>
      </c>
      <c r="L105" s="186">
        <f t="array" ref="L105">if( Rankings!$Q$6="y",index(Avgs!B:B,match(F105,Avgs!A:A,0))+index(Avgs!B:B,match(G105,Avgs!A:A,0))+index(Avgs!B:B,match(H105,Avgs!A:A,0)),0)</f>
        <v>0</v>
      </c>
      <c r="M105" s="187">
        <f>if( Rankings!$Q$6="y",K105,0)</f>
        <v>0</v>
      </c>
      <c r="N105" s="186">
        <f>if( Rankings!$Q$6="y",L105,0)</f>
        <v>0</v>
      </c>
      <c r="O105" s="185">
        <f t="array" ref="O105">if( Rankings!$Q$6="y",index(Avgs!Q:Q,match(C105,Avgs!A:A,0))+index(Avgs!Q:Q,match(D105,Avgs!A:A,0))+index(Avgs!Q:Q,match(E105,Avgs!A:A,0)),0)</f>
        <v>0</v>
      </c>
      <c r="P105" s="186">
        <f t="array" ref="P105">if( Rankings!$Q$6="y",index(Avgs!Q:Q,match(F105,Avgs!A:A,0))+index(Avgs!Q:Q,match(G105,Avgs!A:A,0))+index(Avgs!Q:Q,match(H105,Avgs!A:A,0)),0)</f>
        <v>0</v>
      </c>
      <c r="Q105" s="185">
        <f t="array" ref="Q105">if( Rankings!$Q$6="y",index(Avgs!P:P,match(C105,Avgs!A:A,0))+index(Avgs!P:P,match(D105,Avgs!A:A,0))+index(Avgs!P:P,match(E105,Avgs!A:A,0)),0)</f>
        <v>0</v>
      </c>
      <c r="R105" s="186">
        <f t="array" ref="R105">if( Rankings!$Q$6="y",index(Avgs!P:P,match(F105,Avgs!A:A,0))+index(Avgs!P:P,match(G105,Avgs!A:A,0))+index(Avgs!P:P,match(H105,Avgs!A:A,0)),0)</f>
        <v>0</v>
      </c>
      <c r="S105" s="188" t="str">
        <f t="shared" si="1"/>
        <v>tie</v>
      </c>
      <c r="T105" s="188" t="str">
        <f t="shared" si="2"/>
        <v>tie</v>
      </c>
      <c r="U105" s="185">
        <f>if($B105&gt;Rankings!$Q$2,if(S105="red",2,if(S105="tie",1,0))+if(O105&gt;=12,1,0)+if(Q105&gt;=40,1,0),0)</f>
        <v>0</v>
      </c>
      <c r="V105" s="186">
        <f>if($B105&gt;Rankings!$Q$2,if(S105="blue",2,if(S105="tie",1,0))+if(P105&gt;=12,1,0)+if(R105&gt;=40,1,0),0)</f>
        <v>0</v>
      </c>
      <c r="W105" s="185">
        <f>if($B105&gt;Rankings!$Q$2,M105,0)</f>
        <v>0</v>
      </c>
      <c r="X105" s="186">
        <f>if($B105&gt;Rankings!$Q$2,N105,0)</f>
        <v>0</v>
      </c>
      <c r="Y105" s="81" t="str">
        <f t="shared" si="3"/>
        <v/>
      </c>
      <c r="Z105" s="77"/>
      <c r="AA105" s="84" t="str">
        <f>Avgs!A105</f>
        <v/>
      </c>
      <c r="AB105" s="188"/>
      <c r="AC105" s="188"/>
      <c r="AD105" s="188"/>
      <c r="AE105" s="188"/>
      <c r="AF105" s="188"/>
      <c r="AG105" s="188"/>
      <c r="AH105" s="188"/>
      <c r="AI105" s="188"/>
      <c r="AJ105" s="188"/>
      <c r="AK105" s="188"/>
      <c r="AL105" s="188"/>
    </row>
    <row r="106">
      <c r="A106" s="83">
        <v>104.0</v>
      </c>
      <c r="B106" s="229"/>
      <c r="C106" s="181"/>
      <c r="D106" s="181"/>
      <c r="E106" s="181"/>
      <c r="F106" s="182"/>
      <c r="G106" s="182"/>
      <c r="H106" s="182"/>
      <c r="I106" s="183"/>
      <c r="J106" s="184"/>
      <c r="K106" s="185">
        <f t="array" ref="K106">if( Rankings!$Q$6="y",index(Avgs!B:B,match(C106,Avgs!A:A,0))+index(Avgs!B:B,match(D106,Avgs!A:A,0))+index(Avgs!B:B,match(E106,Avgs!A:A,0)),0)</f>
        <v>0</v>
      </c>
      <c r="L106" s="186">
        <f t="array" ref="L106">if( Rankings!$Q$6="y",index(Avgs!B:B,match(F106,Avgs!A:A,0))+index(Avgs!B:B,match(G106,Avgs!A:A,0))+index(Avgs!B:B,match(H106,Avgs!A:A,0)),0)</f>
        <v>0</v>
      </c>
      <c r="M106" s="187">
        <f>if( Rankings!$Q$6="y",K106,0)</f>
        <v>0</v>
      </c>
      <c r="N106" s="186">
        <f>if( Rankings!$Q$6="y",L106,0)</f>
        <v>0</v>
      </c>
      <c r="O106" s="185">
        <f t="array" ref="O106">if( Rankings!$Q$6="y",index(Avgs!Q:Q,match(C106,Avgs!A:A,0))+index(Avgs!Q:Q,match(D106,Avgs!A:A,0))+index(Avgs!Q:Q,match(E106,Avgs!A:A,0)),0)</f>
        <v>0</v>
      </c>
      <c r="P106" s="186">
        <f t="array" ref="P106">if( Rankings!$Q$6="y",index(Avgs!Q:Q,match(F106,Avgs!A:A,0))+index(Avgs!Q:Q,match(G106,Avgs!A:A,0))+index(Avgs!Q:Q,match(H106,Avgs!A:A,0)),0)</f>
        <v>0</v>
      </c>
      <c r="Q106" s="185">
        <f t="array" ref="Q106">if( Rankings!$Q$6="y",index(Avgs!P:P,match(C106,Avgs!A:A,0))+index(Avgs!P:P,match(D106,Avgs!A:A,0))+index(Avgs!P:P,match(E106,Avgs!A:A,0)),0)</f>
        <v>0</v>
      </c>
      <c r="R106" s="186">
        <f t="array" ref="R106">if( Rankings!$Q$6="y",index(Avgs!P:P,match(F106,Avgs!A:A,0))+index(Avgs!P:P,match(G106,Avgs!A:A,0))+index(Avgs!P:P,match(H106,Avgs!A:A,0)),0)</f>
        <v>0</v>
      </c>
      <c r="S106" s="188" t="str">
        <f t="shared" si="1"/>
        <v>tie</v>
      </c>
      <c r="T106" s="188" t="str">
        <f t="shared" si="2"/>
        <v>tie</v>
      </c>
      <c r="U106" s="185">
        <f>if($B106&gt;Rankings!$Q$2,if(S106="red",2,if(S106="tie",1,0))+if(O106&gt;=12,1,0)+if(Q106&gt;=40,1,0),0)</f>
        <v>0</v>
      </c>
      <c r="V106" s="186">
        <f>if($B106&gt;Rankings!$Q$2,if(S106="blue",2,if(S106="tie",1,0))+if(P106&gt;=12,1,0)+if(R106&gt;=40,1,0),0)</f>
        <v>0</v>
      </c>
      <c r="W106" s="185">
        <f>if($B106&gt;Rankings!$Q$2,M106,0)</f>
        <v>0</v>
      </c>
      <c r="X106" s="186">
        <f>if($B106&gt;Rankings!$Q$2,N106,0)</f>
        <v>0</v>
      </c>
      <c r="Y106" s="81" t="str">
        <f t="shared" si="3"/>
        <v/>
      </c>
      <c r="Z106" s="77"/>
      <c r="AA106" s="84" t="str">
        <f>Avgs!A106</f>
        <v/>
      </c>
      <c r="AB106" s="188"/>
      <c r="AC106" s="188"/>
      <c r="AD106" s="188"/>
      <c r="AE106" s="188"/>
      <c r="AF106" s="188"/>
      <c r="AG106" s="188"/>
      <c r="AH106" s="188"/>
      <c r="AI106" s="188"/>
      <c r="AJ106" s="188"/>
      <c r="AK106" s="188"/>
      <c r="AL106" s="188"/>
    </row>
    <row r="107">
      <c r="A107" s="83">
        <v>105.0</v>
      </c>
      <c r="B107" s="229"/>
      <c r="C107" s="181"/>
      <c r="D107" s="181"/>
      <c r="E107" s="181"/>
      <c r="F107" s="182"/>
      <c r="G107" s="182"/>
      <c r="H107" s="182"/>
      <c r="I107" s="183"/>
      <c r="J107" s="184"/>
      <c r="K107" s="185">
        <f t="array" ref="K107">if( Rankings!$Q$6="y",index(Avgs!B:B,match(C107,Avgs!A:A,0))+index(Avgs!B:B,match(D107,Avgs!A:A,0))+index(Avgs!B:B,match(E107,Avgs!A:A,0)),0)</f>
        <v>0</v>
      </c>
      <c r="L107" s="186">
        <f t="array" ref="L107">if( Rankings!$Q$6="y",index(Avgs!B:B,match(F107,Avgs!A:A,0))+index(Avgs!B:B,match(G107,Avgs!A:A,0))+index(Avgs!B:B,match(H107,Avgs!A:A,0)),0)</f>
        <v>0</v>
      </c>
      <c r="M107" s="187">
        <f>if( Rankings!$Q$6="y",K107,0)</f>
        <v>0</v>
      </c>
      <c r="N107" s="186">
        <f>if( Rankings!$Q$6="y",L107,0)</f>
        <v>0</v>
      </c>
      <c r="O107" s="185">
        <f t="array" ref="O107">if( Rankings!$Q$6="y",index(Avgs!Q:Q,match(C107,Avgs!A:A,0))+index(Avgs!Q:Q,match(D107,Avgs!A:A,0))+index(Avgs!Q:Q,match(E107,Avgs!A:A,0)),0)</f>
        <v>0</v>
      </c>
      <c r="P107" s="186">
        <f t="array" ref="P107">if( Rankings!$Q$6="y",index(Avgs!Q:Q,match(F107,Avgs!A:A,0))+index(Avgs!Q:Q,match(G107,Avgs!A:A,0))+index(Avgs!Q:Q,match(H107,Avgs!A:A,0)),0)</f>
        <v>0</v>
      </c>
      <c r="Q107" s="185">
        <f t="array" ref="Q107">if( Rankings!$Q$6="y",index(Avgs!P:P,match(C107,Avgs!A:A,0))+index(Avgs!P:P,match(D107,Avgs!A:A,0))+index(Avgs!P:P,match(E107,Avgs!A:A,0)),0)</f>
        <v>0</v>
      </c>
      <c r="R107" s="186">
        <f t="array" ref="R107">if( Rankings!$Q$6="y",index(Avgs!P:P,match(F107,Avgs!A:A,0))+index(Avgs!P:P,match(G107,Avgs!A:A,0))+index(Avgs!P:P,match(H107,Avgs!A:A,0)),0)</f>
        <v>0</v>
      </c>
      <c r="S107" s="188" t="str">
        <f t="shared" si="1"/>
        <v>tie</v>
      </c>
      <c r="T107" s="188" t="str">
        <f t="shared" si="2"/>
        <v>tie</v>
      </c>
      <c r="U107" s="185">
        <f>if($B107&gt;Rankings!$Q$2,if(S107="red",2,if(S107="tie",1,0))+if(O107&gt;=12,1,0)+if(Q107&gt;=40,1,0),0)</f>
        <v>0</v>
      </c>
      <c r="V107" s="186">
        <f>if($B107&gt;Rankings!$Q$2,if(S107="blue",2,if(S107="tie",1,0))+if(P107&gt;=12,1,0)+if(R107&gt;=40,1,0),0)</f>
        <v>0</v>
      </c>
      <c r="W107" s="185">
        <f>if($B107&gt;Rankings!$Q$2,M107,0)</f>
        <v>0</v>
      </c>
      <c r="X107" s="186">
        <f>if($B107&gt;Rankings!$Q$2,N107,0)</f>
        <v>0</v>
      </c>
      <c r="Y107" s="81" t="str">
        <f t="shared" si="3"/>
        <v/>
      </c>
      <c r="Z107" s="77"/>
      <c r="AA107" s="84" t="str">
        <f>Avgs!A107</f>
        <v/>
      </c>
      <c r="AB107" s="188"/>
      <c r="AC107" s="188"/>
      <c r="AD107" s="188"/>
      <c r="AE107" s="188"/>
      <c r="AF107" s="188"/>
      <c r="AG107" s="188"/>
      <c r="AH107" s="188"/>
      <c r="AI107" s="188"/>
      <c r="AJ107" s="188"/>
      <c r="AK107" s="188"/>
      <c r="AL107" s="188"/>
    </row>
    <row r="108">
      <c r="A108" s="83">
        <v>106.0</v>
      </c>
      <c r="B108" s="229"/>
      <c r="C108" s="181"/>
      <c r="D108" s="181"/>
      <c r="E108" s="181"/>
      <c r="F108" s="182"/>
      <c r="G108" s="182"/>
      <c r="H108" s="182"/>
      <c r="I108" s="183"/>
      <c r="J108" s="184"/>
      <c r="K108" s="185">
        <f t="array" ref="K108">if( Rankings!$Q$6="y",index(Avgs!B:B,match(C108,Avgs!A:A,0))+index(Avgs!B:B,match(D108,Avgs!A:A,0))+index(Avgs!B:B,match(E108,Avgs!A:A,0)),0)</f>
        <v>0</v>
      </c>
      <c r="L108" s="186">
        <f t="array" ref="L108">if( Rankings!$Q$6="y",index(Avgs!B:B,match(F108,Avgs!A:A,0))+index(Avgs!B:B,match(G108,Avgs!A:A,0))+index(Avgs!B:B,match(H108,Avgs!A:A,0)),0)</f>
        <v>0</v>
      </c>
      <c r="M108" s="187">
        <f>if( Rankings!$Q$6="y",K108,0)</f>
        <v>0</v>
      </c>
      <c r="N108" s="186">
        <f>if( Rankings!$Q$6="y",L108,0)</f>
        <v>0</v>
      </c>
      <c r="O108" s="185">
        <f t="array" ref="O108">if( Rankings!$Q$6="y",index(Avgs!Q:Q,match(C108,Avgs!A:A,0))+index(Avgs!Q:Q,match(D108,Avgs!A:A,0))+index(Avgs!Q:Q,match(E108,Avgs!A:A,0)),0)</f>
        <v>0</v>
      </c>
      <c r="P108" s="186">
        <f t="array" ref="P108">if( Rankings!$Q$6="y",index(Avgs!Q:Q,match(F108,Avgs!A:A,0))+index(Avgs!Q:Q,match(G108,Avgs!A:A,0))+index(Avgs!Q:Q,match(H108,Avgs!A:A,0)),0)</f>
        <v>0</v>
      </c>
      <c r="Q108" s="185">
        <f t="array" ref="Q108">if( Rankings!$Q$6="y",index(Avgs!P:P,match(C108,Avgs!A:A,0))+index(Avgs!P:P,match(D108,Avgs!A:A,0))+index(Avgs!P:P,match(E108,Avgs!A:A,0)),0)</f>
        <v>0</v>
      </c>
      <c r="R108" s="186">
        <f t="array" ref="R108">if( Rankings!$Q$6="y",index(Avgs!P:P,match(F108,Avgs!A:A,0))+index(Avgs!P:P,match(G108,Avgs!A:A,0))+index(Avgs!P:P,match(H108,Avgs!A:A,0)),0)</f>
        <v>0</v>
      </c>
      <c r="S108" s="188" t="str">
        <f t="shared" si="1"/>
        <v>tie</v>
      </c>
      <c r="T108" s="188" t="str">
        <f t="shared" si="2"/>
        <v>tie</v>
      </c>
      <c r="U108" s="185">
        <f>if($B108&gt;Rankings!$Q$2,if(S108="red",2,if(S108="tie",1,0))+if(O108&gt;=12,1,0)+if(Q108&gt;=40,1,0),0)</f>
        <v>0</v>
      </c>
      <c r="V108" s="186">
        <f>if($B108&gt;Rankings!$Q$2,if(S108="blue",2,if(S108="tie",1,0))+if(P108&gt;=12,1,0)+if(R108&gt;=40,1,0),0)</f>
        <v>0</v>
      </c>
      <c r="W108" s="185">
        <f>if($B108&gt;Rankings!$Q$2,M108,0)</f>
        <v>0</v>
      </c>
      <c r="X108" s="186">
        <f>if($B108&gt;Rankings!$Q$2,N108,0)</f>
        <v>0</v>
      </c>
      <c r="Y108" s="81" t="str">
        <f t="shared" si="3"/>
        <v/>
      </c>
      <c r="Z108" s="77"/>
      <c r="AA108" s="84" t="str">
        <f>Avgs!A108</f>
        <v/>
      </c>
      <c r="AB108" s="188"/>
      <c r="AC108" s="188"/>
      <c r="AD108" s="188"/>
      <c r="AE108" s="188"/>
      <c r="AF108" s="188"/>
      <c r="AG108" s="188"/>
      <c r="AH108" s="188"/>
      <c r="AI108" s="188"/>
      <c r="AJ108" s="188"/>
      <c r="AK108" s="188"/>
      <c r="AL108" s="188"/>
    </row>
    <row r="109">
      <c r="A109" s="83">
        <v>107.0</v>
      </c>
      <c r="B109" s="229"/>
      <c r="C109" s="181"/>
      <c r="D109" s="181"/>
      <c r="E109" s="181"/>
      <c r="F109" s="182"/>
      <c r="G109" s="182"/>
      <c r="H109" s="182"/>
      <c r="I109" s="183"/>
      <c r="J109" s="184"/>
      <c r="K109" s="185">
        <f t="array" ref="K109">if( Rankings!$Q$6="y",index(Avgs!B:B,match(C109,Avgs!A:A,0))+index(Avgs!B:B,match(D109,Avgs!A:A,0))+index(Avgs!B:B,match(E109,Avgs!A:A,0)),0)</f>
        <v>0</v>
      </c>
      <c r="L109" s="186">
        <f t="array" ref="L109">if( Rankings!$Q$6="y",index(Avgs!B:B,match(F109,Avgs!A:A,0))+index(Avgs!B:B,match(G109,Avgs!A:A,0))+index(Avgs!B:B,match(H109,Avgs!A:A,0)),0)</f>
        <v>0</v>
      </c>
      <c r="M109" s="187">
        <f>if( Rankings!$Q$6="y",K109,0)</f>
        <v>0</v>
      </c>
      <c r="N109" s="186">
        <f>if( Rankings!$Q$6="y",L109,0)</f>
        <v>0</v>
      </c>
      <c r="O109" s="185">
        <f t="array" ref="O109">if( Rankings!$Q$6="y",index(Avgs!Q:Q,match(C109,Avgs!A:A,0))+index(Avgs!Q:Q,match(D109,Avgs!A:A,0))+index(Avgs!Q:Q,match(E109,Avgs!A:A,0)),0)</f>
        <v>0</v>
      </c>
      <c r="P109" s="186">
        <f t="array" ref="P109">if( Rankings!$Q$6="y",index(Avgs!Q:Q,match(F109,Avgs!A:A,0))+index(Avgs!Q:Q,match(G109,Avgs!A:A,0))+index(Avgs!Q:Q,match(H109,Avgs!A:A,0)),0)</f>
        <v>0</v>
      </c>
      <c r="Q109" s="185">
        <f t="array" ref="Q109">if( Rankings!$Q$6="y",index(Avgs!P:P,match(C109,Avgs!A:A,0))+index(Avgs!P:P,match(D109,Avgs!A:A,0))+index(Avgs!P:P,match(E109,Avgs!A:A,0)),0)</f>
        <v>0</v>
      </c>
      <c r="R109" s="186">
        <f t="array" ref="R109">if( Rankings!$Q$6="y",index(Avgs!P:P,match(F109,Avgs!A:A,0))+index(Avgs!P:P,match(G109,Avgs!A:A,0))+index(Avgs!P:P,match(H109,Avgs!A:A,0)),0)</f>
        <v>0</v>
      </c>
      <c r="S109" s="188" t="str">
        <f t="shared" si="1"/>
        <v>tie</v>
      </c>
      <c r="T109" s="188" t="str">
        <f t="shared" si="2"/>
        <v>tie</v>
      </c>
      <c r="U109" s="185">
        <f>if($B109&gt;Rankings!$Q$2,if(S109="red",2,if(S109="tie",1,0))+if(O109&gt;=12,1,0)+if(Q109&gt;=40,1,0),0)</f>
        <v>0</v>
      </c>
      <c r="V109" s="186">
        <f>if($B109&gt;Rankings!$Q$2,if(S109="blue",2,if(S109="tie",1,0))+if(P109&gt;=12,1,0)+if(R109&gt;=40,1,0),0)</f>
        <v>0</v>
      </c>
      <c r="W109" s="185">
        <f>if($B109&gt;Rankings!$Q$2,M109,0)</f>
        <v>0</v>
      </c>
      <c r="X109" s="186">
        <f>if($B109&gt;Rankings!$Q$2,N109,0)</f>
        <v>0</v>
      </c>
      <c r="Y109" s="81" t="str">
        <f t="shared" si="3"/>
        <v/>
      </c>
      <c r="Z109" s="77"/>
      <c r="AA109" s="84" t="str">
        <f>Avgs!A109</f>
        <v/>
      </c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</row>
    <row r="110">
      <c r="A110" s="83">
        <v>108.0</v>
      </c>
      <c r="B110" s="229"/>
      <c r="C110" s="181"/>
      <c r="D110" s="181"/>
      <c r="E110" s="181"/>
      <c r="F110" s="182"/>
      <c r="G110" s="182"/>
      <c r="H110" s="182"/>
      <c r="I110" s="183"/>
      <c r="J110" s="184"/>
      <c r="K110" s="185">
        <f t="array" ref="K110">if( Rankings!$Q$6="y",index(Avgs!B:B,match(C110,Avgs!A:A,0))+index(Avgs!B:B,match(D110,Avgs!A:A,0))+index(Avgs!B:B,match(E110,Avgs!A:A,0)),0)</f>
        <v>0</v>
      </c>
      <c r="L110" s="186">
        <f t="array" ref="L110">if( Rankings!$Q$6="y",index(Avgs!B:B,match(F110,Avgs!A:A,0))+index(Avgs!B:B,match(G110,Avgs!A:A,0))+index(Avgs!B:B,match(H110,Avgs!A:A,0)),0)</f>
        <v>0</v>
      </c>
      <c r="M110" s="187">
        <f>if( Rankings!$Q$6="y",K110,0)</f>
        <v>0</v>
      </c>
      <c r="N110" s="186">
        <f>if( Rankings!$Q$6="y",L110,0)</f>
        <v>0</v>
      </c>
      <c r="O110" s="185">
        <f t="array" ref="O110">if( Rankings!$Q$6="y",index(Avgs!Q:Q,match(C110,Avgs!A:A,0))+index(Avgs!Q:Q,match(D110,Avgs!A:A,0))+index(Avgs!Q:Q,match(E110,Avgs!A:A,0)),0)</f>
        <v>0</v>
      </c>
      <c r="P110" s="186">
        <f t="array" ref="P110">if( Rankings!$Q$6="y",index(Avgs!Q:Q,match(F110,Avgs!A:A,0))+index(Avgs!Q:Q,match(G110,Avgs!A:A,0))+index(Avgs!Q:Q,match(H110,Avgs!A:A,0)),0)</f>
        <v>0</v>
      </c>
      <c r="Q110" s="185">
        <f t="array" ref="Q110">if( Rankings!$Q$6="y",index(Avgs!P:P,match(C110,Avgs!A:A,0))+index(Avgs!P:P,match(D110,Avgs!A:A,0))+index(Avgs!P:P,match(E110,Avgs!A:A,0)),0)</f>
        <v>0</v>
      </c>
      <c r="R110" s="186">
        <f t="array" ref="R110">if( Rankings!$Q$6="y",index(Avgs!P:P,match(F110,Avgs!A:A,0))+index(Avgs!P:P,match(G110,Avgs!A:A,0))+index(Avgs!P:P,match(H110,Avgs!A:A,0)),0)</f>
        <v>0</v>
      </c>
      <c r="S110" s="188" t="str">
        <f t="shared" si="1"/>
        <v>tie</v>
      </c>
      <c r="T110" s="188" t="str">
        <f t="shared" si="2"/>
        <v>tie</v>
      </c>
      <c r="U110" s="185">
        <f>if($B110&gt;Rankings!$Q$2,if(S110="red",2,if(S110="tie",1,0))+if(O110&gt;=12,1,0)+if(Q110&gt;=40,1,0),0)</f>
        <v>0</v>
      </c>
      <c r="V110" s="186">
        <f>if($B110&gt;Rankings!$Q$2,if(S110="blue",2,if(S110="tie",1,0))+if(P110&gt;=12,1,0)+if(R110&gt;=40,1,0),0)</f>
        <v>0</v>
      </c>
      <c r="W110" s="185">
        <f>if($B110&gt;Rankings!$Q$2,M110,0)</f>
        <v>0</v>
      </c>
      <c r="X110" s="186">
        <f>if($B110&gt;Rankings!$Q$2,N110,0)</f>
        <v>0</v>
      </c>
      <c r="Y110" s="81" t="str">
        <f t="shared" si="3"/>
        <v/>
      </c>
      <c r="Z110" s="77"/>
      <c r="AA110" s="84" t="str">
        <f>Avgs!A110</f>
        <v/>
      </c>
      <c r="AB110" s="188"/>
      <c r="AC110" s="188"/>
      <c r="AD110" s="188"/>
      <c r="AE110" s="188"/>
      <c r="AF110" s="188"/>
      <c r="AG110" s="188"/>
      <c r="AH110" s="188"/>
      <c r="AI110" s="188"/>
      <c r="AJ110" s="188"/>
      <c r="AK110" s="188"/>
      <c r="AL110" s="188"/>
    </row>
    <row r="111">
      <c r="A111" s="83">
        <v>109.0</v>
      </c>
      <c r="B111" s="229"/>
      <c r="C111" s="181"/>
      <c r="D111" s="181"/>
      <c r="E111" s="181"/>
      <c r="F111" s="182"/>
      <c r="G111" s="182"/>
      <c r="H111" s="182"/>
      <c r="I111" s="183"/>
      <c r="J111" s="184"/>
      <c r="K111" s="185">
        <f t="array" ref="K111">if( Rankings!$Q$6="y",index(Avgs!B:B,match(C111,Avgs!A:A,0))+index(Avgs!B:B,match(D111,Avgs!A:A,0))+index(Avgs!B:B,match(E111,Avgs!A:A,0)),0)</f>
        <v>0</v>
      </c>
      <c r="L111" s="186">
        <f t="array" ref="L111">if( Rankings!$Q$6="y",index(Avgs!B:B,match(F111,Avgs!A:A,0))+index(Avgs!B:B,match(G111,Avgs!A:A,0))+index(Avgs!B:B,match(H111,Avgs!A:A,0)),0)</f>
        <v>0</v>
      </c>
      <c r="M111" s="187">
        <f>if( Rankings!$Q$6="y",K111,0)</f>
        <v>0</v>
      </c>
      <c r="N111" s="186">
        <f>if( Rankings!$Q$6="y",L111,0)</f>
        <v>0</v>
      </c>
      <c r="O111" s="185">
        <f t="array" ref="O111">if( Rankings!$Q$6="y",index(Avgs!Q:Q,match(C111,Avgs!A:A,0))+index(Avgs!Q:Q,match(D111,Avgs!A:A,0))+index(Avgs!Q:Q,match(E111,Avgs!A:A,0)),0)</f>
        <v>0</v>
      </c>
      <c r="P111" s="186">
        <f t="array" ref="P111">if( Rankings!$Q$6="y",index(Avgs!Q:Q,match(F111,Avgs!A:A,0))+index(Avgs!Q:Q,match(G111,Avgs!A:A,0))+index(Avgs!Q:Q,match(H111,Avgs!A:A,0)),0)</f>
        <v>0</v>
      </c>
      <c r="Q111" s="185">
        <f t="array" ref="Q111">if( Rankings!$Q$6="y",index(Avgs!P:P,match(C111,Avgs!A:A,0))+index(Avgs!P:P,match(D111,Avgs!A:A,0))+index(Avgs!P:P,match(E111,Avgs!A:A,0)),0)</f>
        <v>0</v>
      </c>
      <c r="R111" s="186">
        <f t="array" ref="R111">if( Rankings!$Q$6="y",index(Avgs!P:P,match(F111,Avgs!A:A,0))+index(Avgs!P:P,match(G111,Avgs!A:A,0))+index(Avgs!P:P,match(H111,Avgs!A:A,0)),0)</f>
        <v>0</v>
      </c>
      <c r="S111" s="188" t="str">
        <f t="shared" si="1"/>
        <v>tie</v>
      </c>
      <c r="T111" s="188" t="str">
        <f t="shared" si="2"/>
        <v>tie</v>
      </c>
      <c r="U111" s="185">
        <f>if($B111&gt;Rankings!$Q$2,if(S111="red",2,if(S111="tie",1,0))+if(O111&gt;=12,1,0)+if(Q111&gt;=40,1,0),0)</f>
        <v>0</v>
      </c>
      <c r="V111" s="186">
        <f>if($B111&gt;Rankings!$Q$2,if(S111="blue",2,if(S111="tie",1,0))+if(P111&gt;=12,1,0)+if(R111&gt;=40,1,0),0)</f>
        <v>0</v>
      </c>
      <c r="W111" s="185">
        <f>if($B111&gt;Rankings!$Q$2,M111,0)</f>
        <v>0</v>
      </c>
      <c r="X111" s="186">
        <f>if($B111&gt;Rankings!$Q$2,N111,0)</f>
        <v>0</v>
      </c>
      <c r="Y111" s="81" t="str">
        <f t="shared" si="3"/>
        <v/>
      </c>
      <c r="Z111" s="77"/>
      <c r="AA111" s="84" t="str">
        <f>Avgs!A111</f>
        <v/>
      </c>
      <c r="AB111" s="188"/>
      <c r="AC111" s="188"/>
      <c r="AD111" s="188"/>
      <c r="AE111" s="188"/>
      <c r="AF111" s="188"/>
      <c r="AG111" s="188"/>
      <c r="AH111" s="188"/>
      <c r="AI111" s="188"/>
      <c r="AJ111" s="188"/>
      <c r="AK111" s="188"/>
      <c r="AL111" s="188"/>
    </row>
    <row r="112">
      <c r="A112" s="83">
        <v>110.0</v>
      </c>
      <c r="B112" s="229"/>
      <c r="C112" s="181"/>
      <c r="D112" s="181"/>
      <c r="E112" s="181"/>
      <c r="F112" s="182"/>
      <c r="G112" s="182"/>
      <c r="H112" s="182"/>
      <c r="I112" s="183"/>
      <c r="J112" s="184"/>
      <c r="K112" s="185">
        <f t="array" ref="K112">if( Rankings!$Q$6="y",index(Avgs!B:B,match(C112,Avgs!A:A,0))+index(Avgs!B:B,match(D112,Avgs!A:A,0))+index(Avgs!B:B,match(E112,Avgs!A:A,0)),0)</f>
        <v>0</v>
      </c>
      <c r="L112" s="186">
        <f t="array" ref="L112">if( Rankings!$Q$6="y",index(Avgs!B:B,match(F112,Avgs!A:A,0))+index(Avgs!B:B,match(G112,Avgs!A:A,0))+index(Avgs!B:B,match(H112,Avgs!A:A,0)),0)</f>
        <v>0</v>
      </c>
      <c r="M112" s="187">
        <f>if( Rankings!$Q$6="y",K112,0)</f>
        <v>0</v>
      </c>
      <c r="N112" s="186">
        <f>if( Rankings!$Q$6="y",L112,0)</f>
        <v>0</v>
      </c>
      <c r="O112" s="185">
        <f t="array" ref="O112">if( Rankings!$Q$6="y",index(Avgs!Q:Q,match(C112,Avgs!A:A,0))+index(Avgs!Q:Q,match(D112,Avgs!A:A,0))+index(Avgs!Q:Q,match(E112,Avgs!A:A,0)),0)</f>
        <v>0</v>
      </c>
      <c r="P112" s="186">
        <f t="array" ref="P112">if( Rankings!$Q$6="y",index(Avgs!Q:Q,match(F112,Avgs!A:A,0))+index(Avgs!Q:Q,match(G112,Avgs!A:A,0))+index(Avgs!Q:Q,match(H112,Avgs!A:A,0)),0)</f>
        <v>0</v>
      </c>
      <c r="Q112" s="185">
        <f t="array" ref="Q112">if( Rankings!$Q$6="y",index(Avgs!P:P,match(C112,Avgs!A:A,0))+index(Avgs!P:P,match(D112,Avgs!A:A,0))+index(Avgs!P:P,match(E112,Avgs!A:A,0)),0)</f>
        <v>0</v>
      </c>
      <c r="R112" s="186">
        <f t="array" ref="R112">if( Rankings!$Q$6="y",index(Avgs!P:P,match(F112,Avgs!A:A,0))+index(Avgs!P:P,match(G112,Avgs!A:A,0))+index(Avgs!P:P,match(H112,Avgs!A:A,0)),0)</f>
        <v>0</v>
      </c>
      <c r="S112" s="188" t="str">
        <f t="shared" si="1"/>
        <v>tie</v>
      </c>
      <c r="T112" s="188" t="str">
        <f t="shared" si="2"/>
        <v>tie</v>
      </c>
      <c r="U112" s="185">
        <f>if($B112&gt;Rankings!$Q$2,if(S112="red",2,if(S112="tie",1,0))+if(O112&gt;=12,1,0)+if(Q112&gt;=40,1,0),0)</f>
        <v>0</v>
      </c>
      <c r="V112" s="186">
        <f>if($B112&gt;Rankings!$Q$2,if(S112="blue",2,if(S112="tie",1,0))+if(P112&gt;=12,1,0)+if(R112&gt;=40,1,0),0)</f>
        <v>0</v>
      </c>
      <c r="W112" s="185">
        <f>if($B112&gt;Rankings!$Q$2,M112,0)</f>
        <v>0</v>
      </c>
      <c r="X112" s="186">
        <f>if($B112&gt;Rankings!$Q$2,N112,0)</f>
        <v>0</v>
      </c>
      <c r="Y112" s="81" t="str">
        <f t="shared" si="3"/>
        <v/>
      </c>
      <c r="Z112" s="77"/>
      <c r="AA112" s="84" t="str">
        <f>Avgs!A112</f>
        <v/>
      </c>
      <c r="AB112" s="188"/>
      <c r="AC112" s="188"/>
      <c r="AD112" s="188"/>
      <c r="AE112" s="188"/>
      <c r="AF112" s="188"/>
      <c r="AG112" s="188"/>
      <c r="AH112" s="188"/>
      <c r="AI112" s="188"/>
      <c r="AJ112" s="188"/>
      <c r="AK112" s="188"/>
      <c r="AL112" s="188"/>
    </row>
    <row r="113">
      <c r="A113" s="83">
        <v>111.0</v>
      </c>
      <c r="B113" s="229"/>
      <c r="C113" s="181"/>
      <c r="D113" s="181"/>
      <c r="E113" s="181"/>
      <c r="F113" s="182"/>
      <c r="G113" s="182"/>
      <c r="H113" s="182"/>
      <c r="I113" s="183"/>
      <c r="J113" s="184"/>
      <c r="K113" s="185">
        <f t="array" ref="K113">if( Rankings!$Q$6="y",index(Avgs!B:B,match(C113,Avgs!A:A,0))+index(Avgs!B:B,match(D113,Avgs!A:A,0))+index(Avgs!B:B,match(E113,Avgs!A:A,0)),0)</f>
        <v>0</v>
      </c>
      <c r="L113" s="186">
        <f t="array" ref="L113">if( Rankings!$Q$6="y",index(Avgs!B:B,match(F113,Avgs!A:A,0))+index(Avgs!B:B,match(G113,Avgs!A:A,0))+index(Avgs!B:B,match(H113,Avgs!A:A,0)),0)</f>
        <v>0</v>
      </c>
      <c r="M113" s="187">
        <f>if( Rankings!$Q$6="y",K113,0)</f>
        <v>0</v>
      </c>
      <c r="N113" s="186">
        <f>if( Rankings!$Q$6="y",L113,0)</f>
        <v>0</v>
      </c>
      <c r="O113" s="185">
        <f t="array" ref="O113">if( Rankings!$Q$6="y",index(Avgs!Q:Q,match(C113,Avgs!A:A,0))+index(Avgs!Q:Q,match(D113,Avgs!A:A,0))+index(Avgs!Q:Q,match(E113,Avgs!A:A,0)),0)</f>
        <v>0</v>
      </c>
      <c r="P113" s="186">
        <f t="array" ref="P113">if( Rankings!$Q$6="y",index(Avgs!Q:Q,match(F113,Avgs!A:A,0))+index(Avgs!Q:Q,match(G113,Avgs!A:A,0))+index(Avgs!Q:Q,match(H113,Avgs!A:A,0)),0)</f>
        <v>0</v>
      </c>
      <c r="Q113" s="185">
        <f t="array" ref="Q113">if( Rankings!$Q$6="y",index(Avgs!P:P,match(C113,Avgs!A:A,0))+index(Avgs!P:P,match(D113,Avgs!A:A,0))+index(Avgs!P:P,match(E113,Avgs!A:A,0)),0)</f>
        <v>0</v>
      </c>
      <c r="R113" s="186">
        <f t="array" ref="R113">if( Rankings!$Q$6="y",index(Avgs!P:P,match(F113,Avgs!A:A,0))+index(Avgs!P:P,match(G113,Avgs!A:A,0))+index(Avgs!P:P,match(H113,Avgs!A:A,0)),0)</f>
        <v>0</v>
      </c>
      <c r="S113" s="188" t="str">
        <f t="shared" si="1"/>
        <v>tie</v>
      </c>
      <c r="T113" s="188" t="str">
        <f t="shared" si="2"/>
        <v>tie</v>
      </c>
      <c r="U113" s="185">
        <f>if($B113&gt;Rankings!$Q$2,if(S113="red",2,if(S113="tie",1,0))+if(O113&gt;=12,1,0)+if(Q113&gt;=40,1,0),0)</f>
        <v>0</v>
      </c>
      <c r="V113" s="186">
        <f>if($B113&gt;Rankings!$Q$2,if(S113="blue",2,if(S113="tie",1,0))+if(P113&gt;=12,1,0)+if(R113&gt;=40,1,0),0)</f>
        <v>0</v>
      </c>
      <c r="W113" s="185">
        <f>if($B113&gt;Rankings!$Q$2,M113,0)</f>
        <v>0</v>
      </c>
      <c r="X113" s="186">
        <f>if($B113&gt;Rankings!$Q$2,N113,0)</f>
        <v>0</v>
      </c>
      <c r="Y113" s="81" t="str">
        <f t="shared" si="3"/>
        <v/>
      </c>
      <c r="Z113" s="85"/>
      <c r="AA113" s="230"/>
      <c r="AB113" s="230"/>
      <c r="AC113" s="230"/>
      <c r="AD113" s="230"/>
      <c r="AE113" s="230"/>
      <c r="AF113" s="230"/>
      <c r="AG113" s="230"/>
      <c r="AH113" s="230"/>
      <c r="AI113" s="230"/>
      <c r="AJ113" s="230"/>
      <c r="AK113" s="230"/>
      <c r="AL113" s="231"/>
    </row>
    <row r="114">
      <c r="A114" s="83">
        <v>112.0</v>
      </c>
      <c r="B114" s="229"/>
      <c r="C114" s="181"/>
      <c r="D114" s="181"/>
      <c r="E114" s="181"/>
      <c r="F114" s="182"/>
      <c r="G114" s="182"/>
      <c r="H114" s="182"/>
      <c r="I114" s="183"/>
      <c r="J114" s="184"/>
      <c r="K114" s="185">
        <f t="array" ref="K114">if( Rankings!$Q$6="y",index(Avgs!B:B,match(C114,Avgs!A:A,0))+index(Avgs!B:B,match(D114,Avgs!A:A,0))+index(Avgs!B:B,match(E114,Avgs!A:A,0)),0)</f>
        <v>0</v>
      </c>
      <c r="L114" s="186">
        <f t="array" ref="L114">if( Rankings!$Q$6="y",index(Avgs!B:B,match(F114,Avgs!A:A,0))+index(Avgs!B:B,match(G114,Avgs!A:A,0))+index(Avgs!B:B,match(H114,Avgs!A:A,0)),0)</f>
        <v>0</v>
      </c>
      <c r="M114" s="187">
        <f>if( Rankings!$Q$6="y",K114,0)</f>
        <v>0</v>
      </c>
      <c r="N114" s="186">
        <f>if( Rankings!$Q$6="y",L114,0)</f>
        <v>0</v>
      </c>
      <c r="O114" s="185">
        <f t="array" ref="O114">if( Rankings!$Q$6="y",index(Avgs!Q:Q,match(C114,Avgs!A:A,0))+index(Avgs!Q:Q,match(D114,Avgs!A:A,0))+index(Avgs!Q:Q,match(E114,Avgs!A:A,0)),0)</f>
        <v>0</v>
      </c>
      <c r="P114" s="186">
        <f t="array" ref="P114">if( Rankings!$Q$6="y",index(Avgs!Q:Q,match(F114,Avgs!A:A,0))+index(Avgs!Q:Q,match(G114,Avgs!A:A,0))+index(Avgs!Q:Q,match(H114,Avgs!A:A,0)),0)</f>
        <v>0</v>
      </c>
      <c r="Q114" s="185">
        <f t="array" ref="Q114">if( Rankings!$Q$6="y",index(Avgs!P:P,match(C114,Avgs!A:A,0))+index(Avgs!P:P,match(D114,Avgs!A:A,0))+index(Avgs!P:P,match(E114,Avgs!A:A,0)),0)</f>
        <v>0</v>
      </c>
      <c r="R114" s="186">
        <f t="array" ref="R114">if( Rankings!$Q$6="y",index(Avgs!P:P,match(F114,Avgs!A:A,0))+index(Avgs!P:P,match(G114,Avgs!A:A,0))+index(Avgs!P:P,match(H114,Avgs!A:A,0)),0)</f>
        <v>0</v>
      </c>
      <c r="S114" s="188" t="str">
        <f t="shared" si="1"/>
        <v>tie</v>
      </c>
      <c r="T114" s="188" t="str">
        <f t="shared" si="2"/>
        <v>tie</v>
      </c>
      <c r="U114" s="185">
        <f>if($B114&gt;Rankings!$Q$2,if(S114="red",2,if(S114="tie",1,0))+if(O114&gt;=12,1,0)+if(Q114&gt;=40,1,0),0)</f>
        <v>0</v>
      </c>
      <c r="V114" s="186">
        <f>if($B114&gt;Rankings!$Q$2,if(S114="blue",2,if(S114="tie",1,0))+if(P114&gt;=12,1,0)+if(R114&gt;=40,1,0),0)</f>
        <v>0</v>
      </c>
      <c r="W114" s="185">
        <f>if($B114&gt;Rankings!$Q$2,M114,0)</f>
        <v>0</v>
      </c>
      <c r="X114" s="186">
        <f>if($B114&gt;Rankings!$Q$2,N114,0)</f>
        <v>0</v>
      </c>
      <c r="Y114" s="81" t="str">
        <f t="shared" si="3"/>
        <v/>
      </c>
      <c r="Z114" s="85"/>
      <c r="AA114" s="232"/>
      <c r="AB114" s="232"/>
      <c r="AC114" s="232"/>
      <c r="AD114" s="232"/>
      <c r="AE114" s="232"/>
      <c r="AF114" s="232"/>
      <c r="AG114" s="232"/>
      <c r="AH114" s="232"/>
      <c r="AI114" s="232"/>
      <c r="AJ114" s="232"/>
      <c r="AK114" s="232"/>
      <c r="AL114" s="233"/>
    </row>
    <row r="115">
      <c r="A115" s="83">
        <v>113.0</v>
      </c>
      <c r="B115" s="229"/>
      <c r="C115" s="181"/>
      <c r="D115" s="181"/>
      <c r="E115" s="181"/>
      <c r="F115" s="182"/>
      <c r="G115" s="182"/>
      <c r="H115" s="182"/>
      <c r="I115" s="183"/>
      <c r="J115" s="184"/>
      <c r="K115" s="185">
        <f t="array" ref="K115">if( Rankings!$Q$6="y",index(Avgs!B:B,match(C115,Avgs!A:A,0))+index(Avgs!B:B,match(D115,Avgs!A:A,0))+index(Avgs!B:B,match(E115,Avgs!A:A,0)),0)</f>
        <v>0</v>
      </c>
      <c r="L115" s="186">
        <f t="array" ref="L115">if( Rankings!$Q$6="y",index(Avgs!B:B,match(F115,Avgs!A:A,0))+index(Avgs!B:B,match(G115,Avgs!A:A,0))+index(Avgs!B:B,match(H115,Avgs!A:A,0)),0)</f>
        <v>0</v>
      </c>
      <c r="M115" s="187">
        <f>if( Rankings!$Q$6="y",K115,0)</f>
        <v>0</v>
      </c>
      <c r="N115" s="186">
        <f>if( Rankings!$Q$6="y",L115,0)</f>
        <v>0</v>
      </c>
      <c r="O115" s="185">
        <f t="array" ref="O115">if( Rankings!$Q$6="y",index(Avgs!Q:Q,match(C115,Avgs!A:A,0))+index(Avgs!Q:Q,match(D115,Avgs!A:A,0))+index(Avgs!Q:Q,match(E115,Avgs!A:A,0)),0)</f>
        <v>0</v>
      </c>
      <c r="P115" s="186">
        <f t="array" ref="P115">if( Rankings!$Q$6="y",index(Avgs!Q:Q,match(F115,Avgs!A:A,0))+index(Avgs!Q:Q,match(G115,Avgs!A:A,0))+index(Avgs!Q:Q,match(H115,Avgs!A:A,0)),0)</f>
        <v>0</v>
      </c>
      <c r="Q115" s="185">
        <f t="array" ref="Q115">if( Rankings!$Q$6="y",index(Avgs!P:P,match(C115,Avgs!A:A,0))+index(Avgs!P:P,match(D115,Avgs!A:A,0))+index(Avgs!P:P,match(E115,Avgs!A:A,0)),0)</f>
        <v>0</v>
      </c>
      <c r="R115" s="186">
        <f t="array" ref="R115">if( Rankings!$Q$6="y",index(Avgs!P:P,match(F115,Avgs!A:A,0))+index(Avgs!P:P,match(G115,Avgs!A:A,0))+index(Avgs!P:P,match(H115,Avgs!A:A,0)),0)</f>
        <v>0</v>
      </c>
      <c r="S115" s="188" t="str">
        <f t="shared" si="1"/>
        <v>tie</v>
      </c>
      <c r="T115" s="188" t="str">
        <f t="shared" si="2"/>
        <v>tie</v>
      </c>
      <c r="U115" s="185">
        <f>if($B115&gt;Rankings!$Q$2,if(S115="red",2,if(S115="tie",1,0))+if(O115&gt;=12,1,0)+if(Q115&gt;=40,1,0),0)</f>
        <v>0</v>
      </c>
      <c r="V115" s="186">
        <f>if($B115&gt;Rankings!$Q$2,if(S115="blue",2,if(S115="tie",1,0))+if(P115&gt;=12,1,0)+if(R115&gt;=40,1,0),0)</f>
        <v>0</v>
      </c>
      <c r="W115" s="185">
        <f>if($B115&gt;Rankings!$Q$2,M115,0)</f>
        <v>0</v>
      </c>
      <c r="X115" s="186">
        <f>if($B115&gt;Rankings!$Q$2,N115,0)</f>
        <v>0</v>
      </c>
      <c r="Y115" s="81" t="str">
        <f t="shared" si="3"/>
        <v/>
      </c>
      <c r="Z115" s="85"/>
      <c r="AA115" s="232"/>
      <c r="AB115" s="232"/>
      <c r="AC115" s="232"/>
      <c r="AD115" s="232"/>
      <c r="AE115" s="232"/>
      <c r="AF115" s="232"/>
      <c r="AG115" s="232"/>
      <c r="AH115" s="232"/>
      <c r="AI115" s="232"/>
      <c r="AJ115" s="232"/>
      <c r="AK115" s="232"/>
      <c r="AL115" s="233"/>
    </row>
    <row r="116">
      <c r="A116" s="83">
        <v>114.0</v>
      </c>
      <c r="B116" s="229"/>
      <c r="C116" s="181"/>
      <c r="D116" s="181"/>
      <c r="E116" s="181"/>
      <c r="F116" s="182"/>
      <c r="G116" s="182"/>
      <c r="H116" s="182"/>
      <c r="I116" s="183"/>
      <c r="J116" s="184"/>
      <c r="K116" s="185">
        <f t="array" ref="K116">if( Rankings!$Q$6="y",index(Avgs!B:B,match(C116,Avgs!A:A,0))+index(Avgs!B:B,match(D116,Avgs!A:A,0))+index(Avgs!B:B,match(E116,Avgs!A:A,0)),0)</f>
        <v>0</v>
      </c>
      <c r="L116" s="186">
        <f t="array" ref="L116">if( Rankings!$Q$6="y",index(Avgs!B:B,match(F116,Avgs!A:A,0))+index(Avgs!B:B,match(G116,Avgs!A:A,0))+index(Avgs!B:B,match(H116,Avgs!A:A,0)),0)</f>
        <v>0</v>
      </c>
      <c r="M116" s="187">
        <f>if( Rankings!$Q$6="y",K116,0)</f>
        <v>0</v>
      </c>
      <c r="N116" s="186">
        <f>if( Rankings!$Q$6="y",L116,0)</f>
        <v>0</v>
      </c>
      <c r="O116" s="185">
        <f t="array" ref="O116">if( Rankings!$Q$6="y",index(Avgs!Q:Q,match(C116,Avgs!A:A,0))+index(Avgs!Q:Q,match(D116,Avgs!A:A,0))+index(Avgs!Q:Q,match(E116,Avgs!A:A,0)),0)</f>
        <v>0</v>
      </c>
      <c r="P116" s="186">
        <f t="array" ref="P116">if( Rankings!$Q$6="y",index(Avgs!Q:Q,match(F116,Avgs!A:A,0))+index(Avgs!Q:Q,match(G116,Avgs!A:A,0))+index(Avgs!Q:Q,match(H116,Avgs!A:A,0)),0)</f>
        <v>0</v>
      </c>
      <c r="Q116" s="185">
        <f t="array" ref="Q116">if( Rankings!$Q$6="y",index(Avgs!P:P,match(C116,Avgs!A:A,0))+index(Avgs!P:P,match(D116,Avgs!A:A,0))+index(Avgs!P:P,match(E116,Avgs!A:A,0)),0)</f>
        <v>0</v>
      </c>
      <c r="R116" s="186">
        <f t="array" ref="R116">if( Rankings!$Q$6="y",index(Avgs!P:P,match(F116,Avgs!A:A,0))+index(Avgs!P:P,match(G116,Avgs!A:A,0))+index(Avgs!P:P,match(H116,Avgs!A:A,0)),0)</f>
        <v>0</v>
      </c>
      <c r="S116" s="188" t="str">
        <f t="shared" si="1"/>
        <v>tie</v>
      </c>
      <c r="T116" s="188" t="str">
        <f t="shared" si="2"/>
        <v>tie</v>
      </c>
      <c r="U116" s="185">
        <f>if($B116&gt;Rankings!$Q$2,if(S116="red",2,if(S116="tie",1,0))+if(O116&gt;=12,1,0)+if(Q116&gt;=40,1,0),0)</f>
        <v>0</v>
      </c>
      <c r="V116" s="186">
        <f>if($B116&gt;Rankings!$Q$2,if(S116="blue",2,if(S116="tie",1,0))+if(P116&gt;=12,1,0)+if(R116&gt;=40,1,0),0)</f>
        <v>0</v>
      </c>
      <c r="W116" s="185">
        <f>if($B116&gt;Rankings!$Q$2,M116,0)</f>
        <v>0</v>
      </c>
      <c r="X116" s="186">
        <f>if($B116&gt;Rankings!$Q$2,N116,0)</f>
        <v>0</v>
      </c>
      <c r="Y116" s="81" t="str">
        <f t="shared" si="3"/>
        <v/>
      </c>
      <c r="Z116" s="85"/>
      <c r="AA116" s="232"/>
      <c r="AB116" s="232"/>
      <c r="AC116" s="232"/>
      <c r="AD116" s="232"/>
      <c r="AE116" s="232"/>
      <c r="AF116" s="232"/>
      <c r="AG116" s="232"/>
      <c r="AH116" s="232"/>
      <c r="AI116" s="232"/>
      <c r="AJ116" s="232"/>
      <c r="AK116" s="232"/>
      <c r="AL116" s="233"/>
    </row>
    <row r="117">
      <c r="A117" s="83">
        <v>115.0</v>
      </c>
      <c r="B117" s="229"/>
      <c r="C117" s="181"/>
      <c r="D117" s="181"/>
      <c r="E117" s="181"/>
      <c r="F117" s="182"/>
      <c r="G117" s="182"/>
      <c r="H117" s="182"/>
      <c r="I117" s="183"/>
      <c r="J117" s="184"/>
      <c r="K117" s="185">
        <f t="array" ref="K117">if( Rankings!$Q$6="y",index(Avgs!B:B,match(C117,Avgs!A:A,0))+index(Avgs!B:B,match(D117,Avgs!A:A,0))+index(Avgs!B:B,match(E117,Avgs!A:A,0)),0)</f>
        <v>0</v>
      </c>
      <c r="L117" s="186">
        <f t="array" ref="L117">if( Rankings!$Q$6="y",index(Avgs!B:B,match(F117,Avgs!A:A,0))+index(Avgs!B:B,match(G117,Avgs!A:A,0))+index(Avgs!B:B,match(H117,Avgs!A:A,0)),0)</f>
        <v>0</v>
      </c>
      <c r="M117" s="187">
        <f>if( Rankings!$Q$6="y",K117,0)</f>
        <v>0</v>
      </c>
      <c r="N117" s="186">
        <f>if( Rankings!$Q$6="y",L117,0)</f>
        <v>0</v>
      </c>
      <c r="O117" s="185">
        <f t="array" ref="O117">if( Rankings!$Q$6="y",index(Avgs!Q:Q,match(C117,Avgs!A:A,0))+index(Avgs!Q:Q,match(D117,Avgs!A:A,0))+index(Avgs!Q:Q,match(E117,Avgs!A:A,0)),0)</f>
        <v>0</v>
      </c>
      <c r="P117" s="186">
        <f t="array" ref="P117">if( Rankings!$Q$6="y",index(Avgs!Q:Q,match(F117,Avgs!A:A,0))+index(Avgs!Q:Q,match(G117,Avgs!A:A,0))+index(Avgs!Q:Q,match(H117,Avgs!A:A,0)),0)</f>
        <v>0</v>
      </c>
      <c r="Q117" s="185">
        <f t="array" ref="Q117">if( Rankings!$Q$6="y",index(Avgs!P:P,match(C117,Avgs!A:A,0))+index(Avgs!P:P,match(D117,Avgs!A:A,0))+index(Avgs!P:P,match(E117,Avgs!A:A,0)),0)</f>
        <v>0</v>
      </c>
      <c r="R117" s="186">
        <f t="array" ref="R117">if( Rankings!$Q$6="y",index(Avgs!P:P,match(F117,Avgs!A:A,0))+index(Avgs!P:P,match(G117,Avgs!A:A,0))+index(Avgs!P:P,match(H117,Avgs!A:A,0)),0)</f>
        <v>0</v>
      </c>
      <c r="S117" s="188" t="str">
        <f t="shared" si="1"/>
        <v>tie</v>
      </c>
      <c r="T117" s="188" t="str">
        <f t="shared" si="2"/>
        <v>tie</v>
      </c>
      <c r="U117" s="185">
        <f>if($B117&gt;Rankings!$Q$2,if(S117="red",2,if(S117="tie",1,0))+if(O117&gt;=12,1,0)+if(Q117&gt;=40,1,0),0)</f>
        <v>0</v>
      </c>
      <c r="V117" s="186">
        <f>if($B117&gt;Rankings!$Q$2,if(S117="blue",2,if(S117="tie",1,0))+if(P117&gt;=12,1,0)+if(R117&gt;=40,1,0),0)</f>
        <v>0</v>
      </c>
      <c r="W117" s="185">
        <f>if($B117&gt;Rankings!$Q$2,M117,0)</f>
        <v>0</v>
      </c>
      <c r="X117" s="186">
        <f>if($B117&gt;Rankings!$Q$2,N117,0)</f>
        <v>0</v>
      </c>
      <c r="Y117" s="81" t="str">
        <f t="shared" si="3"/>
        <v/>
      </c>
      <c r="Z117" s="85"/>
      <c r="AA117" s="232"/>
      <c r="AB117" s="232"/>
      <c r="AC117" s="232"/>
      <c r="AD117" s="232"/>
      <c r="AE117" s="232"/>
      <c r="AF117" s="232"/>
      <c r="AG117" s="232"/>
      <c r="AH117" s="232"/>
      <c r="AI117" s="232"/>
      <c r="AJ117" s="232"/>
      <c r="AK117" s="232"/>
      <c r="AL117" s="233"/>
    </row>
    <row r="118">
      <c r="A118" s="83">
        <v>116.0</v>
      </c>
      <c r="B118" s="229"/>
      <c r="C118" s="181"/>
      <c r="D118" s="181"/>
      <c r="E118" s="181"/>
      <c r="F118" s="182"/>
      <c r="G118" s="182"/>
      <c r="H118" s="182"/>
      <c r="I118" s="183"/>
      <c r="J118" s="184"/>
      <c r="K118" s="185">
        <f t="array" ref="K118">if( Rankings!$Q$6="y",index(Avgs!B:B,match(C118,Avgs!A:A,0))+index(Avgs!B:B,match(D118,Avgs!A:A,0))+index(Avgs!B:B,match(E118,Avgs!A:A,0)),0)</f>
        <v>0</v>
      </c>
      <c r="L118" s="186">
        <f t="array" ref="L118">if( Rankings!$Q$6="y",index(Avgs!B:B,match(F118,Avgs!A:A,0))+index(Avgs!B:B,match(G118,Avgs!A:A,0))+index(Avgs!B:B,match(H118,Avgs!A:A,0)),0)</f>
        <v>0</v>
      </c>
      <c r="M118" s="187">
        <f>if( Rankings!$Q$6="y",K118,0)</f>
        <v>0</v>
      </c>
      <c r="N118" s="186">
        <f>if( Rankings!$Q$6="y",L118,0)</f>
        <v>0</v>
      </c>
      <c r="O118" s="185">
        <f t="array" ref="O118">if( Rankings!$Q$6="y",index(Avgs!Q:Q,match(C118,Avgs!A:A,0))+index(Avgs!Q:Q,match(D118,Avgs!A:A,0))+index(Avgs!Q:Q,match(E118,Avgs!A:A,0)),0)</f>
        <v>0</v>
      </c>
      <c r="P118" s="186">
        <f t="array" ref="P118">if( Rankings!$Q$6="y",index(Avgs!Q:Q,match(F118,Avgs!A:A,0))+index(Avgs!Q:Q,match(G118,Avgs!A:A,0))+index(Avgs!Q:Q,match(H118,Avgs!A:A,0)),0)</f>
        <v>0</v>
      </c>
      <c r="Q118" s="185">
        <f t="array" ref="Q118">if( Rankings!$Q$6="y",index(Avgs!P:P,match(C118,Avgs!A:A,0))+index(Avgs!P:P,match(D118,Avgs!A:A,0))+index(Avgs!P:P,match(E118,Avgs!A:A,0)),0)</f>
        <v>0</v>
      </c>
      <c r="R118" s="186">
        <f t="array" ref="R118">if( Rankings!$Q$6="y",index(Avgs!P:P,match(F118,Avgs!A:A,0))+index(Avgs!P:P,match(G118,Avgs!A:A,0))+index(Avgs!P:P,match(H118,Avgs!A:A,0)),0)</f>
        <v>0</v>
      </c>
      <c r="S118" s="188" t="str">
        <f t="shared" si="1"/>
        <v>tie</v>
      </c>
      <c r="T118" s="188" t="str">
        <f t="shared" si="2"/>
        <v>tie</v>
      </c>
      <c r="U118" s="185">
        <f>if($B118&gt;Rankings!$Q$2,if(S118="red",2,if(S118="tie",1,0))+if(O118&gt;=12,1,0)+if(Q118&gt;=40,1,0),0)</f>
        <v>0</v>
      </c>
      <c r="V118" s="186">
        <f>if($B118&gt;Rankings!$Q$2,if(S118="blue",2,if(S118="tie",1,0))+if(P118&gt;=12,1,0)+if(R118&gt;=40,1,0),0)</f>
        <v>0</v>
      </c>
      <c r="W118" s="185">
        <f>if($B118&gt;Rankings!$Q$2,M118,0)</f>
        <v>0</v>
      </c>
      <c r="X118" s="186">
        <f>if($B118&gt;Rankings!$Q$2,N118,0)</f>
        <v>0</v>
      </c>
      <c r="Y118" s="81" t="str">
        <f t="shared" si="3"/>
        <v/>
      </c>
      <c r="Z118" s="85"/>
      <c r="AA118" s="232"/>
      <c r="AB118" s="232"/>
      <c r="AC118" s="232"/>
      <c r="AD118" s="232"/>
      <c r="AE118" s="232"/>
      <c r="AF118" s="232"/>
      <c r="AG118" s="232"/>
      <c r="AH118" s="232"/>
      <c r="AI118" s="232"/>
      <c r="AJ118" s="232"/>
      <c r="AK118" s="232"/>
      <c r="AL118" s="233"/>
    </row>
    <row r="119">
      <c r="A119" s="83">
        <v>117.0</v>
      </c>
      <c r="B119" s="229"/>
      <c r="C119" s="181"/>
      <c r="D119" s="181"/>
      <c r="E119" s="181"/>
      <c r="F119" s="182"/>
      <c r="G119" s="182"/>
      <c r="H119" s="182"/>
      <c r="I119" s="183"/>
      <c r="J119" s="184"/>
      <c r="K119" s="185">
        <f t="array" ref="K119">if( Rankings!$Q$6="y",index(Avgs!B:B,match(C119,Avgs!A:A,0))+index(Avgs!B:B,match(D119,Avgs!A:A,0))+index(Avgs!B:B,match(E119,Avgs!A:A,0)),0)</f>
        <v>0</v>
      </c>
      <c r="L119" s="186">
        <f t="array" ref="L119">if( Rankings!$Q$6="y",index(Avgs!B:B,match(F119,Avgs!A:A,0))+index(Avgs!B:B,match(G119,Avgs!A:A,0))+index(Avgs!B:B,match(H119,Avgs!A:A,0)),0)</f>
        <v>0</v>
      </c>
      <c r="M119" s="187">
        <f>if( Rankings!$Q$6="y",K119,0)</f>
        <v>0</v>
      </c>
      <c r="N119" s="186">
        <f>if( Rankings!$Q$6="y",L119,0)</f>
        <v>0</v>
      </c>
      <c r="O119" s="185">
        <f t="array" ref="O119">if( Rankings!$Q$6="y",index(Avgs!Q:Q,match(C119,Avgs!A:A,0))+index(Avgs!Q:Q,match(D119,Avgs!A:A,0))+index(Avgs!Q:Q,match(E119,Avgs!A:A,0)),0)</f>
        <v>0</v>
      </c>
      <c r="P119" s="186">
        <f t="array" ref="P119">if( Rankings!$Q$6="y",index(Avgs!Q:Q,match(F119,Avgs!A:A,0))+index(Avgs!Q:Q,match(G119,Avgs!A:A,0))+index(Avgs!Q:Q,match(H119,Avgs!A:A,0)),0)</f>
        <v>0</v>
      </c>
      <c r="Q119" s="185">
        <f t="array" ref="Q119">if( Rankings!$Q$6="y",index(Avgs!P:P,match(C119,Avgs!A:A,0))+index(Avgs!P:P,match(D119,Avgs!A:A,0))+index(Avgs!P:P,match(E119,Avgs!A:A,0)),0)</f>
        <v>0</v>
      </c>
      <c r="R119" s="186">
        <f t="array" ref="R119">if( Rankings!$Q$6="y",index(Avgs!P:P,match(F119,Avgs!A:A,0))+index(Avgs!P:P,match(G119,Avgs!A:A,0))+index(Avgs!P:P,match(H119,Avgs!A:A,0)),0)</f>
        <v>0</v>
      </c>
      <c r="S119" s="188" t="str">
        <f t="shared" si="1"/>
        <v>tie</v>
      </c>
      <c r="T119" s="188" t="str">
        <f t="shared" si="2"/>
        <v>tie</v>
      </c>
      <c r="U119" s="185">
        <f>if($B119&gt;Rankings!$Q$2,if(S119="red",2,if(S119="tie",1,0))+if(O119&gt;=12,1,0)+if(Q119&gt;=40,1,0),0)</f>
        <v>0</v>
      </c>
      <c r="V119" s="186">
        <f>if($B119&gt;Rankings!$Q$2,if(S119="blue",2,if(S119="tie",1,0))+if(P119&gt;=12,1,0)+if(R119&gt;=40,1,0),0)</f>
        <v>0</v>
      </c>
      <c r="W119" s="185">
        <f>if($B119&gt;Rankings!$Q$2,M119,0)</f>
        <v>0</v>
      </c>
      <c r="X119" s="186">
        <f>if($B119&gt;Rankings!$Q$2,N119,0)</f>
        <v>0</v>
      </c>
      <c r="Y119" s="81" t="str">
        <f t="shared" si="3"/>
        <v/>
      </c>
      <c r="Z119" s="85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2"/>
      <c r="AK119" s="232"/>
      <c r="AL119" s="233"/>
    </row>
    <row r="120">
      <c r="A120" s="83">
        <v>118.0</v>
      </c>
      <c r="B120" s="229"/>
      <c r="C120" s="181"/>
      <c r="D120" s="181"/>
      <c r="E120" s="181"/>
      <c r="F120" s="182"/>
      <c r="G120" s="182"/>
      <c r="H120" s="182"/>
      <c r="I120" s="183"/>
      <c r="J120" s="184"/>
      <c r="K120" s="185">
        <f t="array" ref="K120">if( Rankings!$Q$6="y",index(Avgs!B:B,match(C120,Avgs!A:A,0))+index(Avgs!B:B,match(D120,Avgs!A:A,0))+index(Avgs!B:B,match(E120,Avgs!A:A,0)),0)</f>
        <v>0</v>
      </c>
      <c r="L120" s="186">
        <f t="array" ref="L120">if( Rankings!$Q$6="y",index(Avgs!B:B,match(F120,Avgs!A:A,0))+index(Avgs!B:B,match(G120,Avgs!A:A,0))+index(Avgs!B:B,match(H120,Avgs!A:A,0)),0)</f>
        <v>0</v>
      </c>
      <c r="M120" s="187">
        <f>if( Rankings!$Q$6="y",K120,0)</f>
        <v>0</v>
      </c>
      <c r="N120" s="186">
        <f>if( Rankings!$Q$6="y",L120,0)</f>
        <v>0</v>
      </c>
      <c r="O120" s="185">
        <f t="array" ref="O120">if( Rankings!$Q$6="y",index(Avgs!Q:Q,match(C120,Avgs!A:A,0))+index(Avgs!Q:Q,match(D120,Avgs!A:A,0))+index(Avgs!Q:Q,match(E120,Avgs!A:A,0)),0)</f>
        <v>0</v>
      </c>
      <c r="P120" s="186">
        <f t="array" ref="P120">if( Rankings!$Q$6="y",index(Avgs!Q:Q,match(F120,Avgs!A:A,0))+index(Avgs!Q:Q,match(G120,Avgs!A:A,0))+index(Avgs!Q:Q,match(H120,Avgs!A:A,0)),0)</f>
        <v>0</v>
      </c>
      <c r="Q120" s="185">
        <f t="array" ref="Q120">if( Rankings!$Q$6="y",index(Avgs!P:P,match(C120,Avgs!A:A,0))+index(Avgs!P:P,match(D120,Avgs!A:A,0))+index(Avgs!P:P,match(E120,Avgs!A:A,0)),0)</f>
        <v>0</v>
      </c>
      <c r="R120" s="186">
        <f t="array" ref="R120">if( Rankings!$Q$6="y",index(Avgs!P:P,match(F120,Avgs!A:A,0))+index(Avgs!P:P,match(G120,Avgs!A:A,0))+index(Avgs!P:P,match(H120,Avgs!A:A,0)),0)</f>
        <v>0</v>
      </c>
      <c r="S120" s="188" t="str">
        <f t="shared" si="1"/>
        <v>tie</v>
      </c>
      <c r="T120" s="188" t="str">
        <f t="shared" si="2"/>
        <v>tie</v>
      </c>
      <c r="U120" s="185">
        <f>if($B120&gt;Rankings!$Q$2,if(S120="red",2,if(S120="tie",1,0))+if(O120&gt;=12,1,0)+if(Q120&gt;=40,1,0),0)</f>
        <v>0</v>
      </c>
      <c r="V120" s="186">
        <f>if($B120&gt;Rankings!$Q$2,if(S120="blue",2,if(S120="tie",1,0))+if(P120&gt;=12,1,0)+if(R120&gt;=40,1,0),0)</f>
        <v>0</v>
      </c>
      <c r="W120" s="185">
        <f>if($B120&gt;Rankings!$Q$2,M120,0)</f>
        <v>0</v>
      </c>
      <c r="X120" s="186">
        <f>if($B120&gt;Rankings!$Q$2,N120,0)</f>
        <v>0</v>
      </c>
      <c r="Y120" s="81" t="str">
        <f t="shared" si="3"/>
        <v/>
      </c>
      <c r="Z120" s="85"/>
      <c r="AA120" s="232"/>
      <c r="AB120" s="232"/>
      <c r="AC120" s="232"/>
      <c r="AD120" s="232"/>
      <c r="AE120" s="232"/>
      <c r="AF120" s="232"/>
      <c r="AG120" s="232"/>
      <c r="AH120" s="232"/>
      <c r="AI120" s="232"/>
      <c r="AJ120" s="232"/>
      <c r="AK120" s="232"/>
      <c r="AL120" s="233"/>
    </row>
    <row r="121">
      <c r="A121" s="83">
        <v>119.0</v>
      </c>
      <c r="B121" s="229"/>
      <c r="C121" s="181"/>
      <c r="D121" s="181"/>
      <c r="E121" s="181"/>
      <c r="F121" s="182"/>
      <c r="G121" s="182"/>
      <c r="H121" s="182"/>
      <c r="I121" s="183"/>
      <c r="J121" s="184"/>
      <c r="K121" s="185">
        <f t="array" ref="K121">if( Rankings!$Q$6="y",index(Avgs!B:B,match(C121,Avgs!A:A,0))+index(Avgs!B:B,match(D121,Avgs!A:A,0))+index(Avgs!B:B,match(E121,Avgs!A:A,0)),0)</f>
        <v>0</v>
      </c>
      <c r="L121" s="186">
        <f t="array" ref="L121">if( Rankings!$Q$6="y",index(Avgs!B:B,match(F121,Avgs!A:A,0))+index(Avgs!B:B,match(G121,Avgs!A:A,0))+index(Avgs!B:B,match(H121,Avgs!A:A,0)),0)</f>
        <v>0</v>
      </c>
      <c r="M121" s="187">
        <f>if( Rankings!$Q$6="y",K121,0)</f>
        <v>0</v>
      </c>
      <c r="N121" s="186">
        <f>if( Rankings!$Q$6="y",L121,0)</f>
        <v>0</v>
      </c>
      <c r="O121" s="185">
        <f t="array" ref="O121">if( Rankings!$Q$6="y",index(Avgs!Q:Q,match(C121,Avgs!A:A,0))+index(Avgs!Q:Q,match(D121,Avgs!A:A,0))+index(Avgs!Q:Q,match(E121,Avgs!A:A,0)),0)</f>
        <v>0</v>
      </c>
      <c r="P121" s="186">
        <f t="array" ref="P121">if( Rankings!$Q$6="y",index(Avgs!Q:Q,match(F121,Avgs!A:A,0))+index(Avgs!Q:Q,match(G121,Avgs!A:A,0))+index(Avgs!Q:Q,match(H121,Avgs!A:A,0)),0)</f>
        <v>0</v>
      </c>
      <c r="Q121" s="185">
        <f t="array" ref="Q121">if( Rankings!$Q$6="y",index(Avgs!P:P,match(C121,Avgs!A:A,0))+index(Avgs!P:P,match(D121,Avgs!A:A,0))+index(Avgs!P:P,match(E121,Avgs!A:A,0)),0)</f>
        <v>0</v>
      </c>
      <c r="R121" s="186">
        <f t="array" ref="R121">if( Rankings!$Q$6="y",index(Avgs!P:P,match(F121,Avgs!A:A,0))+index(Avgs!P:P,match(G121,Avgs!A:A,0))+index(Avgs!P:P,match(H121,Avgs!A:A,0)),0)</f>
        <v>0</v>
      </c>
      <c r="S121" s="188" t="str">
        <f t="shared" si="1"/>
        <v>tie</v>
      </c>
      <c r="T121" s="188" t="str">
        <f t="shared" si="2"/>
        <v>tie</v>
      </c>
      <c r="U121" s="185">
        <f>if($B121&gt;Rankings!$Q$2,if(S121="red",2,if(S121="tie",1,0))+if(O121&gt;=12,1,0)+if(Q121&gt;=40,1,0),0)</f>
        <v>0</v>
      </c>
      <c r="V121" s="186">
        <f>if($B121&gt;Rankings!$Q$2,if(S121="blue",2,if(S121="tie",1,0))+if(P121&gt;=12,1,0)+if(R121&gt;=40,1,0),0)</f>
        <v>0</v>
      </c>
      <c r="W121" s="185">
        <f>if($B121&gt;Rankings!$Q$2,M121,0)</f>
        <v>0</v>
      </c>
      <c r="X121" s="186">
        <f>if($B121&gt;Rankings!$Q$2,N121,0)</f>
        <v>0</v>
      </c>
      <c r="Y121" s="81" t="str">
        <f t="shared" si="3"/>
        <v/>
      </c>
      <c r="Z121" s="85"/>
      <c r="AA121" s="232"/>
      <c r="AB121" s="232"/>
      <c r="AC121" s="232"/>
      <c r="AD121" s="232"/>
      <c r="AE121" s="232"/>
      <c r="AF121" s="232"/>
      <c r="AG121" s="232"/>
      <c r="AH121" s="232"/>
      <c r="AI121" s="232"/>
      <c r="AJ121" s="232"/>
      <c r="AK121" s="232"/>
      <c r="AL121" s="233"/>
    </row>
    <row r="122">
      <c r="A122" s="83">
        <v>120.0</v>
      </c>
      <c r="B122" s="229"/>
      <c r="C122" s="181"/>
      <c r="D122" s="181"/>
      <c r="E122" s="181"/>
      <c r="F122" s="182"/>
      <c r="G122" s="182"/>
      <c r="H122" s="182"/>
      <c r="I122" s="183"/>
      <c r="J122" s="184"/>
      <c r="K122" s="185">
        <f t="array" ref="K122">if( Rankings!$Q$6="y",index(Avgs!B:B,match(C122,Avgs!A:A,0))+index(Avgs!B:B,match(D122,Avgs!A:A,0))+index(Avgs!B:B,match(E122,Avgs!A:A,0)),0)</f>
        <v>0</v>
      </c>
      <c r="L122" s="186">
        <f t="array" ref="L122">if( Rankings!$Q$6="y",index(Avgs!B:B,match(F122,Avgs!A:A,0))+index(Avgs!B:B,match(G122,Avgs!A:A,0))+index(Avgs!B:B,match(H122,Avgs!A:A,0)),0)</f>
        <v>0</v>
      </c>
      <c r="M122" s="187">
        <f>if( Rankings!$Q$6="y",K122,0)</f>
        <v>0</v>
      </c>
      <c r="N122" s="186">
        <f>if( Rankings!$Q$6="y",L122,0)</f>
        <v>0</v>
      </c>
      <c r="O122" s="185">
        <f t="array" ref="O122">if( Rankings!$Q$6="y",index(Avgs!Q:Q,match(C122,Avgs!A:A,0))+index(Avgs!Q:Q,match(D122,Avgs!A:A,0))+index(Avgs!Q:Q,match(E122,Avgs!A:A,0)),0)</f>
        <v>0</v>
      </c>
      <c r="P122" s="186">
        <f t="array" ref="P122">if( Rankings!$Q$6="y",index(Avgs!Q:Q,match(F122,Avgs!A:A,0))+index(Avgs!Q:Q,match(G122,Avgs!A:A,0))+index(Avgs!Q:Q,match(H122,Avgs!A:A,0)),0)</f>
        <v>0</v>
      </c>
      <c r="Q122" s="185">
        <f t="array" ref="Q122">if( Rankings!$Q$6="y",index(Avgs!P:P,match(C122,Avgs!A:A,0))+index(Avgs!P:P,match(D122,Avgs!A:A,0))+index(Avgs!P:P,match(E122,Avgs!A:A,0)),0)</f>
        <v>0</v>
      </c>
      <c r="R122" s="186">
        <f t="array" ref="R122">if( Rankings!$Q$6="y",index(Avgs!P:P,match(F122,Avgs!A:A,0))+index(Avgs!P:P,match(G122,Avgs!A:A,0))+index(Avgs!P:P,match(H122,Avgs!A:A,0)),0)</f>
        <v>0</v>
      </c>
      <c r="S122" s="188" t="str">
        <f t="shared" si="1"/>
        <v>tie</v>
      </c>
      <c r="T122" s="188" t="str">
        <f t="shared" si="2"/>
        <v>tie</v>
      </c>
      <c r="U122" s="185">
        <f>if($B122&gt;Rankings!$Q$2,if(S122="red",2,if(S122="tie",1,0))+if(O122&gt;=12,1,0)+if(Q122&gt;=40,1,0),0)</f>
        <v>0</v>
      </c>
      <c r="V122" s="186">
        <f>if($B122&gt;Rankings!$Q$2,if(S122="blue",2,if(S122="tie",1,0))+if(P122&gt;=12,1,0)+if(R122&gt;=40,1,0),0)</f>
        <v>0</v>
      </c>
      <c r="W122" s="185">
        <f>if($B122&gt;Rankings!$Q$2,M122,0)</f>
        <v>0</v>
      </c>
      <c r="X122" s="186">
        <f>if($B122&gt;Rankings!$Q$2,N122,0)</f>
        <v>0</v>
      </c>
      <c r="Y122" s="81" t="str">
        <f t="shared" si="3"/>
        <v/>
      </c>
      <c r="Z122" s="85"/>
      <c r="AA122" s="232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3"/>
    </row>
    <row r="123">
      <c r="A123" s="83">
        <v>121.0</v>
      </c>
      <c r="B123" s="229"/>
      <c r="C123" s="181"/>
      <c r="D123" s="181"/>
      <c r="E123" s="181"/>
      <c r="F123" s="182"/>
      <c r="G123" s="182"/>
      <c r="H123" s="182"/>
      <c r="I123" s="183"/>
      <c r="J123" s="184"/>
      <c r="K123" s="185">
        <f t="array" ref="K123">if( Rankings!$Q$6="y",index(Avgs!B:B,match(C123,Avgs!A:A,0))+index(Avgs!B:B,match(D123,Avgs!A:A,0))+index(Avgs!B:B,match(E123,Avgs!A:A,0)),0)</f>
        <v>0</v>
      </c>
      <c r="L123" s="186">
        <f t="array" ref="L123">if( Rankings!$Q$6="y",index(Avgs!B:B,match(F123,Avgs!A:A,0))+index(Avgs!B:B,match(G123,Avgs!A:A,0))+index(Avgs!B:B,match(H123,Avgs!A:A,0)),0)</f>
        <v>0</v>
      </c>
      <c r="M123" s="187">
        <f>if( Rankings!$Q$6="y",K123,0)</f>
        <v>0</v>
      </c>
      <c r="N123" s="186">
        <f>if( Rankings!$Q$6="y",L123,0)</f>
        <v>0</v>
      </c>
      <c r="O123" s="185">
        <f t="array" ref="O123">if( Rankings!$Q$6="y",index(Avgs!Q:Q,match(C123,Avgs!A:A,0))+index(Avgs!Q:Q,match(D123,Avgs!A:A,0))+index(Avgs!Q:Q,match(E123,Avgs!A:A,0)),0)</f>
        <v>0</v>
      </c>
      <c r="P123" s="186">
        <f t="array" ref="P123">if( Rankings!$Q$6="y",index(Avgs!Q:Q,match(F123,Avgs!A:A,0))+index(Avgs!Q:Q,match(G123,Avgs!A:A,0))+index(Avgs!Q:Q,match(H123,Avgs!A:A,0)),0)</f>
        <v>0</v>
      </c>
      <c r="Q123" s="185">
        <f t="array" ref="Q123">if( Rankings!$Q$6="y",index(Avgs!P:P,match(C123,Avgs!A:A,0))+index(Avgs!P:P,match(D123,Avgs!A:A,0))+index(Avgs!P:P,match(E123,Avgs!A:A,0)),0)</f>
        <v>0</v>
      </c>
      <c r="R123" s="186">
        <f t="array" ref="R123">if( Rankings!$Q$6="y",index(Avgs!P:P,match(F123,Avgs!A:A,0))+index(Avgs!P:P,match(G123,Avgs!A:A,0))+index(Avgs!P:P,match(H123,Avgs!A:A,0)),0)</f>
        <v>0</v>
      </c>
      <c r="S123" s="188" t="str">
        <f t="shared" si="1"/>
        <v>tie</v>
      </c>
      <c r="T123" s="188" t="str">
        <f t="shared" si="2"/>
        <v>tie</v>
      </c>
      <c r="U123" s="185">
        <f>if($B123&gt;Rankings!$Q$2,if(S123="red",2,if(S123="tie",1,0))+if(O123&gt;=12,1,0)+if(Q123&gt;=40,1,0),0)</f>
        <v>0</v>
      </c>
      <c r="V123" s="186">
        <f>if($B123&gt;Rankings!$Q$2,if(S123="blue",2,if(S123="tie",1,0))+if(P123&gt;=12,1,0)+if(R123&gt;=40,1,0),0)</f>
        <v>0</v>
      </c>
      <c r="W123" s="185">
        <f>if($B123&gt;Rankings!$Q$2,M123,0)</f>
        <v>0</v>
      </c>
      <c r="X123" s="186">
        <f>if($B123&gt;Rankings!$Q$2,N123,0)</f>
        <v>0</v>
      </c>
      <c r="Y123" s="81" t="str">
        <f t="shared" si="3"/>
        <v/>
      </c>
      <c r="Z123" s="85"/>
      <c r="AA123" s="232"/>
      <c r="AB123" s="232"/>
      <c r="AC123" s="232"/>
      <c r="AD123" s="232"/>
      <c r="AE123" s="232"/>
      <c r="AF123" s="232"/>
      <c r="AG123" s="232"/>
      <c r="AH123" s="232"/>
      <c r="AI123" s="232"/>
      <c r="AJ123" s="232"/>
      <c r="AK123" s="232"/>
      <c r="AL123" s="233"/>
    </row>
    <row r="124">
      <c r="A124" s="83">
        <v>122.0</v>
      </c>
      <c r="B124" s="229"/>
      <c r="C124" s="181"/>
      <c r="D124" s="181"/>
      <c r="E124" s="181"/>
      <c r="F124" s="182"/>
      <c r="G124" s="182"/>
      <c r="H124" s="182"/>
      <c r="I124" s="183"/>
      <c r="J124" s="184"/>
      <c r="K124" s="185">
        <f t="array" ref="K124">if( Rankings!$Q$6="y",index(Avgs!B:B,match(C124,Avgs!A:A,0))+index(Avgs!B:B,match(D124,Avgs!A:A,0))+index(Avgs!B:B,match(E124,Avgs!A:A,0)),0)</f>
        <v>0</v>
      </c>
      <c r="L124" s="186">
        <f t="array" ref="L124">if( Rankings!$Q$6="y",index(Avgs!B:B,match(F124,Avgs!A:A,0))+index(Avgs!B:B,match(G124,Avgs!A:A,0))+index(Avgs!B:B,match(H124,Avgs!A:A,0)),0)</f>
        <v>0</v>
      </c>
      <c r="M124" s="187">
        <f>if( Rankings!$Q$6="y",K124,0)</f>
        <v>0</v>
      </c>
      <c r="N124" s="186">
        <f>if( Rankings!$Q$6="y",L124,0)</f>
        <v>0</v>
      </c>
      <c r="O124" s="185">
        <f t="array" ref="O124">if( Rankings!$Q$6="y",index(Avgs!Q:Q,match(C124,Avgs!A:A,0))+index(Avgs!Q:Q,match(D124,Avgs!A:A,0))+index(Avgs!Q:Q,match(E124,Avgs!A:A,0)),0)</f>
        <v>0</v>
      </c>
      <c r="P124" s="186">
        <f t="array" ref="P124">if( Rankings!$Q$6="y",index(Avgs!Q:Q,match(F124,Avgs!A:A,0))+index(Avgs!Q:Q,match(G124,Avgs!A:A,0))+index(Avgs!Q:Q,match(H124,Avgs!A:A,0)),0)</f>
        <v>0</v>
      </c>
      <c r="Q124" s="185">
        <f t="array" ref="Q124">if( Rankings!$Q$6="y",index(Avgs!P:P,match(C124,Avgs!A:A,0))+index(Avgs!P:P,match(D124,Avgs!A:A,0))+index(Avgs!P:P,match(E124,Avgs!A:A,0)),0)</f>
        <v>0</v>
      </c>
      <c r="R124" s="186">
        <f t="array" ref="R124">if( Rankings!$Q$6="y",index(Avgs!P:P,match(F124,Avgs!A:A,0))+index(Avgs!P:P,match(G124,Avgs!A:A,0))+index(Avgs!P:P,match(H124,Avgs!A:A,0)),0)</f>
        <v>0</v>
      </c>
      <c r="S124" s="188" t="str">
        <f t="shared" si="1"/>
        <v>tie</v>
      </c>
      <c r="T124" s="188" t="str">
        <f t="shared" si="2"/>
        <v>tie</v>
      </c>
      <c r="U124" s="185">
        <f>if($B124&gt;Rankings!$Q$2,if(S124="red",2,if(S124="tie",1,0))+if(O124&gt;=12,1,0)+if(Q124&gt;=40,1,0),0)</f>
        <v>0</v>
      </c>
      <c r="V124" s="186">
        <f>if($B124&gt;Rankings!$Q$2,if(S124="blue",2,if(S124="tie",1,0))+if(P124&gt;=12,1,0)+if(R124&gt;=40,1,0),0)</f>
        <v>0</v>
      </c>
      <c r="W124" s="185">
        <f>if($B124&gt;Rankings!$Q$2,M124,0)</f>
        <v>0</v>
      </c>
      <c r="X124" s="186">
        <f>if($B124&gt;Rankings!$Q$2,N124,0)</f>
        <v>0</v>
      </c>
      <c r="Y124" s="81" t="str">
        <f t="shared" si="3"/>
        <v/>
      </c>
      <c r="Z124" s="85"/>
      <c r="AA124" s="232"/>
      <c r="AB124" s="232"/>
      <c r="AC124" s="232"/>
      <c r="AD124" s="232"/>
      <c r="AE124" s="232"/>
      <c r="AF124" s="232"/>
      <c r="AG124" s="232"/>
      <c r="AH124" s="232"/>
      <c r="AI124" s="232"/>
      <c r="AJ124" s="232"/>
      <c r="AK124" s="232"/>
      <c r="AL124" s="233"/>
    </row>
    <row r="125">
      <c r="A125" s="83">
        <v>123.0</v>
      </c>
      <c r="B125" s="229"/>
      <c r="C125" s="181"/>
      <c r="D125" s="181"/>
      <c r="E125" s="181"/>
      <c r="F125" s="182"/>
      <c r="G125" s="182"/>
      <c r="H125" s="182"/>
      <c r="I125" s="183"/>
      <c r="J125" s="184"/>
      <c r="K125" s="185">
        <f t="array" ref="K125">if( Rankings!$Q$6="y",index(Avgs!B:B,match(C125,Avgs!A:A,0))+index(Avgs!B:B,match(D125,Avgs!A:A,0))+index(Avgs!B:B,match(E125,Avgs!A:A,0)),0)</f>
        <v>0</v>
      </c>
      <c r="L125" s="186">
        <f t="array" ref="L125">if( Rankings!$Q$6="y",index(Avgs!B:B,match(F125,Avgs!A:A,0))+index(Avgs!B:B,match(G125,Avgs!A:A,0))+index(Avgs!B:B,match(H125,Avgs!A:A,0)),0)</f>
        <v>0</v>
      </c>
      <c r="M125" s="187">
        <f>if( Rankings!$Q$6="y",K125,0)</f>
        <v>0</v>
      </c>
      <c r="N125" s="186">
        <f>if( Rankings!$Q$6="y",L125,0)</f>
        <v>0</v>
      </c>
      <c r="O125" s="185">
        <f t="array" ref="O125">if( Rankings!$Q$6="y",index(Avgs!Q:Q,match(C125,Avgs!A:A,0))+index(Avgs!Q:Q,match(D125,Avgs!A:A,0))+index(Avgs!Q:Q,match(E125,Avgs!A:A,0)),0)</f>
        <v>0</v>
      </c>
      <c r="P125" s="186">
        <f t="array" ref="P125">if( Rankings!$Q$6="y",index(Avgs!Q:Q,match(F125,Avgs!A:A,0))+index(Avgs!Q:Q,match(G125,Avgs!A:A,0))+index(Avgs!Q:Q,match(H125,Avgs!A:A,0)),0)</f>
        <v>0</v>
      </c>
      <c r="Q125" s="185">
        <f t="array" ref="Q125">if( Rankings!$Q$6="y",index(Avgs!P:P,match(C125,Avgs!A:A,0))+index(Avgs!P:P,match(D125,Avgs!A:A,0))+index(Avgs!P:P,match(E125,Avgs!A:A,0)),0)</f>
        <v>0</v>
      </c>
      <c r="R125" s="186">
        <f t="array" ref="R125">if( Rankings!$Q$6="y",index(Avgs!P:P,match(F125,Avgs!A:A,0))+index(Avgs!P:P,match(G125,Avgs!A:A,0))+index(Avgs!P:P,match(H125,Avgs!A:A,0)),0)</f>
        <v>0</v>
      </c>
      <c r="S125" s="188" t="str">
        <f t="shared" si="1"/>
        <v>tie</v>
      </c>
      <c r="T125" s="188" t="str">
        <f t="shared" si="2"/>
        <v>tie</v>
      </c>
      <c r="U125" s="185">
        <f>if($B125&gt;Rankings!$Q$2,if(S125="red",2,if(S125="tie",1,0))+if(O125&gt;=12,1,0)+if(Q125&gt;=40,1,0),0)</f>
        <v>0</v>
      </c>
      <c r="V125" s="186">
        <f>if($B125&gt;Rankings!$Q$2,if(S125="blue",2,if(S125="tie",1,0))+if(P125&gt;=12,1,0)+if(R125&gt;=40,1,0),0)</f>
        <v>0</v>
      </c>
      <c r="W125" s="185">
        <f>if($B125&gt;Rankings!$Q$2,M125,0)</f>
        <v>0</v>
      </c>
      <c r="X125" s="186">
        <f>if($B125&gt;Rankings!$Q$2,N125,0)</f>
        <v>0</v>
      </c>
      <c r="Y125" s="81" t="str">
        <f t="shared" si="3"/>
        <v/>
      </c>
      <c r="Z125" s="85"/>
      <c r="AA125" s="232"/>
      <c r="AB125" s="232"/>
      <c r="AC125" s="232"/>
      <c r="AD125" s="232"/>
      <c r="AE125" s="232"/>
      <c r="AF125" s="232"/>
      <c r="AG125" s="232"/>
      <c r="AH125" s="232"/>
      <c r="AI125" s="232"/>
      <c r="AJ125" s="232"/>
      <c r="AK125" s="232"/>
      <c r="AL125" s="233"/>
    </row>
    <row r="126">
      <c r="A126" s="83">
        <v>124.0</v>
      </c>
      <c r="B126" s="229"/>
      <c r="C126" s="181"/>
      <c r="D126" s="181"/>
      <c r="E126" s="181"/>
      <c r="F126" s="182"/>
      <c r="G126" s="182"/>
      <c r="H126" s="182"/>
      <c r="I126" s="183"/>
      <c r="J126" s="184"/>
      <c r="K126" s="185">
        <f t="array" ref="K126">if( Rankings!$Q$6="y",index(Avgs!B:B,match(C126,Avgs!A:A,0))+index(Avgs!B:B,match(D126,Avgs!A:A,0))+index(Avgs!B:B,match(E126,Avgs!A:A,0)),0)</f>
        <v>0</v>
      </c>
      <c r="L126" s="186">
        <f t="array" ref="L126">if( Rankings!$Q$6="y",index(Avgs!B:B,match(F126,Avgs!A:A,0))+index(Avgs!B:B,match(G126,Avgs!A:A,0))+index(Avgs!B:B,match(H126,Avgs!A:A,0)),0)</f>
        <v>0</v>
      </c>
      <c r="M126" s="187">
        <f>if( Rankings!$Q$6="y",K126,0)</f>
        <v>0</v>
      </c>
      <c r="N126" s="186">
        <f>if( Rankings!$Q$6="y",L126,0)</f>
        <v>0</v>
      </c>
      <c r="O126" s="185">
        <f t="array" ref="O126">if( Rankings!$Q$6="y",index(Avgs!Q:Q,match(C126,Avgs!A:A,0))+index(Avgs!Q:Q,match(D126,Avgs!A:A,0))+index(Avgs!Q:Q,match(E126,Avgs!A:A,0)),0)</f>
        <v>0</v>
      </c>
      <c r="P126" s="186">
        <f t="array" ref="P126">if( Rankings!$Q$6="y",index(Avgs!Q:Q,match(F126,Avgs!A:A,0))+index(Avgs!Q:Q,match(G126,Avgs!A:A,0))+index(Avgs!Q:Q,match(H126,Avgs!A:A,0)),0)</f>
        <v>0</v>
      </c>
      <c r="Q126" s="185">
        <f t="array" ref="Q126">if( Rankings!$Q$6="y",index(Avgs!P:P,match(C126,Avgs!A:A,0))+index(Avgs!P:P,match(D126,Avgs!A:A,0))+index(Avgs!P:P,match(E126,Avgs!A:A,0)),0)</f>
        <v>0</v>
      </c>
      <c r="R126" s="186">
        <f t="array" ref="R126">if( Rankings!$Q$6="y",index(Avgs!P:P,match(F126,Avgs!A:A,0))+index(Avgs!P:P,match(G126,Avgs!A:A,0))+index(Avgs!P:P,match(H126,Avgs!A:A,0)),0)</f>
        <v>0</v>
      </c>
      <c r="S126" s="188" t="str">
        <f t="shared" si="1"/>
        <v>tie</v>
      </c>
      <c r="T126" s="188" t="str">
        <f t="shared" si="2"/>
        <v>tie</v>
      </c>
      <c r="U126" s="185">
        <f>if($B126&gt;Rankings!$Q$2,if(S126="red",2,if(S126="tie",1,0))+if(O126&gt;=12,1,0)+if(Q126&gt;=40,1,0),0)</f>
        <v>0</v>
      </c>
      <c r="V126" s="186">
        <f>if($B126&gt;Rankings!$Q$2,if(S126="blue",2,if(S126="tie",1,0))+if(P126&gt;=12,1,0)+if(R126&gt;=40,1,0),0)</f>
        <v>0</v>
      </c>
      <c r="W126" s="185">
        <f>if($B126&gt;Rankings!$Q$2,M126,0)</f>
        <v>0</v>
      </c>
      <c r="X126" s="186">
        <f>if($B126&gt;Rankings!$Q$2,N126,0)</f>
        <v>0</v>
      </c>
      <c r="Y126" s="81" t="str">
        <f t="shared" si="3"/>
        <v/>
      </c>
      <c r="Z126" s="85"/>
      <c r="AA126" s="232"/>
      <c r="AB126" s="232"/>
      <c r="AC126" s="232"/>
      <c r="AD126" s="232"/>
      <c r="AE126" s="232"/>
      <c r="AF126" s="232"/>
      <c r="AG126" s="232"/>
      <c r="AH126" s="232"/>
      <c r="AI126" s="232"/>
      <c r="AJ126" s="232"/>
      <c r="AK126" s="232"/>
      <c r="AL126" s="233"/>
    </row>
    <row r="127">
      <c r="A127" s="234"/>
      <c r="B127" s="229"/>
      <c r="C127" s="181"/>
      <c r="D127" s="181"/>
      <c r="E127" s="181"/>
      <c r="F127" s="182"/>
      <c r="G127" s="182"/>
      <c r="H127" s="182"/>
      <c r="I127" s="183"/>
      <c r="J127" s="184"/>
      <c r="K127" s="185">
        <f t="array" ref="K127">if( Rankings!$Q$6="y",index(Avgs!B:B,match(C127,Avgs!A:A,0))+index(Avgs!B:B,match(D127,Avgs!A:A,0))+index(Avgs!B:B,match(E127,Avgs!A:A,0)),0)</f>
        <v>0</v>
      </c>
      <c r="L127" s="186">
        <f t="array" ref="L127">if( Rankings!$Q$6="y",index(Avgs!B:B,match(F127,Avgs!A:A,0))+index(Avgs!B:B,match(G127,Avgs!A:A,0))+index(Avgs!B:B,match(H127,Avgs!A:A,0)),0)</f>
        <v>0</v>
      </c>
      <c r="M127" s="187">
        <f>if( Rankings!$Q$6="y",K127,0)</f>
        <v>0</v>
      </c>
      <c r="N127" s="186">
        <f>if( Rankings!$Q$6="y",L127,0)</f>
        <v>0</v>
      </c>
      <c r="O127" s="185">
        <f t="array" ref="O127">if( Rankings!$Q$6="y",index(Avgs!Q:Q,match(C127,Avgs!A:A,0))+index(Avgs!Q:Q,match(D127,Avgs!A:A,0))+index(Avgs!Q:Q,match(E127,Avgs!A:A,0)),0)</f>
        <v>0</v>
      </c>
      <c r="P127" s="186">
        <f t="array" ref="P127">if( Rankings!$Q$6="y",index(Avgs!Q:Q,match(F127,Avgs!A:A,0))+index(Avgs!Q:Q,match(G127,Avgs!A:A,0))+index(Avgs!Q:Q,match(H127,Avgs!A:A,0)),0)</f>
        <v>0</v>
      </c>
      <c r="Q127" s="185">
        <f t="array" ref="Q127">if( Rankings!$Q$6="y",index(Avgs!P:P,match(C127,Avgs!A:A,0))+index(Avgs!P:P,match(D127,Avgs!A:A,0))+index(Avgs!P:P,match(E127,Avgs!A:A,0)),0)</f>
        <v>0</v>
      </c>
      <c r="R127" s="186">
        <f t="array" ref="R127">if( Rankings!$Q$6="y",index(Avgs!P:P,match(F127,Avgs!A:A,0))+index(Avgs!P:P,match(G127,Avgs!A:A,0))+index(Avgs!P:P,match(H127,Avgs!A:A,0)),0)</f>
        <v>0</v>
      </c>
      <c r="S127" s="188" t="str">
        <f t="shared" si="1"/>
        <v>tie</v>
      </c>
      <c r="T127" s="188" t="str">
        <f t="shared" si="2"/>
        <v>tie</v>
      </c>
      <c r="U127" s="185">
        <f>if($B127&gt;Rankings!$Q$2,if(S127="red",2,if(S127="tie",1,0))+if(O127&gt;=12,1,0)+if(Q127&gt;=40,1,0),0)</f>
        <v>0</v>
      </c>
      <c r="V127" s="186">
        <f>if($B127&gt;Rankings!$Q$2,if(S127="blue",2,if(S127="tie",1,0))+if(P127&gt;=12,1,0)+if(R127&gt;=40,1,0),0)</f>
        <v>0</v>
      </c>
      <c r="W127" s="185">
        <f>if($B127&gt;Rankings!$Q$2,M127,0)</f>
        <v>0</v>
      </c>
      <c r="X127" s="186">
        <f>if($B127&gt;Rankings!$Q$2,N127,0)</f>
        <v>0</v>
      </c>
      <c r="Y127" s="81" t="str">
        <f t="shared" si="3"/>
        <v/>
      </c>
      <c r="Z127" s="85"/>
      <c r="AA127" s="232"/>
      <c r="AB127" s="232"/>
      <c r="AC127" s="232"/>
      <c r="AD127" s="232"/>
      <c r="AE127" s="232"/>
      <c r="AF127" s="232"/>
      <c r="AG127" s="232"/>
      <c r="AH127" s="232"/>
      <c r="AI127" s="232"/>
      <c r="AJ127" s="232"/>
      <c r="AK127" s="232"/>
      <c r="AL127" s="233"/>
    </row>
  </sheetData>
  <mergeCells count="11">
    <mergeCell ref="M1:N1"/>
    <mergeCell ref="Q1:R1"/>
    <mergeCell ref="O1:P1"/>
    <mergeCell ref="U1:V1"/>
    <mergeCell ref="W1:X1"/>
    <mergeCell ref="AA1:AL1"/>
    <mergeCell ref="Y1:Y2"/>
    <mergeCell ref="K1:L1"/>
    <mergeCell ref="I1:J1"/>
    <mergeCell ref="A1:H1"/>
    <mergeCell ref="S1:T1"/>
  </mergeCells>
  <conditionalFormatting sqref="S3:T127">
    <cfRule type="containsText" dxfId="1" priority="1" operator="containsText" text="red">
      <formula>NOT(ISERROR(SEARCH(("red"),(S3))))</formula>
    </cfRule>
  </conditionalFormatting>
  <conditionalFormatting sqref="S3:T127">
    <cfRule type="containsText" dxfId="2" priority="2" operator="containsText" text="blue">
      <formula>NOT(ISERROR(SEARCH(("blue"),(S3))))</formula>
    </cfRule>
  </conditionalFormatting>
  <conditionalFormatting sqref="C3:H127">
    <cfRule type="cellIs" dxfId="4" priority="3" operator="equal">
      <formula>973</formula>
    </cfRule>
  </conditionalFormatting>
  <conditionalFormatting sqref="C1:H127">
    <cfRule type="cellIs" dxfId="6" priority="4" operator="equal">
      <formula>1678</formula>
    </cfRule>
  </conditionalFormatting>
  <conditionalFormatting sqref="C1:H127">
    <cfRule type="cellIs" dxfId="7" priority="5" operator="equal">
      <formula>1323</formula>
    </cfRule>
  </conditionalFormatting>
  <conditionalFormatting sqref="C1:H127">
    <cfRule type="cellIs" dxfId="8" priority="6" operator="equal">
      <formula>294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4" max="4" width="15.71"/>
  </cols>
  <sheetData>
    <row r="1">
      <c r="A1" s="190"/>
      <c r="B1" s="191"/>
      <c r="C1" s="192" t="s">
        <v>6</v>
      </c>
      <c r="F1" s="193" t="s">
        <v>14</v>
      </c>
      <c r="J1" s="194"/>
    </row>
    <row r="2">
      <c r="A2" s="195" t="s">
        <v>1</v>
      </c>
      <c r="B2" s="196" t="s">
        <v>431</v>
      </c>
      <c r="C2" s="197" t="s">
        <v>432</v>
      </c>
      <c r="D2" s="197" t="s">
        <v>434</v>
      </c>
      <c r="E2" s="197" t="s">
        <v>435</v>
      </c>
      <c r="F2" s="198" t="s">
        <v>436</v>
      </c>
      <c r="G2" s="198" t="s">
        <v>437</v>
      </c>
      <c r="H2" s="198" t="s">
        <v>438</v>
      </c>
      <c r="I2" s="198" t="s">
        <v>435</v>
      </c>
      <c r="J2" s="197" t="s">
        <v>439</v>
      </c>
    </row>
    <row r="3">
      <c r="A3" s="199">
        <v>294.0</v>
      </c>
      <c r="B3" s="200" t="str">
        <f t="array" ref="B3">index('Component OPR Dump'!$A:$A,match($A3,#REF!,0))</f>
        <v>#N/A</v>
      </c>
      <c r="C3" s="201" t="str">
        <f t="array" ref="C3">index('Component OPR Dump'!$E:$E,match($A3,#REF!,0))</f>
        <v>#N/A</v>
      </c>
      <c r="D3" s="201" t="str">
        <f t="array" ref="D3">index('Component OPR Dump'!$C:$C,match($A3,#REF!,0))</f>
        <v>#N/A</v>
      </c>
      <c r="E3" s="201" t="str">
        <f t="array" ref="E3">index('Component OPR Dump'!$D:$D,match($A3,#REF!,0))</f>
        <v>#N/A</v>
      </c>
      <c r="F3" s="200" t="str">
        <f t="array" ref="F3">index('Component OPR Dump'!$H:$H,match($A3,#REF!,0))</f>
        <v>#N/A</v>
      </c>
      <c r="G3" s="200" t="str">
        <f t="array" ref="G3">index('Component OPR Dump'!$G:$G,match($A3,#REF!,0))</f>
        <v>#N/A</v>
      </c>
      <c r="H3" s="200" t="str">
        <f t="array" ref="H3">index('Component OPR Dump'!$I:$I,match($A3,#REF!,0))</f>
        <v>#N/A</v>
      </c>
      <c r="I3" s="200" t="str">
        <f t="array" ref="I3">index('Component OPR Dump'!$F:$F,match($A3,#REF!,0))</f>
        <v>#N/A</v>
      </c>
      <c r="J3" s="201" t="str">
        <f t="array" ref="J3">index('Component OPR Dump'!$K:$K,match($A3,#REF!,0))</f>
        <v>#N/A</v>
      </c>
    </row>
    <row r="4">
      <c r="A4" s="199">
        <v>670.0</v>
      </c>
      <c r="B4" s="200" t="str">
        <f t="array" ref="B4">index('Component OPR Dump'!$A:$A,match($A4,#REF!,0))</f>
        <v>#N/A</v>
      </c>
      <c r="C4" s="201" t="str">
        <f t="array" ref="C4">index('Component OPR Dump'!$E:$E,match($A4,#REF!,0))</f>
        <v>#N/A</v>
      </c>
      <c r="D4" s="201" t="str">
        <f t="array" ref="D4">index('Component OPR Dump'!$C:$C,match($A4,#REF!,0))</f>
        <v>#N/A</v>
      </c>
      <c r="E4" s="201" t="str">
        <f t="array" ref="E4">index('Component OPR Dump'!$D:$D,match($A4,#REF!,0))</f>
        <v>#N/A</v>
      </c>
      <c r="F4" s="200" t="str">
        <f t="array" ref="F4">index('Component OPR Dump'!$H:$H,match($A4,#REF!,0))</f>
        <v>#N/A</v>
      </c>
      <c r="G4" s="200" t="str">
        <f t="array" ref="G4">index('Component OPR Dump'!$G:$G,match($A4,#REF!,0))</f>
        <v>#N/A</v>
      </c>
      <c r="H4" s="200" t="str">
        <f t="array" ref="H4">index('Component OPR Dump'!$I:$I,match($A4,#REF!,0))</f>
        <v>#N/A</v>
      </c>
      <c r="I4" s="200" t="str">
        <f t="array" ref="I4">index('Component OPR Dump'!$F:$F,match($A4,#REF!,0))</f>
        <v>#N/A</v>
      </c>
      <c r="J4" s="201" t="str">
        <f t="array" ref="J4">index('Component OPR Dump'!$K:$K,match($A4,#REF!,0))</f>
        <v>#N/A</v>
      </c>
    </row>
    <row r="5">
      <c r="A5" s="199">
        <v>687.0</v>
      </c>
      <c r="B5" s="200" t="str">
        <f t="array" ref="B5">index('Component OPR Dump'!$A:$A,match($A5,#REF!,0))</f>
        <v>#N/A</v>
      </c>
      <c r="C5" s="201" t="str">
        <f t="array" ref="C5">index('Component OPR Dump'!$E:$E,match($A5,#REF!,0))</f>
        <v>#N/A</v>
      </c>
      <c r="D5" s="201" t="str">
        <f t="array" ref="D5">index('Component OPR Dump'!$C:$C,match($A5,#REF!,0))</f>
        <v>#N/A</v>
      </c>
      <c r="E5" s="201" t="str">
        <f t="array" ref="E5">index('Component OPR Dump'!$D:$D,match($A5,#REF!,0))</f>
        <v>#N/A</v>
      </c>
      <c r="F5" s="200" t="str">
        <f t="array" ref="F5">index('Component OPR Dump'!$H:$H,match($A5,#REF!,0))</f>
        <v>#N/A</v>
      </c>
      <c r="G5" s="200" t="str">
        <f t="array" ref="G5">index('Component OPR Dump'!$G:$G,match($A5,#REF!,0))</f>
        <v>#N/A</v>
      </c>
      <c r="H5" s="200" t="str">
        <f t="array" ref="H5">index('Component OPR Dump'!$I:$I,match($A5,#REF!,0))</f>
        <v>#N/A</v>
      </c>
      <c r="I5" s="200" t="str">
        <f t="array" ref="I5">index('Component OPR Dump'!$F:$F,match($A5,#REF!,0))</f>
        <v>#N/A</v>
      </c>
      <c r="J5" s="201" t="str">
        <f t="array" ref="J5">index('Component OPR Dump'!$K:$K,match($A5,#REF!,0))</f>
        <v>#N/A</v>
      </c>
    </row>
    <row r="6">
      <c r="A6" s="199">
        <v>751.0</v>
      </c>
      <c r="B6" s="200" t="str">
        <f t="array" ref="B6">index('Component OPR Dump'!$A:$A,match($A6,#REF!,0))</f>
        <v>#N/A</v>
      </c>
      <c r="C6" s="201" t="str">
        <f t="array" ref="C6">index('Component OPR Dump'!$E:$E,match($A6,#REF!,0))</f>
        <v>#N/A</v>
      </c>
      <c r="D6" s="201" t="str">
        <f t="array" ref="D6">index('Component OPR Dump'!$C:$C,match($A6,#REF!,0))</f>
        <v>#N/A</v>
      </c>
      <c r="E6" s="201" t="str">
        <f t="array" ref="E6">index('Component OPR Dump'!$D:$D,match($A6,#REF!,0))</f>
        <v>#N/A</v>
      </c>
      <c r="F6" s="200" t="str">
        <f t="array" ref="F6">index('Component OPR Dump'!$H:$H,match($A6,#REF!,0))</f>
        <v>#N/A</v>
      </c>
      <c r="G6" s="200" t="str">
        <f t="array" ref="G6">index('Component OPR Dump'!$G:$G,match($A6,#REF!,0))</f>
        <v>#N/A</v>
      </c>
      <c r="H6" s="200" t="str">
        <f t="array" ref="H6">index('Component OPR Dump'!$I:$I,match($A6,#REF!,0))</f>
        <v>#N/A</v>
      </c>
      <c r="I6" s="200" t="str">
        <f t="array" ref="I6">index('Component OPR Dump'!$F:$F,match($A6,#REF!,0))</f>
        <v>#N/A</v>
      </c>
      <c r="J6" s="201" t="str">
        <f t="array" ref="J6">index('Component OPR Dump'!$K:$K,match($A6,#REF!,0))</f>
        <v>#N/A</v>
      </c>
    </row>
    <row r="7">
      <c r="A7" s="199">
        <v>852.0</v>
      </c>
      <c r="B7" s="200" t="str">
        <f t="array" ref="B7">index('Component OPR Dump'!$A:$A,match($A7,#REF!,0))</f>
        <v>#N/A</v>
      </c>
      <c r="C7" s="201" t="str">
        <f t="array" ref="C7">index('Component OPR Dump'!$E:$E,match($A7,#REF!,0))</f>
        <v>#N/A</v>
      </c>
      <c r="D7" s="201" t="str">
        <f t="array" ref="D7">index('Component OPR Dump'!$C:$C,match($A7,#REF!,0))</f>
        <v>#N/A</v>
      </c>
      <c r="E7" s="201" t="str">
        <f t="array" ref="E7">index('Component OPR Dump'!$D:$D,match($A7,#REF!,0))</f>
        <v>#N/A</v>
      </c>
      <c r="F7" s="200" t="str">
        <f t="array" ref="F7">index('Component OPR Dump'!$H:$H,match($A7,#REF!,0))</f>
        <v>#N/A</v>
      </c>
      <c r="G7" s="200" t="str">
        <f t="array" ref="G7">index('Component OPR Dump'!$G:$G,match($A7,#REF!,0))</f>
        <v>#N/A</v>
      </c>
      <c r="H7" s="200" t="str">
        <f t="array" ref="H7">index('Component OPR Dump'!$I:$I,match($A7,#REF!,0))</f>
        <v>#N/A</v>
      </c>
      <c r="I7" s="200" t="str">
        <f t="array" ref="I7">index('Component OPR Dump'!$F:$F,match($A7,#REF!,0))</f>
        <v>#N/A</v>
      </c>
      <c r="J7" s="201" t="str">
        <f t="array" ref="J7">index('Component OPR Dump'!$K:$K,match($A7,#REF!,0))</f>
        <v>#N/A</v>
      </c>
    </row>
    <row r="8">
      <c r="A8" s="199">
        <v>972.0</v>
      </c>
      <c r="B8" s="200" t="str">
        <f t="array" ref="B8">index('Component OPR Dump'!$A:$A,match($A8,#REF!,0))</f>
        <v>#N/A</v>
      </c>
      <c r="C8" s="201" t="str">
        <f t="array" ref="C8">index('Component OPR Dump'!$E:$E,match($A8,#REF!,0))</f>
        <v>#N/A</v>
      </c>
      <c r="D8" s="201" t="str">
        <f t="array" ref="D8">index('Component OPR Dump'!$C:$C,match($A8,#REF!,0))</f>
        <v>#N/A</v>
      </c>
      <c r="E8" s="201" t="str">
        <f t="array" ref="E8">index('Component OPR Dump'!$D:$D,match($A8,#REF!,0))</f>
        <v>#N/A</v>
      </c>
      <c r="F8" s="200" t="str">
        <f t="array" ref="F8">index('Component OPR Dump'!$H:$H,match($A8,#REF!,0))</f>
        <v>#N/A</v>
      </c>
      <c r="G8" s="200" t="str">
        <f t="array" ref="G8">index('Component OPR Dump'!$G:$G,match($A8,#REF!,0))</f>
        <v>#N/A</v>
      </c>
      <c r="H8" s="200" t="str">
        <f t="array" ref="H8">index('Component OPR Dump'!$I:$I,match($A8,#REF!,0))</f>
        <v>#N/A</v>
      </c>
      <c r="I8" s="200" t="str">
        <f t="array" ref="I8">index('Component OPR Dump'!$F:$F,match($A8,#REF!,0))</f>
        <v>#N/A</v>
      </c>
      <c r="J8" s="201" t="str">
        <f t="array" ref="J8">index('Component OPR Dump'!$K:$K,match($A8,#REF!,0))</f>
        <v>#N/A</v>
      </c>
    </row>
    <row r="9">
      <c r="A9" s="199">
        <v>973.0</v>
      </c>
      <c r="B9" s="200" t="str">
        <f t="array" ref="B9">index('Component OPR Dump'!$A:$A,match($A9,#REF!,0))</f>
        <v>#N/A</v>
      </c>
      <c r="C9" s="201" t="str">
        <f t="array" ref="C9">index('Component OPR Dump'!$E:$E,match($A9,#REF!,0))</f>
        <v>#N/A</v>
      </c>
      <c r="D9" s="201" t="str">
        <f t="array" ref="D9">index('Component OPR Dump'!$C:$C,match($A9,#REF!,0))</f>
        <v>#N/A</v>
      </c>
      <c r="E9" s="201" t="str">
        <f t="array" ref="E9">index('Component OPR Dump'!$D:$D,match($A9,#REF!,0))</f>
        <v>#N/A</v>
      </c>
      <c r="F9" s="200" t="str">
        <f t="array" ref="F9">index('Component OPR Dump'!$H:$H,match($A9,#REF!,0))</f>
        <v>#N/A</v>
      </c>
      <c r="G9" s="200" t="str">
        <f t="array" ref="G9">index('Component OPR Dump'!$G:$G,match($A9,#REF!,0))</f>
        <v>#N/A</v>
      </c>
      <c r="H9" s="200" t="str">
        <f t="array" ref="H9">index('Component OPR Dump'!$I:$I,match($A9,#REF!,0))</f>
        <v>#N/A</v>
      </c>
      <c r="I9" s="200" t="str">
        <f t="array" ref="I9">index('Component OPR Dump'!$F:$F,match($A9,#REF!,0))</f>
        <v>#N/A</v>
      </c>
      <c r="J9" s="201" t="str">
        <f t="array" ref="J9">index('Component OPR Dump'!$K:$K,match($A9,#REF!,0))</f>
        <v>#N/A</v>
      </c>
    </row>
    <row r="10">
      <c r="A10" s="199">
        <v>980.0</v>
      </c>
      <c r="B10" s="200" t="str">
        <f t="array" ref="B10">index('Component OPR Dump'!$A:$A,match($A10,#REF!,0))</f>
        <v>#N/A</v>
      </c>
      <c r="C10" s="201" t="str">
        <f t="array" ref="C10">index('Component OPR Dump'!$E:$E,match($A10,#REF!,0))</f>
        <v>#N/A</v>
      </c>
      <c r="D10" s="201" t="str">
        <f t="array" ref="D10">index('Component OPR Dump'!$C:$C,match($A10,#REF!,0))</f>
        <v>#N/A</v>
      </c>
      <c r="E10" s="201" t="str">
        <f t="array" ref="E10">index('Component OPR Dump'!$D:$D,match($A10,#REF!,0))</f>
        <v>#N/A</v>
      </c>
      <c r="F10" s="200" t="str">
        <f t="array" ref="F10">index('Component OPR Dump'!$H:$H,match($A10,#REF!,0))</f>
        <v>#N/A</v>
      </c>
      <c r="G10" s="200" t="str">
        <f t="array" ref="G10">index('Component OPR Dump'!$G:$G,match($A10,#REF!,0))</f>
        <v>#N/A</v>
      </c>
      <c r="H10" s="200" t="str">
        <f t="array" ref="H10">index('Component OPR Dump'!$I:$I,match($A10,#REF!,0))</f>
        <v>#N/A</v>
      </c>
      <c r="I10" s="200" t="str">
        <f t="array" ref="I10">index('Component OPR Dump'!$F:$F,match($A10,#REF!,0))</f>
        <v>#N/A</v>
      </c>
      <c r="J10" s="201" t="str">
        <f t="array" ref="J10">index('Component OPR Dump'!$K:$K,match($A10,#REF!,0))</f>
        <v>#N/A</v>
      </c>
    </row>
    <row r="11">
      <c r="A11" s="199">
        <v>1072.0</v>
      </c>
      <c r="B11" s="200" t="str">
        <f t="array" ref="B11">index('Component OPR Dump'!$A:$A,match($A11,#REF!,0))</f>
        <v>#N/A</v>
      </c>
      <c r="C11" s="201" t="str">
        <f t="array" ref="C11">index('Component OPR Dump'!$E:$E,match($A11,#REF!,0))</f>
        <v>#N/A</v>
      </c>
      <c r="D11" s="201" t="str">
        <f t="array" ref="D11">index('Component OPR Dump'!$C:$C,match($A11,#REF!,0))</f>
        <v>#N/A</v>
      </c>
      <c r="E11" s="201" t="str">
        <f t="array" ref="E11">index('Component OPR Dump'!$D:$D,match($A11,#REF!,0))</f>
        <v>#N/A</v>
      </c>
      <c r="F11" s="200" t="str">
        <f t="array" ref="F11">index('Component OPR Dump'!$H:$H,match($A11,#REF!,0))</f>
        <v>#N/A</v>
      </c>
      <c r="G11" s="200" t="str">
        <f t="array" ref="G11">index('Component OPR Dump'!$G:$G,match($A11,#REF!,0))</f>
        <v>#N/A</v>
      </c>
      <c r="H11" s="200" t="str">
        <f t="array" ref="H11">index('Component OPR Dump'!$I:$I,match($A11,#REF!,0))</f>
        <v>#N/A</v>
      </c>
      <c r="I11" s="200" t="str">
        <f t="array" ref="I11">index('Component OPR Dump'!$F:$F,match($A11,#REF!,0))</f>
        <v>#N/A</v>
      </c>
      <c r="J11" s="201" t="str">
        <f t="array" ref="J11">index('Component OPR Dump'!$K:$K,match($A11,#REF!,0))</f>
        <v>#N/A</v>
      </c>
    </row>
    <row r="12">
      <c r="A12" s="199">
        <v>1323.0</v>
      </c>
      <c r="B12" s="200" t="str">
        <f t="array" ref="B12">index('Component OPR Dump'!$A:$A,match($A12,#REF!,0))</f>
        <v>#N/A</v>
      </c>
      <c r="C12" s="201" t="str">
        <f t="array" ref="C12">index('Component OPR Dump'!$E:$E,match($A12,#REF!,0))</f>
        <v>#N/A</v>
      </c>
      <c r="D12" s="201" t="str">
        <f t="array" ref="D12">index('Component OPR Dump'!$C:$C,match($A12,#REF!,0))</f>
        <v>#N/A</v>
      </c>
      <c r="E12" s="201" t="str">
        <f t="array" ref="E12">index('Component OPR Dump'!$D:$D,match($A12,#REF!,0))</f>
        <v>#N/A</v>
      </c>
      <c r="F12" s="200" t="str">
        <f t="array" ref="F12">index('Component OPR Dump'!$H:$H,match($A12,#REF!,0))</f>
        <v>#N/A</v>
      </c>
      <c r="G12" s="200" t="str">
        <f t="array" ref="G12">index('Component OPR Dump'!$G:$G,match($A12,#REF!,0))</f>
        <v>#N/A</v>
      </c>
      <c r="H12" s="200" t="str">
        <f t="array" ref="H12">index('Component OPR Dump'!$I:$I,match($A12,#REF!,0))</f>
        <v>#N/A</v>
      </c>
      <c r="I12" s="200" t="str">
        <f t="array" ref="I12">index('Component OPR Dump'!$F:$F,match($A12,#REF!,0))</f>
        <v>#N/A</v>
      </c>
      <c r="J12" s="201" t="str">
        <f t="array" ref="J12">index('Component OPR Dump'!$K:$K,match($A12,#REF!,0))</f>
        <v>#N/A</v>
      </c>
    </row>
    <row r="13">
      <c r="A13" s="199">
        <v>1388.0</v>
      </c>
      <c r="B13" s="200" t="str">
        <f t="array" ref="B13">index('Component OPR Dump'!$A:$A,match($A13,#REF!,0))</f>
        <v>#N/A</v>
      </c>
      <c r="C13" s="201" t="str">
        <f t="array" ref="C13">index('Component OPR Dump'!$E:$E,match($A13,#REF!,0))</f>
        <v>#N/A</v>
      </c>
      <c r="D13" s="201" t="str">
        <f t="array" ref="D13">index('Component OPR Dump'!$C:$C,match($A13,#REF!,0))</f>
        <v>#N/A</v>
      </c>
      <c r="E13" s="201" t="str">
        <f t="array" ref="E13">index('Component OPR Dump'!$D:$D,match($A13,#REF!,0))</f>
        <v>#N/A</v>
      </c>
      <c r="F13" s="200" t="str">
        <f t="array" ref="F13">index('Component OPR Dump'!$H:$H,match($A13,#REF!,0))</f>
        <v>#N/A</v>
      </c>
      <c r="G13" s="200" t="str">
        <f t="array" ref="G13">index('Component OPR Dump'!$G:$G,match($A13,#REF!,0))</f>
        <v>#N/A</v>
      </c>
      <c r="H13" s="200" t="str">
        <f t="array" ref="H13">index('Component OPR Dump'!$I:$I,match($A13,#REF!,0))</f>
        <v>#N/A</v>
      </c>
      <c r="I13" s="200" t="str">
        <f t="array" ref="I13">index('Component OPR Dump'!$F:$F,match($A13,#REF!,0))</f>
        <v>#N/A</v>
      </c>
      <c r="J13" s="201" t="str">
        <f t="array" ref="J13">index('Component OPR Dump'!$K:$K,match($A13,#REF!,0))</f>
        <v>#N/A</v>
      </c>
    </row>
    <row r="14">
      <c r="A14" s="199">
        <v>1422.0</v>
      </c>
      <c r="B14" s="200" t="str">
        <f t="array" ref="B14">index('Component OPR Dump'!$A:$A,match($A14,#REF!,0))</f>
        <v>#N/A</v>
      </c>
      <c r="C14" s="201" t="str">
        <f t="array" ref="C14">index('Component OPR Dump'!$E:$E,match($A14,#REF!,0))</f>
        <v>#N/A</v>
      </c>
      <c r="D14" s="201" t="str">
        <f t="array" ref="D14">index('Component OPR Dump'!$C:$C,match($A14,#REF!,0))</f>
        <v>#N/A</v>
      </c>
      <c r="E14" s="201" t="str">
        <f t="array" ref="E14">index('Component OPR Dump'!$D:$D,match($A14,#REF!,0))</f>
        <v>#N/A</v>
      </c>
      <c r="F14" s="200" t="str">
        <f t="array" ref="F14">index('Component OPR Dump'!$H:$H,match($A14,#REF!,0))</f>
        <v>#N/A</v>
      </c>
      <c r="G14" s="200" t="str">
        <f t="array" ref="G14">index('Component OPR Dump'!$G:$G,match($A14,#REF!,0))</f>
        <v>#N/A</v>
      </c>
      <c r="H14" s="200" t="str">
        <f t="array" ref="H14">index('Component OPR Dump'!$I:$I,match($A14,#REF!,0))</f>
        <v>#N/A</v>
      </c>
      <c r="I14" s="200" t="str">
        <f t="array" ref="I14">index('Component OPR Dump'!$F:$F,match($A14,#REF!,0))</f>
        <v>#N/A</v>
      </c>
      <c r="J14" s="201" t="str">
        <f t="array" ref="J14">index('Component OPR Dump'!$K:$K,match($A14,#REF!,0))</f>
        <v>#N/A</v>
      </c>
    </row>
    <row r="15">
      <c r="A15" s="199">
        <v>1662.0</v>
      </c>
      <c r="B15" s="200" t="str">
        <f t="array" ref="B15">index('Component OPR Dump'!$A:$A,match($A15,#REF!,0))</f>
        <v>#N/A</v>
      </c>
      <c r="C15" s="201" t="str">
        <f t="array" ref="C15">index('Component OPR Dump'!$E:$E,match($A15,#REF!,0))</f>
        <v>#N/A</v>
      </c>
      <c r="D15" s="201" t="str">
        <f t="array" ref="D15">index('Component OPR Dump'!$C:$C,match($A15,#REF!,0))</f>
        <v>#N/A</v>
      </c>
      <c r="E15" s="201" t="str">
        <f t="array" ref="E15">index('Component OPR Dump'!$D:$D,match($A15,#REF!,0))</f>
        <v>#N/A</v>
      </c>
      <c r="F15" s="200" t="str">
        <f t="array" ref="F15">index('Component OPR Dump'!$H:$H,match($A15,#REF!,0))</f>
        <v>#N/A</v>
      </c>
      <c r="G15" s="200" t="str">
        <f t="array" ref="G15">index('Component OPR Dump'!$G:$G,match($A15,#REF!,0))</f>
        <v>#N/A</v>
      </c>
      <c r="H15" s="200" t="str">
        <f t="array" ref="H15">index('Component OPR Dump'!$I:$I,match($A15,#REF!,0))</f>
        <v>#N/A</v>
      </c>
      <c r="I15" s="200" t="str">
        <f t="array" ref="I15">index('Component OPR Dump'!$F:$F,match($A15,#REF!,0))</f>
        <v>#N/A</v>
      </c>
      <c r="J15" s="201" t="str">
        <f t="array" ref="J15">index('Component OPR Dump'!$K:$K,match($A15,#REF!,0))</f>
        <v>#N/A</v>
      </c>
    </row>
    <row r="16">
      <c r="A16" s="199">
        <v>1671.0</v>
      </c>
      <c r="B16" s="200" t="str">
        <f t="array" ref="B16">index('Component OPR Dump'!$A:$A,match($A16,#REF!,0))</f>
        <v>#N/A</v>
      </c>
      <c r="C16" s="201" t="str">
        <f t="array" ref="C16">index('Component OPR Dump'!$E:$E,match($A16,#REF!,0))</f>
        <v>#N/A</v>
      </c>
      <c r="D16" s="201" t="str">
        <f t="array" ref="D16">index('Component OPR Dump'!$C:$C,match($A16,#REF!,0))</f>
        <v>#N/A</v>
      </c>
      <c r="E16" s="201" t="str">
        <f t="array" ref="E16">index('Component OPR Dump'!$D:$D,match($A16,#REF!,0))</f>
        <v>#N/A</v>
      </c>
      <c r="F16" s="200" t="str">
        <f t="array" ref="F16">index('Component OPR Dump'!$H:$H,match($A16,#REF!,0))</f>
        <v>#N/A</v>
      </c>
      <c r="G16" s="200" t="str">
        <f t="array" ref="G16">index('Component OPR Dump'!$G:$G,match($A16,#REF!,0))</f>
        <v>#N/A</v>
      </c>
      <c r="H16" s="200" t="str">
        <f t="array" ref="H16">index('Component OPR Dump'!$I:$I,match($A16,#REF!,0))</f>
        <v>#N/A</v>
      </c>
      <c r="I16" s="200" t="str">
        <f t="array" ref="I16">index('Component OPR Dump'!$F:$F,match($A16,#REF!,0))</f>
        <v>#N/A</v>
      </c>
      <c r="J16" s="201" t="str">
        <f t="array" ref="J16">index('Component OPR Dump'!$K:$K,match($A16,#REF!,0))</f>
        <v>#N/A</v>
      </c>
    </row>
    <row r="17">
      <c r="A17" s="199">
        <v>1678.0</v>
      </c>
      <c r="B17" s="200" t="str">
        <f t="array" ref="B17">index('Component OPR Dump'!$A:$A,match($A17,#REF!,0))</f>
        <v>#N/A</v>
      </c>
      <c r="C17" s="201" t="str">
        <f t="array" ref="C17">index('Component OPR Dump'!$E:$E,match($A17,#REF!,0))</f>
        <v>#N/A</v>
      </c>
      <c r="D17" s="201" t="str">
        <f t="array" ref="D17">index('Component OPR Dump'!$C:$C,match($A17,#REF!,0))</f>
        <v>#N/A</v>
      </c>
      <c r="E17" s="201" t="str">
        <f t="array" ref="E17">index('Component OPR Dump'!$D:$D,match($A17,#REF!,0))</f>
        <v>#N/A</v>
      </c>
      <c r="F17" s="200" t="str">
        <f t="array" ref="F17">index('Component OPR Dump'!$H:$H,match($A17,#REF!,0))</f>
        <v>#N/A</v>
      </c>
      <c r="G17" s="200" t="str">
        <f t="array" ref="G17">index('Component OPR Dump'!$G:$G,match($A17,#REF!,0))</f>
        <v>#N/A</v>
      </c>
      <c r="H17" s="200" t="str">
        <f t="array" ref="H17">index('Component OPR Dump'!$I:$I,match($A17,#REF!,0))</f>
        <v>#N/A</v>
      </c>
      <c r="I17" s="200" t="str">
        <f t="array" ref="I17">index('Component OPR Dump'!$F:$F,match($A17,#REF!,0))</f>
        <v>#N/A</v>
      </c>
      <c r="J17" s="201" t="str">
        <f t="array" ref="J17">index('Component OPR Dump'!$K:$K,match($A17,#REF!,0))</f>
        <v>#N/A</v>
      </c>
    </row>
    <row r="18">
      <c r="A18" s="199">
        <v>1868.0</v>
      </c>
      <c r="B18" s="200" t="str">
        <f t="array" ref="B18">index('Component OPR Dump'!$A:$A,match($A18,#REF!,0))</f>
        <v>#N/A</v>
      </c>
      <c r="C18" s="201" t="str">
        <f t="array" ref="C18">index('Component OPR Dump'!$E:$E,match($A18,#REF!,0))</f>
        <v>#N/A</v>
      </c>
      <c r="D18" s="201" t="str">
        <f t="array" ref="D18">index('Component OPR Dump'!$C:$C,match($A18,#REF!,0))</f>
        <v>#N/A</v>
      </c>
      <c r="E18" s="201" t="str">
        <f t="array" ref="E18">index('Component OPR Dump'!$D:$D,match($A18,#REF!,0))</f>
        <v>#N/A</v>
      </c>
      <c r="F18" s="200" t="str">
        <f t="array" ref="F18">index('Component OPR Dump'!$H:$H,match($A18,#REF!,0))</f>
        <v>#N/A</v>
      </c>
      <c r="G18" s="200" t="str">
        <f t="array" ref="G18">index('Component OPR Dump'!$G:$G,match($A18,#REF!,0))</f>
        <v>#N/A</v>
      </c>
      <c r="H18" s="200" t="str">
        <f t="array" ref="H18">index('Component OPR Dump'!$I:$I,match($A18,#REF!,0))</f>
        <v>#N/A</v>
      </c>
      <c r="I18" s="200" t="str">
        <f t="array" ref="I18">index('Component OPR Dump'!$F:$F,match($A18,#REF!,0))</f>
        <v>#N/A</v>
      </c>
      <c r="J18" s="201" t="str">
        <f t="array" ref="J18">index('Component OPR Dump'!$K:$K,match($A18,#REF!,0))</f>
        <v>#N/A</v>
      </c>
    </row>
    <row r="19">
      <c r="A19" s="199">
        <v>2085.0</v>
      </c>
      <c r="B19" s="200" t="str">
        <f t="array" ref="B19">index('Component OPR Dump'!$A:$A,match($A19,#REF!,0))</f>
        <v>#N/A</v>
      </c>
      <c r="C19" s="201" t="str">
        <f t="array" ref="C19">index('Component OPR Dump'!$E:$E,match($A19,#REF!,0))</f>
        <v>#N/A</v>
      </c>
      <c r="D19" s="201" t="str">
        <f t="array" ref="D19">index('Component OPR Dump'!$C:$C,match($A19,#REF!,0))</f>
        <v>#N/A</v>
      </c>
      <c r="E19" s="201" t="str">
        <f t="array" ref="E19">index('Component OPR Dump'!$D:$D,match($A19,#REF!,0))</f>
        <v>#N/A</v>
      </c>
      <c r="F19" s="200" t="str">
        <f t="array" ref="F19">index('Component OPR Dump'!$H:$H,match($A19,#REF!,0))</f>
        <v>#N/A</v>
      </c>
      <c r="G19" s="200" t="str">
        <f t="array" ref="G19">index('Component OPR Dump'!$G:$G,match($A19,#REF!,0))</f>
        <v>#N/A</v>
      </c>
      <c r="H19" s="200" t="str">
        <f t="array" ref="H19">index('Component OPR Dump'!$I:$I,match($A19,#REF!,0))</f>
        <v>#N/A</v>
      </c>
      <c r="I19" s="200" t="str">
        <f t="array" ref="I19">index('Component OPR Dump'!$F:$F,match($A19,#REF!,0))</f>
        <v>#N/A</v>
      </c>
      <c r="J19" s="201" t="str">
        <f t="array" ref="J19">index('Component OPR Dump'!$K:$K,match($A19,#REF!,0))</f>
        <v>#N/A</v>
      </c>
    </row>
    <row r="20">
      <c r="A20" s="199">
        <v>2135.0</v>
      </c>
      <c r="B20" s="200" t="str">
        <f t="array" ref="B20">index('Component OPR Dump'!$A:$A,match($A20,#REF!,0))</f>
        <v>#N/A</v>
      </c>
      <c r="C20" s="201" t="str">
        <f t="array" ref="C20">index('Component OPR Dump'!$E:$E,match($A20,#REF!,0))</f>
        <v>#N/A</v>
      </c>
      <c r="D20" s="201" t="str">
        <f t="array" ref="D20">index('Component OPR Dump'!$C:$C,match($A20,#REF!,0))</f>
        <v>#N/A</v>
      </c>
      <c r="E20" s="201" t="str">
        <f t="array" ref="E20">index('Component OPR Dump'!$D:$D,match($A20,#REF!,0))</f>
        <v>#N/A</v>
      </c>
      <c r="F20" s="200" t="str">
        <f t="array" ref="F20">index('Component OPR Dump'!$H:$H,match($A20,#REF!,0))</f>
        <v>#N/A</v>
      </c>
      <c r="G20" s="200" t="str">
        <f t="array" ref="G20">index('Component OPR Dump'!$G:$G,match($A20,#REF!,0))</f>
        <v>#N/A</v>
      </c>
      <c r="H20" s="200" t="str">
        <f t="array" ref="H20">index('Component OPR Dump'!$I:$I,match($A20,#REF!,0))</f>
        <v>#N/A</v>
      </c>
      <c r="I20" s="200" t="str">
        <f t="array" ref="I20">index('Component OPR Dump'!$F:$F,match($A20,#REF!,0))</f>
        <v>#N/A</v>
      </c>
      <c r="J20" s="201" t="str">
        <f t="array" ref="J20">index('Component OPR Dump'!$K:$K,match($A20,#REF!,0))</f>
        <v>#N/A</v>
      </c>
    </row>
    <row r="21">
      <c r="A21" s="199">
        <v>2367.0</v>
      </c>
      <c r="B21" s="200" t="str">
        <f t="array" ref="B21">index('Component OPR Dump'!$A:$A,match($A21,#REF!,0))</f>
        <v>#N/A</v>
      </c>
      <c r="C21" s="201" t="str">
        <f t="array" ref="C21">index('Component OPR Dump'!$E:$E,match($A21,#REF!,0))</f>
        <v>#N/A</v>
      </c>
      <c r="D21" s="201" t="str">
        <f t="array" ref="D21">index('Component OPR Dump'!$C:$C,match($A21,#REF!,0))</f>
        <v>#N/A</v>
      </c>
      <c r="E21" s="201" t="str">
        <f t="array" ref="E21">index('Component OPR Dump'!$D:$D,match($A21,#REF!,0))</f>
        <v>#N/A</v>
      </c>
      <c r="F21" s="200" t="str">
        <f t="array" ref="F21">index('Component OPR Dump'!$H:$H,match($A21,#REF!,0))</f>
        <v>#N/A</v>
      </c>
      <c r="G21" s="200" t="str">
        <f t="array" ref="G21">index('Component OPR Dump'!$G:$G,match($A21,#REF!,0))</f>
        <v>#N/A</v>
      </c>
      <c r="H21" s="200" t="str">
        <f t="array" ref="H21">index('Component OPR Dump'!$I:$I,match($A21,#REF!,0))</f>
        <v>#N/A</v>
      </c>
      <c r="I21" s="200" t="str">
        <f t="array" ref="I21">index('Component OPR Dump'!$F:$F,match($A21,#REF!,0))</f>
        <v>#N/A</v>
      </c>
      <c r="J21" s="201" t="str">
        <f t="array" ref="J21">index('Component OPR Dump'!$K:$K,match($A21,#REF!,0))</f>
        <v>#N/A</v>
      </c>
    </row>
    <row r="22">
      <c r="A22" s="199">
        <v>2493.0</v>
      </c>
      <c r="B22" s="200" t="str">
        <f t="array" ref="B22">index('Component OPR Dump'!$A:$A,match($A22,#REF!,0))</f>
        <v>#N/A</v>
      </c>
      <c r="C22" s="201" t="str">
        <f t="array" ref="C22">index('Component OPR Dump'!$E:$E,match($A22,#REF!,0))</f>
        <v>#N/A</v>
      </c>
      <c r="D22" s="201" t="str">
        <f t="array" ref="D22">index('Component OPR Dump'!$C:$C,match($A22,#REF!,0))</f>
        <v>#N/A</v>
      </c>
      <c r="E22" s="201" t="str">
        <f t="array" ref="E22">index('Component OPR Dump'!$D:$D,match($A22,#REF!,0))</f>
        <v>#N/A</v>
      </c>
      <c r="F22" s="200" t="str">
        <f t="array" ref="F22">index('Component OPR Dump'!$H:$H,match($A22,#REF!,0))</f>
        <v>#N/A</v>
      </c>
      <c r="G22" s="200" t="str">
        <f t="array" ref="G22">index('Component OPR Dump'!$G:$G,match($A22,#REF!,0))</f>
        <v>#N/A</v>
      </c>
      <c r="H22" s="200" t="str">
        <f t="array" ref="H22">index('Component OPR Dump'!$I:$I,match($A22,#REF!,0))</f>
        <v>#N/A</v>
      </c>
      <c r="I22" s="200" t="str">
        <f t="array" ref="I22">index('Component OPR Dump'!$F:$F,match($A22,#REF!,0))</f>
        <v>#N/A</v>
      </c>
      <c r="J22" s="201" t="str">
        <f t="array" ref="J22">index('Component OPR Dump'!$K:$K,match($A22,#REF!,0))</f>
        <v>#N/A</v>
      </c>
    </row>
    <row r="23">
      <c r="A23" s="199">
        <v>2643.0</v>
      </c>
      <c r="B23" s="200" t="str">
        <f t="array" ref="B23">index('Component OPR Dump'!$A:$A,match($A23,#REF!,0))</f>
        <v>#N/A</v>
      </c>
      <c r="C23" s="201" t="str">
        <f t="array" ref="C23">index('Component OPR Dump'!$E:$E,match($A23,#REF!,0))</f>
        <v>#N/A</v>
      </c>
      <c r="D23" s="201" t="str">
        <f t="array" ref="D23">index('Component OPR Dump'!$C:$C,match($A23,#REF!,0))</f>
        <v>#N/A</v>
      </c>
      <c r="E23" s="201" t="str">
        <f t="array" ref="E23">index('Component OPR Dump'!$D:$D,match($A23,#REF!,0))</f>
        <v>#N/A</v>
      </c>
      <c r="F23" s="200" t="str">
        <f t="array" ref="F23">index('Component OPR Dump'!$H:$H,match($A23,#REF!,0))</f>
        <v>#N/A</v>
      </c>
      <c r="G23" s="200" t="str">
        <f t="array" ref="G23">index('Component OPR Dump'!$G:$G,match($A23,#REF!,0))</f>
        <v>#N/A</v>
      </c>
      <c r="H23" s="200" t="str">
        <f t="array" ref="H23">index('Component OPR Dump'!$I:$I,match($A23,#REF!,0))</f>
        <v>#N/A</v>
      </c>
      <c r="I23" s="200" t="str">
        <f t="array" ref="I23">index('Component OPR Dump'!$F:$F,match($A23,#REF!,0))</f>
        <v>#N/A</v>
      </c>
      <c r="J23" s="201" t="str">
        <f t="array" ref="J23">index('Component OPR Dump'!$K:$K,match($A23,#REF!,0))</f>
        <v>#N/A</v>
      </c>
    </row>
    <row r="24">
      <c r="A24" s="199">
        <v>2761.0</v>
      </c>
      <c r="B24" s="200" t="str">
        <f t="array" ref="B24">index('Component OPR Dump'!$A:$A,match($A24,#REF!,0))</f>
        <v>#N/A</v>
      </c>
      <c r="C24" s="201" t="str">
        <f t="array" ref="C24">index('Component OPR Dump'!$E:$E,match($A24,#REF!,0))</f>
        <v>#N/A</v>
      </c>
      <c r="D24" s="201" t="str">
        <f t="array" ref="D24">index('Component OPR Dump'!$C:$C,match($A24,#REF!,0))</f>
        <v>#N/A</v>
      </c>
      <c r="E24" s="201" t="str">
        <f t="array" ref="E24">index('Component OPR Dump'!$D:$D,match($A24,#REF!,0))</f>
        <v>#N/A</v>
      </c>
      <c r="F24" s="200" t="str">
        <f t="array" ref="F24">index('Component OPR Dump'!$H:$H,match($A24,#REF!,0))</f>
        <v>#N/A</v>
      </c>
      <c r="G24" s="200" t="str">
        <f t="array" ref="G24">index('Component OPR Dump'!$G:$G,match($A24,#REF!,0))</f>
        <v>#N/A</v>
      </c>
      <c r="H24" s="200" t="str">
        <f t="array" ref="H24">index('Component OPR Dump'!$I:$I,match($A24,#REF!,0))</f>
        <v>#N/A</v>
      </c>
      <c r="I24" s="200" t="str">
        <f t="array" ref="I24">index('Component OPR Dump'!$F:$F,match($A24,#REF!,0))</f>
        <v>#N/A</v>
      </c>
      <c r="J24" s="201" t="str">
        <f t="array" ref="J24">index('Component OPR Dump'!$K:$K,match($A24,#REF!,0))</f>
        <v>#N/A</v>
      </c>
    </row>
    <row r="25">
      <c r="A25" s="199">
        <v>2813.0</v>
      </c>
      <c r="B25" s="200" t="str">
        <f t="array" ref="B25">index('Component OPR Dump'!$A:$A,match($A25,#REF!,0))</f>
        <v>#N/A</v>
      </c>
      <c r="C25" s="201" t="str">
        <f t="array" ref="C25">index('Component OPR Dump'!$E:$E,match($A25,#REF!,0))</f>
        <v>#N/A</v>
      </c>
      <c r="D25" s="201" t="str">
        <f t="array" ref="D25">index('Component OPR Dump'!$C:$C,match($A25,#REF!,0))</f>
        <v>#N/A</v>
      </c>
      <c r="E25" s="201" t="str">
        <f t="array" ref="E25">index('Component OPR Dump'!$D:$D,match($A25,#REF!,0))</f>
        <v>#N/A</v>
      </c>
      <c r="F25" s="200" t="str">
        <f t="array" ref="F25">index('Component OPR Dump'!$H:$H,match($A25,#REF!,0))</f>
        <v>#N/A</v>
      </c>
      <c r="G25" s="200" t="str">
        <f t="array" ref="G25">index('Component OPR Dump'!$G:$G,match($A25,#REF!,0))</f>
        <v>#N/A</v>
      </c>
      <c r="H25" s="200" t="str">
        <f t="array" ref="H25">index('Component OPR Dump'!$I:$I,match($A25,#REF!,0))</f>
        <v>#N/A</v>
      </c>
      <c r="I25" s="200" t="str">
        <f t="array" ref="I25">index('Component OPR Dump'!$F:$F,match($A25,#REF!,0))</f>
        <v>#N/A</v>
      </c>
      <c r="J25" s="201" t="str">
        <f t="array" ref="J25">index('Component OPR Dump'!$K:$K,match($A25,#REF!,0))</f>
        <v>#N/A</v>
      </c>
    </row>
    <row r="26">
      <c r="A26" s="199">
        <v>3045.0</v>
      </c>
      <c r="B26" s="200" t="str">
        <f t="array" ref="B26">index('Component OPR Dump'!$A:$A,match($A26,#REF!,0))</f>
        <v>#N/A</v>
      </c>
      <c r="C26" s="201" t="str">
        <f t="array" ref="C26">index('Component OPR Dump'!$E:$E,match($A26,#REF!,0))</f>
        <v>#N/A</v>
      </c>
      <c r="D26" s="201" t="str">
        <f t="array" ref="D26">index('Component OPR Dump'!$C:$C,match($A26,#REF!,0))</f>
        <v>#N/A</v>
      </c>
      <c r="E26" s="201" t="str">
        <f t="array" ref="E26">index('Component OPR Dump'!$D:$D,match($A26,#REF!,0))</f>
        <v>#N/A</v>
      </c>
      <c r="F26" s="200" t="str">
        <f t="array" ref="F26">index('Component OPR Dump'!$H:$H,match($A26,#REF!,0))</f>
        <v>#N/A</v>
      </c>
      <c r="G26" s="200" t="str">
        <f t="array" ref="G26">index('Component OPR Dump'!$G:$G,match($A26,#REF!,0))</f>
        <v>#N/A</v>
      </c>
      <c r="H26" s="200" t="str">
        <f t="array" ref="H26">index('Component OPR Dump'!$I:$I,match($A26,#REF!,0))</f>
        <v>#N/A</v>
      </c>
      <c r="I26" s="200" t="str">
        <f t="array" ref="I26">index('Component OPR Dump'!$F:$F,match($A26,#REF!,0))</f>
        <v>#N/A</v>
      </c>
      <c r="J26" s="201" t="str">
        <f t="array" ref="J26">index('Component OPR Dump'!$K:$K,match($A26,#REF!,0))</f>
        <v>#N/A</v>
      </c>
    </row>
    <row r="27">
      <c r="A27" s="199">
        <v>3189.0</v>
      </c>
      <c r="B27" s="200" t="str">
        <f t="array" ref="B27">index('Component OPR Dump'!$A:$A,match($A27,#REF!,0))</f>
        <v>#N/A</v>
      </c>
      <c r="C27" s="201" t="str">
        <f t="array" ref="C27">index('Component OPR Dump'!$E:$E,match($A27,#REF!,0))</f>
        <v>#N/A</v>
      </c>
      <c r="D27" s="201" t="str">
        <f t="array" ref="D27">index('Component OPR Dump'!$C:$C,match($A27,#REF!,0))</f>
        <v>#N/A</v>
      </c>
      <c r="E27" s="201" t="str">
        <f t="array" ref="E27">index('Component OPR Dump'!$D:$D,match($A27,#REF!,0))</f>
        <v>#N/A</v>
      </c>
      <c r="F27" s="200" t="str">
        <f t="array" ref="F27">index('Component OPR Dump'!$H:$H,match($A27,#REF!,0))</f>
        <v>#N/A</v>
      </c>
      <c r="G27" s="200" t="str">
        <f t="array" ref="G27">index('Component OPR Dump'!$G:$G,match($A27,#REF!,0))</f>
        <v>#N/A</v>
      </c>
      <c r="H27" s="200" t="str">
        <f t="array" ref="H27">index('Component OPR Dump'!$I:$I,match($A27,#REF!,0))</f>
        <v>#N/A</v>
      </c>
      <c r="I27" s="200" t="str">
        <f t="array" ref="I27">index('Component OPR Dump'!$F:$F,match($A27,#REF!,0))</f>
        <v>#N/A</v>
      </c>
      <c r="J27" s="201" t="str">
        <f t="array" ref="J27">index('Component OPR Dump'!$K:$K,match($A27,#REF!,0))</f>
        <v>#N/A</v>
      </c>
    </row>
    <row r="28">
      <c r="A28" s="199">
        <v>3256.0</v>
      </c>
      <c r="B28" s="200" t="str">
        <f t="array" ref="B28">index('Component OPR Dump'!$A:$A,match($A28,#REF!,0))</f>
        <v>#N/A</v>
      </c>
      <c r="C28" s="201" t="str">
        <f t="array" ref="C28">index('Component OPR Dump'!$E:$E,match($A28,#REF!,0))</f>
        <v>#N/A</v>
      </c>
      <c r="D28" s="201" t="str">
        <f t="array" ref="D28">index('Component OPR Dump'!$C:$C,match($A28,#REF!,0))</f>
        <v>#N/A</v>
      </c>
      <c r="E28" s="201" t="str">
        <f t="array" ref="E28">index('Component OPR Dump'!$D:$D,match($A28,#REF!,0))</f>
        <v>#N/A</v>
      </c>
      <c r="F28" s="200" t="str">
        <f t="array" ref="F28">index('Component OPR Dump'!$H:$H,match($A28,#REF!,0))</f>
        <v>#N/A</v>
      </c>
      <c r="G28" s="200" t="str">
        <f t="array" ref="G28">index('Component OPR Dump'!$G:$G,match($A28,#REF!,0))</f>
        <v>#N/A</v>
      </c>
      <c r="H28" s="200" t="str">
        <f t="array" ref="H28">index('Component OPR Dump'!$I:$I,match($A28,#REF!,0))</f>
        <v>#N/A</v>
      </c>
      <c r="I28" s="200" t="str">
        <f t="array" ref="I28">index('Component OPR Dump'!$F:$F,match($A28,#REF!,0))</f>
        <v>#N/A</v>
      </c>
      <c r="J28" s="201" t="str">
        <f t="array" ref="J28">index('Component OPR Dump'!$K:$K,match($A28,#REF!,0))</f>
        <v>#N/A</v>
      </c>
    </row>
    <row r="29">
      <c r="A29" s="199">
        <v>3303.0</v>
      </c>
      <c r="B29" s="200" t="str">
        <f t="array" ref="B29">index('Component OPR Dump'!$A:$A,match($A29,#REF!,0))</f>
        <v>#N/A</v>
      </c>
      <c r="C29" s="201" t="str">
        <f t="array" ref="C29">index('Component OPR Dump'!$E:$E,match($A29,#REF!,0))</f>
        <v>#N/A</v>
      </c>
      <c r="D29" s="201" t="str">
        <f t="array" ref="D29">index('Component OPR Dump'!$C:$C,match($A29,#REF!,0))</f>
        <v>#N/A</v>
      </c>
      <c r="E29" s="201" t="str">
        <f t="array" ref="E29">index('Component OPR Dump'!$D:$D,match($A29,#REF!,0))</f>
        <v>#N/A</v>
      </c>
      <c r="F29" s="200" t="str">
        <f t="array" ref="F29">index('Component OPR Dump'!$H:$H,match($A29,#REF!,0))</f>
        <v>#N/A</v>
      </c>
      <c r="G29" s="200" t="str">
        <f t="array" ref="G29">index('Component OPR Dump'!$G:$G,match($A29,#REF!,0))</f>
        <v>#N/A</v>
      </c>
      <c r="H29" s="200" t="str">
        <f t="array" ref="H29">index('Component OPR Dump'!$I:$I,match($A29,#REF!,0))</f>
        <v>#N/A</v>
      </c>
      <c r="I29" s="200" t="str">
        <f t="array" ref="I29">index('Component OPR Dump'!$F:$F,match($A29,#REF!,0))</f>
        <v>#N/A</v>
      </c>
      <c r="J29" s="201" t="str">
        <f t="array" ref="J29">index('Component OPR Dump'!$K:$K,match($A29,#REF!,0))</f>
        <v>#N/A</v>
      </c>
    </row>
    <row r="30">
      <c r="A30" s="199">
        <v>3495.0</v>
      </c>
      <c r="B30" s="200" t="str">
        <f t="array" ref="B30">index('Component OPR Dump'!$A:$A,match($A30,#REF!,0))</f>
        <v>#N/A</v>
      </c>
      <c r="C30" s="201" t="str">
        <f t="array" ref="C30">index('Component OPR Dump'!$E:$E,match($A30,#REF!,0))</f>
        <v>#N/A</v>
      </c>
      <c r="D30" s="201" t="str">
        <f t="array" ref="D30">index('Component OPR Dump'!$C:$C,match($A30,#REF!,0))</f>
        <v>#N/A</v>
      </c>
      <c r="E30" s="201" t="str">
        <f t="array" ref="E30">index('Component OPR Dump'!$D:$D,match($A30,#REF!,0))</f>
        <v>#N/A</v>
      </c>
      <c r="F30" s="200" t="str">
        <f t="array" ref="F30">index('Component OPR Dump'!$H:$H,match($A30,#REF!,0))</f>
        <v>#N/A</v>
      </c>
      <c r="G30" s="200" t="str">
        <f t="array" ref="G30">index('Component OPR Dump'!$G:$G,match($A30,#REF!,0))</f>
        <v>#N/A</v>
      </c>
      <c r="H30" s="200" t="str">
        <f t="array" ref="H30">index('Component OPR Dump'!$I:$I,match($A30,#REF!,0))</f>
        <v>#N/A</v>
      </c>
      <c r="I30" s="200" t="str">
        <f t="array" ref="I30">index('Component OPR Dump'!$F:$F,match($A30,#REF!,0))</f>
        <v>#N/A</v>
      </c>
      <c r="J30" s="201" t="str">
        <f t="array" ref="J30">index('Component OPR Dump'!$K:$K,match($A30,#REF!,0))</f>
        <v>#N/A</v>
      </c>
    </row>
    <row r="31">
      <c r="A31" s="199">
        <v>3501.0</v>
      </c>
      <c r="B31" s="200" t="str">
        <f t="array" ref="B31">index('Component OPR Dump'!$A:$A,match($A31,#REF!,0))</f>
        <v>#N/A</v>
      </c>
      <c r="C31" s="201" t="str">
        <f t="array" ref="C31">index('Component OPR Dump'!$E:$E,match($A31,#REF!,0))</f>
        <v>#N/A</v>
      </c>
      <c r="D31" s="201" t="str">
        <f t="array" ref="D31">index('Component OPR Dump'!$C:$C,match($A31,#REF!,0))</f>
        <v>#N/A</v>
      </c>
      <c r="E31" s="201" t="str">
        <f t="array" ref="E31">index('Component OPR Dump'!$D:$D,match($A31,#REF!,0))</f>
        <v>#N/A</v>
      </c>
      <c r="F31" s="200" t="str">
        <f t="array" ref="F31">index('Component OPR Dump'!$H:$H,match($A31,#REF!,0))</f>
        <v>#N/A</v>
      </c>
      <c r="G31" s="200" t="str">
        <f t="array" ref="G31">index('Component OPR Dump'!$G:$G,match($A31,#REF!,0))</f>
        <v>#N/A</v>
      </c>
      <c r="H31" s="200" t="str">
        <f t="array" ref="H31">index('Component OPR Dump'!$I:$I,match($A31,#REF!,0))</f>
        <v>#N/A</v>
      </c>
      <c r="I31" s="200" t="str">
        <f t="array" ref="I31">index('Component OPR Dump'!$F:$F,match($A31,#REF!,0))</f>
        <v>#N/A</v>
      </c>
      <c r="J31" s="201" t="str">
        <f t="array" ref="J31">index('Component OPR Dump'!$K:$K,match($A31,#REF!,0))</f>
        <v>#N/A</v>
      </c>
    </row>
    <row r="32">
      <c r="A32" s="199">
        <v>3970.0</v>
      </c>
      <c r="B32" s="200" t="str">
        <f t="array" ref="B32">index('Component OPR Dump'!$A:$A,match($A32,#REF!,0))</f>
        <v>#N/A</v>
      </c>
      <c r="C32" s="201" t="str">
        <f t="array" ref="C32">index('Component OPR Dump'!$E:$E,match($A32,#REF!,0))</f>
        <v>#N/A</v>
      </c>
      <c r="D32" s="201" t="str">
        <f t="array" ref="D32">index('Component OPR Dump'!$C:$C,match($A32,#REF!,0))</f>
        <v>#N/A</v>
      </c>
      <c r="E32" s="201" t="str">
        <f t="array" ref="E32">index('Component OPR Dump'!$D:$D,match($A32,#REF!,0))</f>
        <v>#N/A</v>
      </c>
      <c r="F32" s="200" t="str">
        <f t="array" ref="F32">index('Component OPR Dump'!$H:$H,match($A32,#REF!,0))</f>
        <v>#N/A</v>
      </c>
      <c r="G32" s="200" t="str">
        <f t="array" ref="G32">index('Component OPR Dump'!$G:$G,match($A32,#REF!,0))</f>
        <v>#N/A</v>
      </c>
      <c r="H32" s="200" t="str">
        <f t="array" ref="H32">index('Component OPR Dump'!$I:$I,match($A32,#REF!,0))</f>
        <v>#N/A</v>
      </c>
      <c r="I32" s="200" t="str">
        <f t="array" ref="I32">index('Component OPR Dump'!$F:$F,match($A32,#REF!,0))</f>
        <v>#N/A</v>
      </c>
      <c r="J32" s="201" t="str">
        <f t="array" ref="J32">index('Component OPR Dump'!$K:$K,match($A32,#REF!,0))</f>
        <v>#N/A</v>
      </c>
    </row>
    <row r="33">
      <c r="A33" s="199">
        <v>4255.0</v>
      </c>
      <c r="B33" s="200" t="str">
        <f t="array" ref="B33">index('Component OPR Dump'!$A:$A,match($A33,#REF!,0))</f>
        <v>#N/A</v>
      </c>
      <c r="C33" s="201" t="str">
        <f t="array" ref="C33">index('Component OPR Dump'!$E:$E,match($A33,#REF!,0))</f>
        <v>#N/A</v>
      </c>
      <c r="D33" s="201" t="str">
        <f t="array" ref="D33">index('Component OPR Dump'!$C:$C,match($A33,#REF!,0))</f>
        <v>#N/A</v>
      </c>
      <c r="E33" s="201" t="str">
        <f t="array" ref="E33">index('Component OPR Dump'!$D:$D,match($A33,#REF!,0))</f>
        <v>#N/A</v>
      </c>
      <c r="F33" s="200" t="str">
        <f t="array" ref="F33">index('Component OPR Dump'!$H:$H,match($A33,#REF!,0))</f>
        <v>#N/A</v>
      </c>
      <c r="G33" s="200" t="str">
        <f t="array" ref="G33">index('Component OPR Dump'!$G:$G,match($A33,#REF!,0))</f>
        <v>#N/A</v>
      </c>
      <c r="H33" s="200" t="str">
        <f t="array" ref="H33">index('Component OPR Dump'!$I:$I,match($A33,#REF!,0))</f>
        <v>#N/A</v>
      </c>
      <c r="I33" s="200" t="str">
        <f t="array" ref="I33">index('Component OPR Dump'!$F:$F,match($A33,#REF!,0))</f>
        <v>#N/A</v>
      </c>
      <c r="J33" s="201" t="str">
        <f t="array" ref="J33">index('Component OPR Dump'!$K:$K,match($A33,#REF!,0))</f>
        <v>#N/A</v>
      </c>
    </row>
    <row r="34">
      <c r="A34" s="199">
        <v>4276.0</v>
      </c>
      <c r="B34" s="200" t="str">
        <f t="array" ref="B34">index('Component OPR Dump'!$A:$A,match($A34,#REF!,0))</f>
        <v>#N/A</v>
      </c>
      <c r="C34" s="201" t="str">
        <f t="array" ref="C34">index('Component OPR Dump'!$E:$E,match($A34,#REF!,0))</f>
        <v>#N/A</v>
      </c>
      <c r="D34" s="201" t="str">
        <f t="array" ref="D34">index('Component OPR Dump'!$C:$C,match($A34,#REF!,0))</f>
        <v>#N/A</v>
      </c>
      <c r="E34" s="201" t="str">
        <f t="array" ref="E34">index('Component OPR Dump'!$D:$D,match($A34,#REF!,0))</f>
        <v>#N/A</v>
      </c>
      <c r="F34" s="200" t="str">
        <f t="array" ref="F34">index('Component OPR Dump'!$H:$H,match($A34,#REF!,0))</f>
        <v>#N/A</v>
      </c>
      <c r="G34" s="200" t="str">
        <f t="array" ref="G34">index('Component OPR Dump'!$G:$G,match($A34,#REF!,0))</f>
        <v>#N/A</v>
      </c>
      <c r="H34" s="200" t="str">
        <f t="array" ref="H34">index('Component OPR Dump'!$I:$I,match($A34,#REF!,0))</f>
        <v>#N/A</v>
      </c>
      <c r="I34" s="200" t="str">
        <f t="array" ref="I34">index('Component OPR Dump'!$F:$F,match($A34,#REF!,0))</f>
        <v>#N/A</v>
      </c>
      <c r="J34" s="201" t="str">
        <f t="array" ref="J34">index('Component OPR Dump'!$K:$K,match($A34,#REF!,0))</f>
        <v>#N/A</v>
      </c>
    </row>
    <row r="35">
      <c r="A35" s="199">
        <v>4415.0</v>
      </c>
      <c r="B35" s="200" t="str">
        <f t="array" ref="B35">index('Component OPR Dump'!$A:$A,match($A35,#REF!,0))</f>
        <v>#N/A</v>
      </c>
      <c r="C35" s="201" t="str">
        <f t="array" ref="C35">index('Component OPR Dump'!$E:$E,match($A35,#REF!,0))</f>
        <v>#N/A</v>
      </c>
      <c r="D35" s="201" t="str">
        <f t="array" ref="D35">index('Component OPR Dump'!$C:$C,match($A35,#REF!,0))</f>
        <v>#N/A</v>
      </c>
      <c r="E35" s="201" t="str">
        <f t="array" ref="E35">index('Component OPR Dump'!$D:$D,match($A35,#REF!,0))</f>
        <v>#N/A</v>
      </c>
      <c r="F35" s="200" t="str">
        <f t="array" ref="F35">index('Component OPR Dump'!$H:$H,match($A35,#REF!,0))</f>
        <v>#N/A</v>
      </c>
      <c r="G35" s="200" t="str">
        <f t="array" ref="G35">index('Component OPR Dump'!$G:$G,match($A35,#REF!,0))</f>
        <v>#N/A</v>
      </c>
      <c r="H35" s="200" t="str">
        <f t="array" ref="H35">index('Component OPR Dump'!$I:$I,match($A35,#REF!,0))</f>
        <v>#N/A</v>
      </c>
      <c r="I35" s="200" t="str">
        <f t="array" ref="I35">index('Component OPR Dump'!$F:$F,match($A35,#REF!,0))</f>
        <v>#N/A</v>
      </c>
      <c r="J35" s="201" t="str">
        <f t="array" ref="J35">index('Component OPR Dump'!$K:$K,match($A35,#REF!,0))</f>
        <v>#N/A</v>
      </c>
    </row>
    <row r="36">
      <c r="A36" s="199">
        <v>4543.0</v>
      </c>
      <c r="B36" s="200" t="str">
        <f t="array" ref="B36">index('Component OPR Dump'!$A:$A,match($A36,#REF!,0))</f>
        <v>#N/A</v>
      </c>
      <c r="C36" s="201" t="str">
        <f t="array" ref="C36">index('Component OPR Dump'!$E:$E,match($A36,#REF!,0))</f>
        <v>#N/A</v>
      </c>
      <c r="D36" s="201" t="str">
        <f t="array" ref="D36">index('Component OPR Dump'!$C:$C,match($A36,#REF!,0))</f>
        <v>#N/A</v>
      </c>
      <c r="E36" s="201" t="str">
        <f t="array" ref="E36">index('Component OPR Dump'!$D:$D,match($A36,#REF!,0))</f>
        <v>#N/A</v>
      </c>
      <c r="F36" s="200" t="str">
        <f t="array" ref="F36">index('Component OPR Dump'!$H:$H,match($A36,#REF!,0))</f>
        <v>#N/A</v>
      </c>
      <c r="G36" s="200" t="str">
        <f t="array" ref="G36">index('Component OPR Dump'!$G:$G,match($A36,#REF!,0))</f>
        <v>#N/A</v>
      </c>
      <c r="H36" s="200" t="str">
        <f t="array" ref="H36">index('Component OPR Dump'!$I:$I,match($A36,#REF!,0))</f>
        <v>#N/A</v>
      </c>
      <c r="I36" s="200" t="str">
        <f t="array" ref="I36">index('Component OPR Dump'!$F:$F,match($A36,#REF!,0))</f>
        <v>#N/A</v>
      </c>
      <c r="J36" s="201" t="str">
        <f t="array" ref="J36">index('Component OPR Dump'!$K:$K,match($A36,#REF!,0))</f>
        <v>#N/A</v>
      </c>
    </row>
    <row r="37">
      <c r="A37" s="199">
        <v>4643.0</v>
      </c>
      <c r="B37" s="200" t="str">
        <f t="array" ref="B37">index('Component OPR Dump'!$A:$A,match($A37,#REF!,0))</f>
        <v>#N/A</v>
      </c>
      <c r="C37" s="201" t="str">
        <f t="array" ref="C37">index('Component OPR Dump'!$E:$E,match($A37,#REF!,0))</f>
        <v>#N/A</v>
      </c>
      <c r="D37" s="201" t="str">
        <f t="array" ref="D37">index('Component OPR Dump'!$C:$C,match($A37,#REF!,0))</f>
        <v>#N/A</v>
      </c>
      <c r="E37" s="201" t="str">
        <f t="array" ref="E37">index('Component OPR Dump'!$D:$D,match($A37,#REF!,0))</f>
        <v>#N/A</v>
      </c>
      <c r="F37" s="200" t="str">
        <f t="array" ref="F37">index('Component OPR Dump'!$H:$H,match($A37,#REF!,0))</f>
        <v>#N/A</v>
      </c>
      <c r="G37" s="200" t="str">
        <f t="array" ref="G37">index('Component OPR Dump'!$G:$G,match($A37,#REF!,0))</f>
        <v>#N/A</v>
      </c>
      <c r="H37" s="200" t="str">
        <f t="array" ref="H37">index('Component OPR Dump'!$I:$I,match($A37,#REF!,0))</f>
        <v>#N/A</v>
      </c>
      <c r="I37" s="200" t="str">
        <f t="array" ref="I37">index('Component OPR Dump'!$F:$F,match($A37,#REF!,0))</f>
        <v>#N/A</v>
      </c>
      <c r="J37" s="201" t="str">
        <f t="array" ref="J37">index('Component OPR Dump'!$K:$K,match($A37,#REF!,0))</f>
        <v>#N/A</v>
      </c>
    </row>
    <row r="38">
      <c r="A38" s="199">
        <v>5104.0</v>
      </c>
      <c r="B38" s="200" t="str">
        <f t="array" ref="B38">index('Component OPR Dump'!$A:$A,match($A38,#REF!,0))</f>
        <v>#N/A</v>
      </c>
      <c r="C38" s="201" t="str">
        <f t="array" ref="C38">index('Component OPR Dump'!$E:$E,match($A38,#REF!,0))</f>
        <v>#N/A</v>
      </c>
      <c r="D38" s="201" t="str">
        <f t="array" ref="D38">index('Component OPR Dump'!$C:$C,match($A38,#REF!,0))</f>
        <v>#N/A</v>
      </c>
      <c r="E38" s="201" t="str">
        <f t="array" ref="E38">index('Component OPR Dump'!$D:$D,match($A38,#REF!,0))</f>
        <v>#N/A</v>
      </c>
      <c r="F38" s="200" t="str">
        <f t="array" ref="F38">index('Component OPR Dump'!$H:$H,match($A38,#REF!,0))</f>
        <v>#N/A</v>
      </c>
      <c r="G38" s="200" t="str">
        <f t="array" ref="G38">index('Component OPR Dump'!$G:$G,match($A38,#REF!,0))</f>
        <v>#N/A</v>
      </c>
      <c r="H38" s="200" t="str">
        <f t="array" ref="H38">index('Component OPR Dump'!$I:$I,match($A38,#REF!,0))</f>
        <v>#N/A</v>
      </c>
      <c r="I38" s="200" t="str">
        <f t="array" ref="I38">index('Component OPR Dump'!$F:$F,match($A38,#REF!,0))</f>
        <v>#N/A</v>
      </c>
      <c r="J38" s="201" t="str">
        <f t="array" ref="J38">index('Component OPR Dump'!$K:$K,match($A38,#REF!,0))</f>
        <v>#N/A</v>
      </c>
    </row>
    <row r="39">
      <c r="A39" s="199">
        <v>5134.0</v>
      </c>
      <c r="B39" s="200" t="str">
        <f t="array" ref="B39">index('Component OPR Dump'!$A:$A,match($A39,#REF!,0))</f>
        <v>#N/A</v>
      </c>
      <c r="C39" s="201" t="str">
        <f t="array" ref="C39">index('Component OPR Dump'!$E:$E,match($A39,#REF!,0))</f>
        <v>#N/A</v>
      </c>
      <c r="D39" s="201" t="str">
        <f t="array" ref="D39">index('Component OPR Dump'!$C:$C,match($A39,#REF!,0))</f>
        <v>#N/A</v>
      </c>
      <c r="E39" s="201" t="str">
        <f t="array" ref="E39">index('Component OPR Dump'!$D:$D,match($A39,#REF!,0))</f>
        <v>#N/A</v>
      </c>
      <c r="F39" s="200" t="str">
        <f t="array" ref="F39">index('Component OPR Dump'!$H:$H,match($A39,#REF!,0))</f>
        <v>#N/A</v>
      </c>
      <c r="G39" s="200" t="str">
        <f t="array" ref="G39">index('Component OPR Dump'!$G:$G,match($A39,#REF!,0))</f>
        <v>#N/A</v>
      </c>
      <c r="H39" s="200" t="str">
        <f t="array" ref="H39">index('Component OPR Dump'!$I:$I,match($A39,#REF!,0))</f>
        <v>#N/A</v>
      </c>
      <c r="I39" s="200" t="str">
        <f t="array" ref="I39">index('Component OPR Dump'!$F:$F,match($A39,#REF!,0))</f>
        <v>#N/A</v>
      </c>
      <c r="J39" s="201" t="str">
        <f t="array" ref="J39">index('Component OPR Dump'!$K:$K,match($A39,#REF!,0))</f>
        <v>#N/A</v>
      </c>
    </row>
    <row r="40">
      <c r="A40" s="199">
        <v>5677.0</v>
      </c>
      <c r="B40" s="200" t="str">
        <f t="array" ref="B40">index('Component OPR Dump'!$A:$A,match($A40,#REF!,0))</f>
        <v>#N/A</v>
      </c>
      <c r="C40" s="201" t="str">
        <f t="array" ref="C40">index('Component OPR Dump'!$E:$E,match($A40,#REF!,0))</f>
        <v>#N/A</v>
      </c>
      <c r="D40" s="201" t="str">
        <f t="array" ref="D40">index('Component OPR Dump'!$C:$C,match($A40,#REF!,0))</f>
        <v>#N/A</v>
      </c>
      <c r="E40" s="201" t="str">
        <f t="array" ref="E40">index('Component OPR Dump'!$D:$D,match($A40,#REF!,0))</f>
        <v>#N/A</v>
      </c>
      <c r="F40" s="200" t="str">
        <f t="array" ref="F40">index('Component OPR Dump'!$H:$H,match($A40,#REF!,0))</f>
        <v>#N/A</v>
      </c>
      <c r="G40" s="200" t="str">
        <f t="array" ref="G40">index('Component OPR Dump'!$G:$G,match($A40,#REF!,0))</f>
        <v>#N/A</v>
      </c>
      <c r="H40" s="200" t="str">
        <f t="array" ref="H40">index('Component OPR Dump'!$I:$I,match($A40,#REF!,0))</f>
        <v>#N/A</v>
      </c>
      <c r="I40" s="200" t="str">
        <f t="array" ref="I40">index('Component OPR Dump'!$F:$F,match($A40,#REF!,0))</f>
        <v>#N/A</v>
      </c>
      <c r="J40" s="201" t="str">
        <f t="array" ref="J40">index('Component OPR Dump'!$K:$K,match($A40,#REF!,0))</f>
        <v>#N/A</v>
      </c>
    </row>
    <row r="41">
      <c r="A41" s="199">
        <v>5817.0</v>
      </c>
      <c r="B41" s="200" t="str">
        <f t="array" ref="B41">index('Component OPR Dump'!$A:$A,match($A41,#REF!,0))</f>
        <v>#N/A</v>
      </c>
      <c r="C41" s="201" t="str">
        <f t="array" ref="C41">index('Component OPR Dump'!$E:$E,match($A41,#REF!,0))</f>
        <v>#N/A</v>
      </c>
      <c r="D41" s="201" t="str">
        <f t="array" ref="D41">index('Component OPR Dump'!$C:$C,match($A41,#REF!,0))</f>
        <v>#N/A</v>
      </c>
      <c r="E41" s="201" t="str">
        <f t="array" ref="E41">index('Component OPR Dump'!$D:$D,match($A41,#REF!,0))</f>
        <v>#N/A</v>
      </c>
      <c r="F41" s="200" t="str">
        <f t="array" ref="F41">index('Component OPR Dump'!$H:$H,match($A41,#REF!,0))</f>
        <v>#N/A</v>
      </c>
      <c r="G41" s="200" t="str">
        <f t="array" ref="G41">index('Component OPR Dump'!$G:$G,match($A41,#REF!,0))</f>
        <v>#N/A</v>
      </c>
      <c r="H41" s="200" t="str">
        <f t="array" ref="H41">index('Component OPR Dump'!$I:$I,match($A41,#REF!,0))</f>
        <v>#N/A</v>
      </c>
      <c r="I41" s="200" t="str">
        <f t="array" ref="I41">index('Component OPR Dump'!$F:$F,match($A41,#REF!,0))</f>
        <v>#N/A</v>
      </c>
      <c r="J41" s="201" t="str">
        <f t="array" ref="J41">index('Component OPR Dump'!$K:$K,match($A41,#REF!,0))</f>
        <v>#N/A</v>
      </c>
    </row>
    <row r="42">
      <c r="A42" s="199">
        <v>5852.0</v>
      </c>
      <c r="B42" s="200" t="str">
        <f t="array" ref="B42">index('Component OPR Dump'!$A:$A,match($A42,#REF!,0))</f>
        <v>#N/A</v>
      </c>
      <c r="C42" s="201" t="str">
        <f t="array" ref="C42">index('Component OPR Dump'!$E:$E,match($A42,#REF!,0))</f>
        <v>#N/A</v>
      </c>
      <c r="D42" s="201" t="str">
        <f t="array" ref="D42">index('Component OPR Dump'!$C:$C,match($A42,#REF!,0))</f>
        <v>#N/A</v>
      </c>
      <c r="E42" s="201" t="str">
        <f t="array" ref="E42">index('Component OPR Dump'!$D:$D,match($A42,#REF!,0))</f>
        <v>#N/A</v>
      </c>
      <c r="F42" s="200" t="str">
        <f t="array" ref="F42">index('Component OPR Dump'!$H:$H,match($A42,#REF!,0))</f>
        <v>#N/A</v>
      </c>
      <c r="G42" s="200" t="str">
        <f t="array" ref="G42">index('Component OPR Dump'!$G:$G,match($A42,#REF!,0))</f>
        <v>#N/A</v>
      </c>
      <c r="H42" s="200" t="str">
        <f t="array" ref="H42">index('Component OPR Dump'!$I:$I,match($A42,#REF!,0))</f>
        <v>#N/A</v>
      </c>
      <c r="I42" s="200" t="str">
        <f t="array" ref="I42">index('Component OPR Dump'!$F:$F,match($A42,#REF!,0))</f>
        <v>#N/A</v>
      </c>
      <c r="J42" s="201" t="str">
        <f t="array" ref="J42">index('Component OPR Dump'!$K:$K,match($A42,#REF!,0))</f>
        <v>#N/A</v>
      </c>
    </row>
    <row r="43">
      <c r="A43" s="199">
        <v>6059.0</v>
      </c>
      <c r="B43" s="200" t="str">
        <f t="array" ref="B43">index('Component OPR Dump'!$A:$A,match($A43,#REF!,0))</f>
        <v>#N/A</v>
      </c>
      <c r="C43" s="201" t="str">
        <f t="array" ref="C43">index('Component OPR Dump'!$E:$E,match($A43,#REF!,0))</f>
        <v>#N/A</v>
      </c>
      <c r="D43" s="201" t="str">
        <f t="array" ref="D43">index('Component OPR Dump'!$C:$C,match($A43,#REF!,0))</f>
        <v>#N/A</v>
      </c>
      <c r="E43" s="201" t="str">
        <f t="array" ref="E43">index('Component OPR Dump'!$D:$D,match($A43,#REF!,0))</f>
        <v>#N/A</v>
      </c>
      <c r="F43" s="200" t="str">
        <f t="array" ref="F43">index('Component OPR Dump'!$H:$H,match($A43,#REF!,0))</f>
        <v>#N/A</v>
      </c>
      <c r="G43" s="200" t="str">
        <f t="array" ref="G43">index('Component OPR Dump'!$G:$G,match($A43,#REF!,0))</f>
        <v>#N/A</v>
      </c>
      <c r="H43" s="200" t="str">
        <f t="array" ref="H43">index('Component OPR Dump'!$I:$I,match($A43,#REF!,0))</f>
        <v>#N/A</v>
      </c>
      <c r="I43" s="200" t="str">
        <f t="array" ref="I43">index('Component OPR Dump'!$F:$F,match($A43,#REF!,0))</f>
        <v>#N/A</v>
      </c>
      <c r="J43" s="201" t="str">
        <f t="array" ref="J43">index('Component OPR Dump'!$K:$K,match($A43,#REF!,0))</f>
        <v>#N/A</v>
      </c>
    </row>
    <row r="44">
      <c r="A44" s="199">
        <v>6305.0</v>
      </c>
      <c r="B44" s="200" t="str">
        <f t="array" ref="B44">index('Component OPR Dump'!$A:$A,match($A44,#REF!,0))</f>
        <v>#N/A</v>
      </c>
      <c r="C44" s="201" t="str">
        <f t="array" ref="C44">index('Component OPR Dump'!$E:$E,match($A44,#REF!,0))</f>
        <v>#N/A</v>
      </c>
      <c r="D44" s="201" t="str">
        <f t="array" ref="D44">index('Component OPR Dump'!$C:$C,match($A44,#REF!,0))</f>
        <v>#N/A</v>
      </c>
      <c r="E44" s="201" t="str">
        <f t="array" ref="E44">index('Component OPR Dump'!$D:$D,match($A44,#REF!,0))</f>
        <v>#N/A</v>
      </c>
      <c r="F44" s="200" t="str">
        <f t="array" ref="F44">index('Component OPR Dump'!$H:$H,match($A44,#REF!,0))</f>
        <v>#N/A</v>
      </c>
      <c r="G44" s="200" t="str">
        <f t="array" ref="G44">index('Component OPR Dump'!$G:$G,match($A44,#REF!,0))</f>
        <v>#N/A</v>
      </c>
      <c r="H44" s="200" t="str">
        <f t="array" ref="H44">index('Component OPR Dump'!$I:$I,match($A44,#REF!,0))</f>
        <v>#N/A</v>
      </c>
      <c r="I44" s="200" t="str">
        <f t="array" ref="I44">index('Component OPR Dump'!$F:$F,match($A44,#REF!,0))</f>
        <v>#N/A</v>
      </c>
      <c r="J44" s="201" t="str">
        <f t="array" ref="J44">index('Component OPR Dump'!$K:$K,match($A44,#REF!,0))</f>
        <v>#N/A</v>
      </c>
    </row>
    <row r="45">
      <c r="A45" s="199">
        <v>6619.0</v>
      </c>
      <c r="B45" s="200" t="str">
        <f t="array" ref="B45">index('Component OPR Dump'!$A:$A,match($A45,#REF!,0))</f>
        <v>#N/A</v>
      </c>
      <c r="C45" s="201" t="str">
        <f t="array" ref="C45">index('Component OPR Dump'!$E:$E,match($A45,#REF!,0))</f>
        <v>#N/A</v>
      </c>
      <c r="D45" s="201" t="str">
        <f t="array" ref="D45">index('Component OPR Dump'!$C:$C,match($A45,#REF!,0))</f>
        <v>#N/A</v>
      </c>
      <c r="E45" s="201" t="str">
        <f t="array" ref="E45">index('Component OPR Dump'!$D:$D,match($A45,#REF!,0))</f>
        <v>#N/A</v>
      </c>
      <c r="F45" s="200" t="str">
        <f t="array" ref="F45">index('Component OPR Dump'!$H:$H,match($A45,#REF!,0))</f>
        <v>#N/A</v>
      </c>
      <c r="G45" s="200" t="str">
        <f t="array" ref="G45">index('Component OPR Dump'!$G:$G,match($A45,#REF!,0))</f>
        <v>#N/A</v>
      </c>
      <c r="H45" s="200" t="str">
        <f t="array" ref="H45">index('Component OPR Dump'!$I:$I,match($A45,#REF!,0))</f>
        <v>#N/A</v>
      </c>
      <c r="I45" s="200" t="str">
        <f t="array" ref="I45">index('Component OPR Dump'!$F:$F,match($A45,#REF!,0))</f>
        <v>#N/A</v>
      </c>
      <c r="J45" s="201" t="str">
        <f t="array" ref="J45">index('Component OPR Dump'!$K:$K,match($A45,#REF!,0))</f>
        <v>#N/A</v>
      </c>
    </row>
    <row r="46">
      <c r="A46" s="199">
        <v>6650.0</v>
      </c>
      <c r="B46" s="200" t="str">
        <f t="array" ref="B46">index('Component OPR Dump'!$A:$A,match($A46,#REF!,0))</f>
        <v>#N/A</v>
      </c>
      <c r="C46" s="201" t="str">
        <f t="array" ref="C46">index('Component OPR Dump'!$E:$E,match($A46,#REF!,0))</f>
        <v>#N/A</v>
      </c>
      <c r="D46" s="201" t="str">
        <f t="array" ref="D46">index('Component OPR Dump'!$C:$C,match($A46,#REF!,0))</f>
        <v>#N/A</v>
      </c>
      <c r="E46" s="201" t="str">
        <f t="array" ref="E46">index('Component OPR Dump'!$D:$D,match($A46,#REF!,0))</f>
        <v>#N/A</v>
      </c>
      <c r="F46" s="200" t="str">
        <f t="array" ref="F46">index('Component OPR Dump'!$H:$H,match($A46,#REF!,0))</f>
        <v>#N/A</v>
      </c>
      <c r="G46" s="200" t="str">
        <f t="array" ref="G46">index('Component OPR Dump'!$G:$G,match($A46,#REF!,0))</f>
        <v>#N/A</v>
      </c>
      <c r="H46" s="200" t="str">
        <f t="array" ref="H46">index('Component OPR Dump'!$I:$I,match($A46,#REF!,0))</f>
        <v>#N/A</v>
      </c>
      <c r="I46" s="200" t="str">
        <f t="array" ref="I46">index('Component OPR Dump'!$F:$F,match($A46,#REF!,0))</f>
        <v>#N/A</v>
      </c>
      <c r="J46" s="201" t="str">
        <f t="array" ref="J46">index('Component OPR Dump'!$K:$K,match($A46,#REF!,0))</f>
        <v>#N/A</v>
      </c>
    </row>
    <row r="47">
      <c r="A47" s="199">
        <v>6657.0</v>
      </c>
      <c r="B47" s="200" t="str">
        <f t="array" ref="B47">index('Component OPR Dump'!$A:$A,match($A47,#REF!,0))</f>
        <v>#N/A</v>
      </c>
      <c r="C47" s="201" t="str">
        <f t="array" ref="C47">index('Component OPR Dump'!$E:$E,match($A47,#REF!,0))</f>
        <v>#N/A</v>
      </c>
      <c r="D47" s="201" t="str">
        <f t="array" ref="D47">index('Component OPR Dump'!$C:$C,match($A47,#REF!,0))</f>
        <v>#N/A</v>
      </c>
      <c r="E47" s="201" t="str">
        <f t="array" ref="E47">index('Component OPR Dump'!$D:$D,match($A47,#REF!,0))</f>
        <v>#N/A</v>
      </c>
      <c r="F47" s="200" t="str">
        <f t="array" ref="F47">index('Component OPR Dump'!$H:$H,match($A47,#REF!,0))</f>
        <v>#N/A</v>
      </c>
      <c r="G47" s="200" t="str">
        <f t="array" ref="G47">index('Component OPR Dump'!$G:$G,match($A47,#REF!,0))</f>
        <v>#N/A</v>
      </c>
      <c r="H47" s="200" t="str">
        <f t="array" ref="H47">index('Component OPR Dump'!$I:$I,match($A47,#REF!,0))</f>
        <v>#N/A</v>
      </c>
      <c r="I47" s="200" t="str">
        <f t="array" ref="I47">index('Component OPR Dump'!$F:$F,match($A47,#REF!,0))</f>
        <v>#N/A</v>
      </c>
      <c r="J47" s="201" t="str">
        <f t="array" ref="J47">index('Component OPR Dump'!$K:$K,match($A47,#REF!,0))</f>
        <v>#N/A</v>
      </c>
    </row>
    <row r="48">
      <c r="A48" s="199">
        <v>6699.0</v>
      </c>
      <c r="B48" s="200" t="str">
        <f t="array" ref="B48">index('Component OPR Dump'!$A:$A,match($A48,#REF!,0))</f>
        <v>#N/A</v>
      </c>
      <c r="C48" s="201" t="str">
        <f t="array" ref="C48">index('Component OPR Dump'!$E:$E,match($A48,#REF!,0))</f>
        <v>#N/A</v>
      </c>
      <c r="D48" s="201" t="str">
        <f t="array" ref="D48">index('Component OPR Dump'!$C:$C,match($A48,#REF!,0))</f>
        <v>#N/A</v>
      </c>
      <c r="E48" s="201" t="str">
        <f t="array" ref="E48">index('Component OPR Dump'!$D:$D,match($A48,#REF!,0))</f>
        <v>#N/A</v>
      </c>
      <c r="F48" s="200" t="str">
        <f t="array" ref="F48">index('Component OPR Dump'!$H:$H,match($A48,#REF!,0))</f>
        <v>#N/A</v>
      </c>
      <c r="G48" s="200" t="str">
        <f t="array" ref="G48">index('Component OPR Dump'!$G:$G,match($A48,#REF!,0))</f>
        <v>#N/A</v>
      </c>
      <c r="H48" s="200" t="str">
        <f t="array" ref="H48">index('Component OPR Dump'!$I:$I,match($A48,#REF!,0))</f>
        <v>#N/A</v>
      </c>
      <c r="I48" s="200" t="str">
        <f t="array" ref="I48">index('Component OPR Dump'!$F:$F,match($A48,#REF!,0))</f>
        <v>#N/A</v>
      </c>
      <c r="J48" s="201" t="str">
        <f t="array" ref="J48">index('Component OPR Dump'!$K:$K,match($A48,#REF!,0))</f>
        <v>#N/A</v>
      </c>
    </row>
    <row r="49">
      <c r="A49" s="204">
        <v>6711.0</v>
      </c>
      <c r="B49" s="205" t="str">
        <f t="array" ref="B49">index('Component OPR Dump'!$A:$A,match($A49,#REF!,0))</f>
        <v>#N/A</v>
      </c>
      <c r="C49" s="201" t="str">
        <f t="array" ref="C49">index('Component OPR Dump'!$E:$E,match($A49,#REF!,0))</f>
        <v>#N/A</v>
      </c>
      <c r="D49" s="201" t="str">
        <f t="array" ref="D49">index('Component OPR Dump'!$C:$C,match($A49,#REF!,0))</f>
        <v>#N/A</v>
      </c>
      <c r="E49" s="201" t="str">
        <f t="array" ref="E49">index('Component OPR Dump'!$D:$D,match($A49,#REF!,0))</f>
        <v>#N/A</v>
      </c>
      <c r="F49" s="200" t="str">
        <f t="array" ref="F49">index('Component OPR Dump'!$H:$H,match($A49,#REF!,0))</f>
        <v>#N/A</v>
      </c>
      <c r="G49" s="200" t="str">
        <f t="array" ref="G49">index('Component OPR Dump'!$G:$G,match($A49,#REF!,0))</f>
        <v>#N/A</v>
      </c>
      <c r="H49" s="200" t="str">
        <f t="array" ref="H49">index('Component OPR Dump'!$I:$I,match($A49,#REF!,0))</f>
        <v>#N/A</v>
      </c>
      <c r="I49" s="200" t="str">
        <f t="array" ref="I49">index('Component OPR Dump'!$F:$F,match($A49,#REF!,0))</f>
        <v>#N/A</v>
      </c>
      <c r="J49" s="201" t="str">
        <f t="array" ref="J49">index('Component OPR Dump'!$K:$K,match($A49,#REF!,0))</f>
        <v>#N/A</v>
      </c>
    </row>
    <row r="50">
      <c r="A50" s="201"/>
      <c r="B50" s="200"/>
      <c r="C50" s="201"/>
      <c r="D50" s="201"/>
      <c r="E50" s="201"/>
      <c r="F50" s="200"/>
      <c r="G50" s="200"/>
      <c r="H50" s="200"/>
      <c r="I50" s="200"/>
      <c r="J50" s="201"/>
    </row>
    <row r="51">
      <c r="A51" s="206"/>
      <c r="B51" s="208"/>
      <c r="C51" s="206"/>
      <c r="D51" s="206"/>
      <c r="E51" s="206"/>
      <c r="F51" s="208"/>
      <c r="G51" s="208"/>
      <c r="H51" s="208"/>
      <c r="I51" s="208"/>
      <c r="J51" s="209"/>
    </row>
    <row r="52">
      <c r="A52" s="206"/>
      <c r="B52" s="208"/>
      <c r="C52" s="206"/>
      <c r="D52" s="206"/>
      <c r="E52" s="206"/>
      <c r="F52" s="208"/>
      <c r="G52" s="208"/>
      <c r="H52" s="208"/>
      <c r="I52" s="208"/>
      <c r="J52" s="209"/>
    </row>
    <row r="53">
      <c r="A53" s="206"/>
      <c r="B53" s="208"/>
      <c r="C53" s="206"/>
      <c r="D53" s="206"/>
      <c r="E53" s="206"/>
      <c r="F53" s="208"/>
      <c r="G53" s="208"/>
      <c r="H53" s="208"/>
      <c r="I53" s="208"/>
      <c r="J53" s="209"/>
    </row>
  </sheetData>
  <autoFilter ref="$A$2:$J$50"/>
  <mergeCells count="2">
    <mergeCell ref="C1:E1"/>
    <mergeCell ref="F1:I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10.14"/>
    <col customWidth="1" min="3" max="3" width="11.14"/>
    <col customWidth="1" min="4" max="5" width="8.86"/>
    <col customWidth="1" min="6" max="11" width="22.86"/>
    <col customWidth="1" min="12" max="12" width="12.0"/>
    <col customWidth="1" min="13" max="13" width="10.14"/>
    <col customWidth="1" min="14" max="14" width="3.43"/>
    <col customWidth="1" min="15" max="15" width="12.71"/>
    <col customWidth="1" min="16" max="16" width="3.71"/>
    <col customWidth="1" min="17" max="17" width="8.43"/>
    <col customWidth="1" min="18" max="18" width="4.14"/>
    <col customWidth="1" min="19" max="19" width="16.29"/>
  </cols>
  <sheetData>
    <row r="1">
      <c r="A1" s="207" t="str">
        <f>IFERROR(__xludf.DUMMYFUNCTION("importrange('Control PanelOur Matches'!O5,""Pit Scout Pull!B:K"")"),"Team #")</f>
        <v>Team #</v>
      </c>
      <c r="B1" s="193" t="s">
        <v>338</v>
      </c>
      <c r="C1" s="207" t="s">
        <v>339</v>
      </c>
      <c r="D1" s="207" t="s">
        <v>340</v>
      </c>
      <c r="E1" s="207" t="s">
        <v>341</v>
      </c>
      <c r="F1" s="193" t="s">
        <v>342</v>
      </c>
      <c r="G1" s="193" t="s">
        <v>343</v>
      </c>
      <c r="H1" s="193" t="s">
        <v>344</v>
      </c>
      <c r="I1" s="193" t="s">
        <v>345</v>
      </c>
      <c r="J1" s="193" t="s">
        <v>346</v>
      </c>
      <c r="K1" s="192" t="s">
        <v>457</v>
      </c>
      <c r="L1" s="192" t="s">
        <v>458</v>
      </c>
      <c r="M1" s="191" t="s">
        <v>459</v>
      </c>
      <c r="O1" s="191" t="s">
        <v>460</v>
      </c>
      <c r="Q1" s="210">
        <f>counta(A2:A55)</f>
        <v>48</v>
      </c>
      <c r="R1" s="210"/>
      <c r="S1" s="210"/>
    </row>
    <row r="2">
      <c r="A2" s="211"/>
      <c r="B2" s="211"/>
      <c r="C2" s="211"/>
      <c r="D2" s="211"/>
      <c r="E2" s="211"/>
      <c r="F2" s="212"/>
      <c r="G2" s="212"/>
      <c r="H2" s="212"/>
      <c r="I2" s="212"/>
      <c r="J2" s="212"/>
      <c r="K2" s="213" t="str">
        <f t="shared" ref="K2:K55" si="1">concatenate(D2,"C"," ",
       if(E2="yes","SH "," "),
       B2," ",C2)</f>
        <v>C   </v>
      </c>
      <c r="L2" s="206">
        <f t="shared" ref="L2:L55" si="2">if(D2=6,$P$12,if(D2=4,$P$13,$P$14))
    +
    if(E2="Yes",$P$10,0)
    +
    if(or(B2="4WD",B2="6WD",B2="8WD",B2="10WD",B2="SWERVE",B2="2+2"),$N$2,if(B2="TANK",$N$8,if(B2="RHINO",$N$10,$N$9)))
    +
    if(C2="ROUGH",$P$2,if(C2="OMNI",$P$4,if(C2="MECH",$P$6,$P$3)))</f>
        <v>1</v>
      </c>
      <c r="M2" s="214" t="s">
        <v>347</v>
      </c>
      <c r="N2" s="215">
        <v>5.0</v>
      </c>
      <c r="O2" s="214" t="s">
        <v>360</v>
      </c>
      <c r="P2" s="215">
        <v>5.0</v>
      </c>
      <c r="S2" s="216"/>
    </row>
    <row r="3">
      <c r="A3" s="211">
        <v>2813.0</v>
      </c>
      <c r="B3" s="211" t="s">
        <v>347</v>
      </c>
      <c r="C3" s="211" t="s">
        <v>348</v>
      </c>
      <c r="D3" s="211">
        <v>4.0</v>
      </c>
      <c r="E3" s="211" t="s">
        <v>349</v>
      </c>
      <c r="F3" s="212" t="s">
        <v>350</v>
      </c>
      <c r="G3" s="212">
        <v>10.0</v>
      </c>
      <c r="H3" s="212">
        <v>9.0</v>
      </c>
      <c r="I3" s="212" t="s">
        <v>351</v>
      </c>
      <c r="J3" s="212" t="s">
        <v>352</v>
      </c>
      <c r="K3" s="213" t="str">
        <f t="shared" si="1"/>
        <v>4C  4WD MECH</v>
      </c>
      <c r="L3" s="206">
        <f t="shared" si="2"/>
        <v>5</v>
      </c>
      <c r="M3" s="217" t="s">
        <v>354</v>
      </c>
      <c r="O3" s="217" t="s">
        <v>359</v>
      </c>
      <c r="P3" s="215">
        <v>4.0</v>
      </c>
      <c r="Q3" s="99" t="s">
        <v>463</v>
      </c>
      <c r="S3" s="216"/>
    </row>
    <row r="4">
      <c r="A4" s="211">
        <v>852.0</v>
      </c>
      <c r="B4" s="211" t="s">
        <v>347</v>
      </c>
      <c r="C4" s="211" t="s">
        <v>348</v>
      </c>
      <c r="D4" s="211">
        <v>4.0</v>
      </c>
      <c r="E4" s="211" t="s">
        <v>349</v>
      </c>
      <c r="F4" s="212" t="s">
        <v>353</v>
      </c>
      <c r="G4" s="212">
        <v>8.0</v>
      </c>
      <c r="H4" s="212">
        <v>5.0</v>
      </c>
      <c r="I4" s="212" t="s">
        <v>351</v>
      </c>
      <c r="J4" s="212" t="s">
        <v>352</v>
      </c>
      <c r="K4" s="213" t="str">
        <f t="shared" si="1"/>
        <v>4C  4WD MECH</v>
      </c>
      <c r="L4" s="206">
        <f t="shared" si="2"/>
        <v>5</v>
      </c>
      <c r="M4" s="217" t="s">
        <v>464</v>
      </c>
      <c r="O4" s="217" t="s">
        <v>355</v>
      </c>
      <c r="S4" s="216"/>
    </row>
    <row r="5">
      <c r="A5" s="211">
        <v>2643.0</v>
      </c>
      <c r="B5" s="211" t="s">
        <v>354</v>
      </c>
      <c r="C5" s="211" t="s">
        <v>355</v>
      </c>
      <c r="D5" s="211">
        <v>4.0</v>
      </c>
      <c r="E5" s="211" t="s">
        <v>349</v>
      </c>
      <c r="F5" s="212" t="s">
        <v>350</v>
      </c>
      <c r="G5" s="212">
        <v>5.0</v>
      </c>
      <c r="H5" s="212">
        <v>3.0</v>
      </c>
      <c r="I5" s="212" t="s">
        <v>351</v>
      </c>
      <c r="J5" s="212" t="s">
        <v>352</v>
      </c>
      <c r="K5" s="213" t="str">
        <f t="shared" si="1"/>
        <v>4C  6WD COLSON</v>
      </c>
      <c r="L5" s="206">
        <f t="shared" si="2"/>
        <v>12</v>
      </c>
      <c r="M5" s="217" t="s">
        <v>465</v>
      </c>
      <c r="O5" s="217" t="s">
        <v>357</v>
      </c>
      <c r="P5" s="215">
        <v>1.0</v>
      </c>
      <c r="S5" s="216"/>
    </row>
    <row r="6">
      <c r="A6" s="211">
        <v>6059.0</v>
      </c>
      <c r="B6" s="211" t="s">
        <v>356</v>
      </c>
      <c r="C6" s="211" t="s">
        <v>357</v>
      </c>
      <c r="D6" s="211">
        <v>4.0</v>
      </c>
      <c r="E6" s="211" t="s">
        <v>349</v>
      </c>
      <c r="F6" s="212" t="s">
        <v>350</v>
      </c>
      <c r="G6" s="212">
        <v>4.0</v>
      </c>
      <c r="H6" s="212">
        <v>2.0</v>
      </c>
      <c r="I6" s="212" t="s">
        <v>351</v>
      </c>
      <c r="J6" s="212" t="s">
        <v>358</v>
      </c>
      <c r="K6" s="213" t="str">
        <f t="shared" si="1"/>
        <v>4C  KIWI OMNI</v>
      </c>
      <c r="L6" s="206">
        <f t="shared" si="2"/>
        <v>3</v>
      </c>
      <c r="M6" s="217" t="s">
        <v>364</v>
      </c>
      <c r="O6" s="217" t="s">
        <v>348</v>
      </c>
      <c r="P6" s="215">
        <v>-3.0</v>
      </c>
      <c r="S6" s="216"/>
    </row>
    <row r="7">
      <c r="A7" s="211">
        <v>3045.0</v>
      </c>
      <c r="B7" s="211" t="s">
        <v>347</v>
      </c>
      <c r="C7" s="211" t="s">
        <v>359</v>
      </c>
      <c r="D7" s="211">
        <v>6.0</v>
      </c>
      <c r="E7" s="211" t="s">
        <v>351</v>
      </c>
      <c r="F7" s="212" t="s">
        <v>353</v>
      </c>
      <c r="G7" s="212">
        <v>6.0</v>
      </c>
      <c r="H7" s="212">
        <v>6.0</v>
      </c>
      <c r="I7" s="212" t="s">
        <v>351</v>
      </c>
      <c r="J7" s="212" t="s">
        <v>358</v>
      </c>
      <c r="K7" s="213" t="str">
        <f t="shared" si="1"/>
        <v>6C SH 4WD PNEU</v>
      </c>
      <c r="L7" s="206">
        <f t="shared" si="2"/>
        <v>19</v>
      </c>
      <c r="M7" s="217" t="s">
        <v>361</v>
      </c>
      <c r="O7" s="218"/>
      <c r="P7" s="219"/>
      <c r="S7" s="216"/>
    </row>
    <row r="8">
      <c r="A8" s="211">
        <v>751.0</v>
      </c>
      <c r="B8" s="211" t="s">
        <v>354</v>
      </c>
      <c r="C8" s="211" t="s">
        <v>360</v>
      </c>
      <c r="D8" s="211">
        <v>6.0</v>
      </c>
      <c r="E8" s="211" t="s">
        <v>349</v>
      </c>
      <c r="F8" s="212" t="s">
        <v>350</v>
      </c>
      <c r="G8" s="212">
        <v>5.0</v>
      </c>
      <c r="H8" s="212">
        <v>3.0</v>
      </c>
      <c r="I8" s="212" t="s">
        <v>351</v>
      </c>
      <c r="J8" s="212" t="s">
        <v>352</v>
      </c>
      <c r="K8" s="213" t="str">
        <f t="shared" si="1"/>
        <v>6C  6WD ROUGH</v>
      </c>
      <c r="L8" s="206">
        <f t="shared" si="2"/>
        <v>15</v>
      </c>
      <c r="M8" s="217" t="s">
        <v>467</v>
      </c>
      <c r="N8" s="215">
        <v>3.0</v>
      </c>
      <c r="O8" s="218"/>
      <c r="P8" s="219"/>
      <c r="S8" s="216"/>
    </row>
    <row r="9">
      <c r="A9" s="211">
        <v>2493.0</v>
      </c>
      <c r="B9" s="211" t="s">
        <v>361</v>
      </c>
      <c r="C9" s="211" t="s">
        <v>357</v>
      </c>
      <c r="D9" s="211">
        <v>4.0</v>
      </c>
      <c r="E9" s="211" t="s">
        <v>349</v>
      </c>
      <c r="F9" s="212" t="s">
        <v>350</v>
      </c>
      <c r="G9" s="212">
        <v>8.0</v>
      </c>
      <c r="H9" s="212">
        <v>8.0</v>
      </c>
      <c r="I9" s="212" t="s">
        <v>351</v>
      </c>
      <c r="J9" s="212" t="s">
        <v>358</v>
      </c>
      <c r="K9" s="213" t="str">
        <f t="shared" si="1"/>
        <v>4C  2+2 OMNI</v>
      </c>
      <c r="L9" s="206">
        <f t="shared" si="2"/>
        <v>8</v>
      </c>
      <c r="M9" s="217" t="s">
        <v>356</v>
      </c>
      <c r="N9" s="215">
        <v>0.0</v>
      </c>
      <c r="O9" s="218"/>
      <c r="P9" s="219"/>
      <c r="S9" s="216"/>
    </row>
    <row r="10">
      <c r="A10" s="211">
        <v>6619.0</v>
      </c>
      <c r="B10" s="211" t="s">
        <v>354</v>
      </c>
      <c r="C10" s="211" t="s">
        <v>355</v>
      </c>
      <c r="D10" s="211">
        <v>4.0</v>
      </c>
      <c r="E10" s="211" t="s">
        <v>349</v>
      </c>
      <c r="F10" s="212" t="s">
        <v>350</v>
      </c>
      <c r="G10" s="212">
        <v>3.0</v>
      </c>
      <c r="H10" s="212">
        <v>2.0</v>
      </c>
      <c r="I10" s="212" t="s">
        <v>351</v>
      </c>
      <c r="J10" s="212" t="s">
        <v>358</v>
      </c>
      <c r="K10" s="213" t="str">
        <f t="shared" si="1"/>
        <v>4C  6WD COLSON</v>
      </c>
      <c r="L10" s="206">
        <f t="shared" si="2"/>
        <v>12</v>
      </c>
      <c r="M10" s="217" t="s">
        <v>469</v>
      </c>
      <c r="N10" s="215">
        <v>4.0</v>
      </c>
      <c r="O10" s="217" t="s">
        <v>470</v>
      </c>
      <c r="P10" s="215">
        <v>5.0</v>
      </c>
    </row>
    <row r="11">
      <c r="A11" s="211">
        <v>2367.0</v>
      </c>
      <c r="B11" s="211" t="s">
        <v>354</v>
      </c>
      <c r="C11" s="211" t="s">
        <v>355</v>
      </c>
      <c r="D11" s="211">
        <v>4.0</v>
      </c>
      <c r="E11" s="211" t="s">
        <v>351</v>
      </c>
      <c r="F11" s="212" t="s">
        <v>353</v>
      </c>
      <c r="G11" s="212">
        <v>6.0</v>
      </c>
      <c r="H11" s="212">
        <v>6.0</v>
      </c>
      <c r="I11" s="212" t="s">
        <v>351</v>
      </c>
      <c r="J11" s="212" t="s">
        <v>358</v>
      </c>
      <c r="K11" s="213" t="str">
        <f t="shared" si="1"/>
        <v>4C SH 6WD COLSON</v>
      </c>
      <c r="L11" s="206">
        <f t="shared" si="2"/>
        <v>17</v>
      </c>
      <c r="M11" s="218"/>
      <c r="N11" s="219"/>
      <c r="O11" s="218"/>
      <c r="P11" s="219"/>
    </row>
    <row r="12">
      <c r="A12" s="211">
        <v>687.0</v>
      </c>
      <c r="B12" s="211" t="s">
        <v>354</v>
      </c>
      <c r="C12" s="211" t="s">
        <v>355</v>
      </c>
      <c r="D12" s="211">
        <v>4.0</v>
      </c>
      <c r="E12" s="211" t="s">
        <v>351</v>
      </c>
      <c r="F12" s="212" t="s">
        <v>353</v>
      </c>
      <c r="G12" s="212">
        <v>8.0</v>
      </c>
      <c r="H12" s="212">
        <v>6.0</v>
      </c>
      <c r="I12" s="212" t="s">
        <v>351</v>
      </c>
      <c r="J12" s="212" t="s">
        <v>352</v>
      </c>
      <c r="K12" s="213" t="str">
        <f t="shared" si="1"/>
        <v>4C SH 6WD COLSON</v>
      </c>
      <c r="L12" s="206">
        <f t="shared" si="2"/>
        <v>17</v>
      </c>
      <c r="M12" s="218"/>
      <c r="N12" s="219"/>
      <c r="O12" s="217" t="s">
        <v>472</v>
      </c>
      <c r="P12" s="215">
        <v>5.0</v>
      </c>
    </row>
    <row r="13">
      <c r="A13" s="211">
        <v>6711.0</v>
      </c>
      <c r="B13" s="211" t="s">
        <v>354</v>
      </c>
      <c r="C13" s="211" t="s">
        <v>355</v>
      </c>
      <c r="D13" s="211">
        <v>4.0</v>
      </c>
      <c r="E13" s="211" t="s">
        <v>349</v>
      </c>
      <c r="F13" s="212" t="s">
        <v>350</v>
      </c>
      <c r="G13" s="212">
        <v>6.0</v>
      </c>
      <c r="H13" s="212">
        <v>2.0</v>
      </c>
      <c r="I13" s="212" t="s">
        <v>351</v>
      </c>
      <c r="J13" s="212" t="s">
        <v>352</v>
      </c>
      <c r="K13" s="213" t="str">
        <f t="shared" si="1"/>
        <v>4C  6WD COLSON</v>
      </c>
      <c r="L13" s="206">
        <f t="shared" si="2"/>
        <v>12</v>
      </c>
      <c r="M13" s="218"/>
      <c r="N13" s="219"/>
      <c r="O13" s="217" t="s">
        <v>473</v>
      </c>
      <c r="P13" s="215">
        <v>3.0</v>
      </c>
    </row>
    <row r="14">
      <c r="A14" s="211">
        <v>5852.0</v>
      </c>
      <c r="B14" s="211" t="s">
        <v>354</v>
      </c>
      <c r="C14" s="211" t="s">
        <v>355</v>
      </c>
      <c r="D14" s="211">
        <v>4.0</v>
      </c>
      <c r="E14" s="211" t="s">
        <v>349</v>
      </c>
      <c r="F14" s="212" t="s">
        <v>350</v>
      </c>
      <c r="G14" s="212">
        <v>10.0</v>
      </c>
      <c r="H14" s="212">
        <v>3.0</v>
      </c>
      <c r="I14" s="212" t="s">
        <v>351</v>
      </c>
      <c r="J14" s="212" t="s">
        <v>352</v>
      </c>
      <c r="K14" s="213" t="str">
        <f t="shared" si="1"/>
        <v>4C  6WD COLSON</v>
      </c>
      <c r="L14" s="206">
        <f t="shared" si="2"/>
        <v>12</v>
      </c>
      <c r="M14" s="218"/>
      <c r="N14" s="219"/>
      <c r="O14" s="217" t="s">
        <v>474</v>
      </c>
      <c r="P14" s="215">
        <v>-3.0</v>
      </c>
    </row>
    <row r="15">
      <c r="A15" s="211">
        <v>3256.0</v>
      </c>
      <c r="B15" s="211" t="s">
        <v>354</v>
      </c>
      <c r="C15" s="211" t="s">
        <v>360</v>
      </c>
      <c r="D15" s="211">
        <v>4.0</v>
      </c>
      <c r="E15" s="211" t="s">
        <v>351</v>
      </c>
      <c r="F15" s="212" t="s">
        <v>353</v>
      </c>
      <c r="G15" s="212">
        <v>9.0</v>
      </c>
      <c r="H15" s="212">
        <v>9.0</v>
      </c>
      <c r="I15" s="212" t="s">
        <v>351</v>
      </c>
      <c r="J15" s="212" t="s">
        <v>352</v>
      </c>
      <c r="K15" s="213" t="str">
        <f t="shared" si="1"/>
        <v>4C SH 6WD ROUGH</v>
      </c>
      <c r="L15" s="206">
        <f t="shared" si="2"/>
        <v>18</v>
      </c>
      <c r="M15" s="218"/>
      <c r="N15" s="219"/>
      <c r="O15" s="218"/>
      <c r="P15" s="219"/>
    </row>
    <row r="16">
      <c r="A16" s="211">
        <v>2135.0</v>
      </c>
      <c r="B16" s="211" t="s">
        <v>354</v>
      </c>
      <c r="C16" s="211" t="s">
        <v>360</v>
      </c>
      <c r="D16" s="211">
        <v>4.0</v>
      </c>
      <c r="E16" s="211" t="s">
        <v>351</v>
      </c>
      <c r="F16" s="212" t="s">
        <v>350</v>
      </c>
      <c r="G16" s="212">
        <v>13.0</v>
      </c>
      <c r="H16" s="212">
        <v>5.0</v>
      </c>
      <c r="I16" s="212" t="s">
        <v>351</v>
      </c>
      <c r="J16" s="212" t="s">
        <v>358</v>
      </c>
      <c r="K16" s="213" t="str">
        <f t="shared" si="1"/>
        <v>4C SH 6WD ROUGH</v>
      </c>
      <c r="L16" s="206">
        <f t="shared" si="2"/>
        <v>18</v>
      </c>
      <c r="M16" s="218"/>
      <c r="N16" s="219"/>
      <c r="O16" s="218"/>
      <c r="P16" s="219"/>
    </row>
    <row r="17">
      <c r="A17" s="211">
        <v>6699.0</v>
      </c>
      <c r="B17" s="211" t="s">
        <v>354</v>
      </c>
      <c r="C17" s="211" t="s">
        <v>355</v>
      </c>
      <c r="D17" s="211">
        <v>4.0</v>
      </c>
      <c r="E17" s="211" t="s">
        <v>349</v>
      </c>
      <c r="F17" s="212" t="s">
        <v>350</v>
      </c>
      <c r="G17" s="212">
        <v>5.0</v>
      </c>
      <c r="H17" s="212">
        <v>4.0</v>
      </c>
      <c r="I17" s="212" t="s">
        <v>351</v>
      </c>
      <c r="J17" s="212" t="s">
        <v>352</v>
      </c>
      <c r="K17" s="213" t="str">
        <f t="shared" si="1"/>
        <v>4C  6WD COLSON</v>
      </c>
      <c r="L17" s="206">
        <f t="shared" si="2"/>
        <v>12</v>
      </c>
      <c r="M17" s="218"/>
      <c r="N17" s="219"/>
      <c r="O17" s="218"/>
      <c r="P17" s="219"/>
    </row>
    <row r="18">
      <c r="A18" s="211">
        <v>1072.0</v>
      </c>
      <c r="B18" s="211" t="s">
        <v>354</v>
      </c>
      <c r="C18" s="211" t="s">
        <v>355</v>
      </c>
      <c r="D18" s="211">
        <v>4.0</v>
      </c>
      <c r="E18" s="211" t="s">
        <v>349</v>
      </c>
      <c r="F18" s="212" t="s">
        <v>353</v>
      </c>
      <c r="G18" s="212">
        <v>4.0</v>
      </c>
      <c r="H18" s="212">
        <v>6.0</v>
      </c>
      <c r="I18" s="212" t="s">
        <v>351</v>
      </c>
      <c r="J18" s="212" t="s">
        <v>352</v>
      </c>
      <c r="K18" s="213" t="str">
        <f t="shared" si="1"/>
        <v>4C  6WD COLSON</v>
      </c>
      <c r="L18" s="206">
        <f t="shared" si="2"/>
        <v>12</v>
      </c>
      <c r="M18" s="218"/>
      <c r="N18" s="219"/>
      <c r="O18" s="218"/>
      <c r="P18" s="219"/>
    </row>
    <row r="19">
      <c r="A19" s="211">
        <v>2085.0</v>
      </c>
      <c r="B19" s="211" t="s">
        <v>354</v>
      </c>
      <c r="C19" s="211" t="s">
        <v>355</v>
      </c>
      <c r="D19" s="211">
        <v>4.0</v>
      </c>
      <c r="E19" s="211" t="s">
        <v>349</v>
      </c>
      <c r="F19" s="212" t="s">
        <v>350</v>
      </c>
      <c r="G19" s="212">
        <v>5.0</v>
      </c>
      <c r="H19" s="212">
        <v>6.0</v>
      </c>
      <c r="I19" s="212" t="s">
        <v>351</v>
      </c>
      <c r="J19" s="212" t="s">
        <v>352</v>
      </c>
      <c r="K19" s="213" t="str">
        <f t="shared" si="1"/>
        <v>4C  6WD COLSON</v>
      </c>
      <c r="L19" s="206">
        <f t="shared" si="2"/>
        <v>12</v>
      </c>
      <c r="M19" s="218"/>
      <c r="N19" s="219"/>
      <c r="O19" s="218"/>
      <c r="P19" s="219"/>
    </row>
    <row r="20">
      <c r="A20" s="211">
        <v>5104.0</v>
      </c>
      <c r="B20" s="211" t="s">
        <v>354</v>
      </c>
      <c r="C20" s="211" t="s">
        <v>355</v>
      </c>
      <c r="D20" s="211">
        <v>4.0</v>
      </c>
      <c r="E20" s="211" t="s">
        <v>351</v>
      </c>
      <c r="F20" s="212" t="s">
        <v>353</v>
      </c>
      <c r="G20" s="212">
        <v>7.0</v>
      </c>
      <c r="H20" s="212">
        <v>6.0</v>
      </c>
      <c r="I20" s="212" t="s">
        <v>351</v>
      </c>
      <c r="J20" s="212" t="s">
        <v>358</v>
      </c>
      <c r="K20" s="213" t="str">
        <f t="shared" si="1"/>
        <v>4C SH 6WD COLSON</v>
      </c>
      <c r="L20" s="206">
        <f t="shared" si="2"/>
        <v>17</v>
      </c>
      <c r="M20" s="218"/>
      <c r="N20" s="219"/>
      <c r="O20" s="218"/>
      <c r="P20" s="219"/>
    </row>
    <row r="21">
      <c r="A21" s="211">
        <v>3501.0</v>
      </c>
      <c r="B21" s="211" t="s">
        <v>354</v>
      </c>
      <c r="C21" s="211" t="s">
        <v>355</v>
      </c>
      <c r="D21" s="211">
        <v>4.0</v>
      </c>
      <c r="E21" s="211" t="s">
        <v>351</v>
      </c>
      <c r="F21" s="212" t="s">
        <v>350</v>
      </c>
      <c r="G21" s="212">
        <v>5.0</v>
      </c>
      <c r="H21" s="212">
        <v>3.0</v>
      </c>
      <c r="I21" s="212" t="s">
        <v>351</v>
      </c>
      <c r="J21" s="212" t="s">
        <v>352</v>
      </c>
      <c r="K21" s="213" t="str">
        <f t="shared" si="1"/>
        <v>4C SH 6WD COLSON</v>
      </c>
      <c r="L21" s="206">
        <f t="shared" si="2"/>
        <v>17</v>
      </c>
      <c r="M21" s="218"/>
      <c r="N21" s="219"/>
      <c r="O21" s="218"/>
      <c r="P21" s="219"/>
    </row>
    <row r="22">
      <c r="A22" s="211">
        <v>1868.0</v>
      </c>
      <c r="B22" s="211" t="s">
        <v>354</v>
      </c>
      <c r="C22" s="211" t="s">
        <v>355</v>
      </c>
      <c r="D22" s="211">
        <v>4.0</v>
      </c>
      <c r="E22" s="211" t="s">
        <v>351</v>
      </c>
      <c r="F22" s="212" t="s">
        <v>350</v>
      </c>
      <c r="G22" s="212">
        <v>13.0</v>
      </c>
      <c r="H22" s="212">
        <v>12.0</v>
      </c>
      <c r="I22" s="212" t="s">
        <v>351</v>
      </c>
      <c r="J22" s="212" t="s">
        <v>358</v>
      </c>
      <c r="K22" s="213" t="str">
        <f t="shared" si="1"/>
        <v>4C SH 6WD COLSON</v>
      </c>
      <c r="L22" s="206">
        <f t="shared" si="2"/>
        <v>17</v>
      </c>
      <c r="M22" s="218"/>
      <c r="N22" s="219"/>
      <c r="O22" s="218"/>
      <c r="P22" s="219"/>
    </row>
    <row r="23">
      <c r="A23" s="211">
        <v>980.0</v>
      </c>
      <c r="B23" s="211" t="s">
        <v>354</v>
      </c>
      <c r="C23" s="211" t="s">
        <v>355</v>
      </c>
      <c r="D23" s="211">
        <v>6.0</v>
      </c>
      <c r="E23" s="211" t="s">
        <v>349</v>
      </c>
      <c r="F23" s="212" t="s">
        <v>350</v>
      </c>
      <c r="G23" s="212">
        <v>9.0</v>
      </c>
      <c r="H23" s="212">
        <v>8.0</v>
      </c>
      <c r="I23" s="212" t="s">
        <v>351</v>
      </c>
      <c r="J23" s="212" t="s">
        <v>352</v>
      </c>
      <c r="K23" s="213" t="str">
        <f t="shared" si="1"/>
        <v>6C  6WD COLSON</v>
      </c>
      <c r="L23" s="206">
        <f t="shared" si="2"/>
        <v>14</v>
      </c>
      <c r="M23" s="218"/>
      <c r="N23" s="219"/>
      <c r="O23" s="218"/>
      <c r="P23" s="219"/>
    </row>
    <row r="24">
      <c r="A24" s="211">
        <v>5677.0</v>
      </c>
      <c r="B24" s="211" t="s">
        <v>354</v>
      </c>
      <c r="C24" s="211" t="s">
        <v>355</v>
      </c>
      <c r="D24" s="211">
        <v>6.0</v>
      </c>
      <c r="E24" s="211" t="s">
        <v>351</v>
      </c>
      <c r="F24" s="212" t="s">
        <v>353</v>
      </c>
      <c r="G24" s="212">
        <v>10.0</v>
      </c>
      <c r="H24" s="212">
        <v>6.0</v>
      </c>
      <c r="I24" s="212" t="s">
        <v>351</v>
      </c>
      <c r="J24" s="212" t="s">
        <v>352</v>
      </c>
      <c r="K24" s="213" t="str">
        <f t="shared" si="1"/>
        <v>6C SH 6WD COLSON</v>
      </c>
      <c r="L24" s="206">
        <f t="shared" si="2"/>
        <v>19</v>
      </c>
      <c r="M24" s="218"/>
      <c r="N24" s="219"/>
      <c r="O24" s="218"/>
      <c r="P24" s="219"/>
    </row>
    <row r="25">
      <c r="A25" s="211">
        <v>3970.0</v>
      </c>
      <c r="B25" s="211" t="s">
        <v>354</v>
      </c>
      <c r="C25" s="211" t="s">
        <v>355</v>
      </c>
      <c r="D25" s="211">
        <v>4.0</v>
      </c>
      <c r="E25" s="211" t="s">
        <v>351</v>
      </c>
      <c r="F25" s="212" t="s">
        <v>362</v>
      </c>
      <c r="G25" s="212">
        <v>8.0</v>
      </c>
      <c r="H25" s="212">
        <v>8.0</v>
      </c>
      <c r="I25" s="212" t="s">
        <v>351</v>
      </c>
      <c r="J25" s="212" t="s">
        <v>352</v>
      </c>
      <c r="K25" s="213" t="str">
        <f t="shared" si="1"/>
        <v>4C SH 6WD COLSON</v>
      </c>
      <c r="L25" s="206">
        <f t="shared" si="2"/>
        <v>17</v>
      </c>
      <c r="M25" s="218"/>
      <c r="N25" s="219"/>
      <c r="O25" s="218"/>
      <c r="P25" s="219"/>
    </row>
    <row r="26">
      <c r="A26" s="211">
        <v>1678.0</v>
      </c>
      <c r="B26" s="211" t="s">
        <v>354</v>
      </c>
      <c r="C26" s="211" t="s">
        <v>355</v>
      </c>
      <c r="D26" s="211">
        <v>4.0</v>
      </c>
      <c r="E26" s="211" t="s">
        <v>349</v>
      </c>
      <c r="F26" s="212" t="s">
        <v>363</v>
      </c>
      <c r="G26" s="212">
        <v>10.0</v>
      </c>
      <c r="H26" s="212">
        <v>9.0</v>
      </c>
      <c r="I26" s="212" t="s">
        <v>351</v>
      </c>
      <c r="J26" s="212" t="s">
        <v>358</v>
      </c>
      <c r="K26" s="213" t="str">
        <f t="shared" si="1"/>
        <v>4C  6WD COLSON</v>
      </c>
      <c r="L26" s="206">
        <f t="shared" si="2"/>
        <v>12</v>
      </c>
      <c r="M26" s="218"/>
      <c r="N26" s="219"/>
      <c r="O26" s="218"/>
      <c r="P26" s="219"/>
    </row>
    <row r="27">
      <c r="A27" s="211">
        <v>972.0</v>
      </c>
      <c r="B27" s="211" t="s">
        <v>354</v>
      </c>
      <c r="C27" s="211" t="s">
        <v>357</v>
      </c>
      <c r="D27" s="211">
        <v>4.0</v>
      </c>
      <c r="E27" s="211" t="s">
        <v>349</v>
      </c>
      <c r="F27" s="212" t="s">
        <v>350</v>
      </c>
      <c r="G27" s="212">
        <v>8.0</v>
      </c>
      <c r="H27" s="212">
        <v>6.0</v>
      </c>
      <c r="I27" s="212" t="s">
        <v>351</v>
      </c>
      <c r="J27" s="212" t="s">
        <v>352</v>
      </c>
      <c r="K27" s="213" t="str">
        <f t="shared" si="1"/>
        <v>4C  6WD OMNI</v>
      </c>
      <c r="L27" s="206">
        <f t="shared" si="2"/>
        <v>8</v>
      </c>
      <c r="M27" s="218"/>
      <c r="N27" s="219"/>
      <c r="O27" s="218"/>
      <c r="P27" s="219"/>
    </row>
    <row r="28">
      <c r="A28" s="211">
        <v>4255.0</v>
      </c>
      <c r="B28" s="211" t="s">
        <v>354</v>
      </c>
      <c r="C28" s="211" t="s">
        <v>355</v>
      </c>
      <c r="D28" s="211">
        <v>4.0</v>
      </c>
      <c r="E28" s="211" t="s">
        <v>351</v>
      </c>
      <c r="F28" s="212" t="s">
        <v>350</v>
      </c>
      <c r="G28" s="212">
        <v>6.0</v>
      </c>
      <c r="H28" s="212">
        <v>5.0</v>
      </c>
      <c r="I28" s="212" t="s">
        <v>351</v>
      </c>
      <c r="J28" s="212" t="s">
        <v>352</v>
      </c>
      <c r="K28" s="213" t="str">
        <f t="shared" si="1"/>
        <v>4C SH 6WD COLSON</v>
      </c>
      <c r="L28" s="206">
        <f t="shared" si="2"/>
        <v>17</v>
      </c>
      <c r="M28" s="218"/>
      <c r="N28" s="219"/>
      <c r="O28" s="218"/>
      <c r="P28" s="219"/>
    </row>
    <row r="29">
      <c r="A29" s="211">
        <v>5817.0</v>
      </c>
      <c r="B29" s="211" t="s">
        <v>364</v>
      </c>
      <c r="C29" s="211" t="s">
        <v>355</v>
      </c>
      <c r="D29" s="211">
        <v>2.0</v>
      </c>
      <c r="E29" s="211" t="s">
        <v>349</v>
      </c>
      <c r="F29" s="212" t="s">
        <v>350</v>
      </c>
      <c r="G29" s="212">
        <v>15.0</v>
      </c>
      <c r="H29" s="212">
        <v>7.0</v>
      </c>
      <c r="I29" s="212" t="s">
        <v>351</v>
      </c>
      <c r="J29" s="212" t="s">
        <v>352</v>
      </c>
      <c r="K29" s="213" t="str">
        <f t="shared" si="1"/>
        <v>2C  SWERVE COLSON</v>
      </c>
      <c r="L29" s="206">
        <f t="shared" si="2"/>
        <v>6</v>
      </c>
      <c r="M29" s="218"/>
      <c r="N29" s="219"/>
      <c r="O29" s="218"/>
      <c r="P29" s="219"/>
    </row>
    <row r="30">
      <c r="A30" s="211">
        <v>1662.0</v>
      </c>
      <c r="B30" s="211" t="s">
        <v>354</v>
      </c>
      <c r="C30" s="211" t="s">
        <v>360</v>
      </c>
      <c r="D30" s="211">
        <v>4.0</v>
      </c>
      <c r="E30" s="211" t="s">
        <v>351</v>
      </c>
      <c r="F30" s="212" t="s">
        <v>353</v>
      </c>
      <c r="G30" s="212">
        <v>16.0</v>
      </c>
      <c r="H30" s="212">
        <v>6.0</v>
      </c>
      <c r="I30" s="212" t="s">
        <v>351</v>
      </c>
      <c r="J30" s="212" t="s">
        <v>358</v>
      </c>
      <c r="K30" s="213" t="str">
        <f t="shared" si="1"/>
        <v>4C SH 6WD ROUGH</v>
      </c>
      <c r="L30" s="206">
        <f t="shared" si="2"/>
        <v>18</v>
      </c>
      <c r="M30" s="218"/>
      <c r="N30" s="219"/>
      <c r="O30" s="218"/>
      <c r="P30" s="219"/>
    </row>
    <row r="31">
      <c r="A31" s="211">
        <v>5134.0</v>
      </c>
      <c r="B31" s="211" t="s">
        <v>347</v>
      </c>
      <c r="C31" s="211" t="s">
        <v>348</v>
      </c>
      <c r="D31" s="211">
        <v>4.0</v>
      </c>
      <c r="E31" s="211" t="s">
        <v>349</v>
      </c>
      <c r="F31" s="212" t="s">
        <v>350</v>
      </c>
      <c r="G31" s="212">
        <v>7.0</v>
      </c>
      <c r="H31" s="212">
        <v>2.0</v>
      </c>
      <c r="I31" s="212" t="s">
        <v>351</v>
      </c>
      <c r="J31" s="212" t="s">
        <v>358</v>
      </c>
      <c r="K31" s="213" t="str">
        <f t="shared" si="1"/>
        <v>4C  4WD MECH</v>
      </c>
      <c r="L31" s="206">
        <f t="shared" si="2"/>
        <v>5</v>
      </c>
      <c r="M31" s="218"/>
      <c r="N31" s="219"/>
      <c r="O31" s="218"/>
      <c r="P31" s="219"/>
    </row>
    <row r="32">
      <c r="A32" s="211">
        <v>4276.0</v>
      </c>
      <c r="B32" s="211" t="s">
        <v>347</v>
      </c>
      <c r="C32" s="211" t="s">
        <v>348</v>
      </c>
      <c r="D32" s="211">
        <v>4.0</v>
      </c>
      <c r="E32" s="211" t="s">
        <v>349</v>
      </c>
      <c r="F32" s="212" t="s">
        <v>363</v>
      </c>
      <c r="G32" s="212">
        <v>7.0</v>
      </c>
      <c r="H32" s="212">
        <v>3.0</v>
      </c>
      <c r="I32" s="212" t="s">
        <v>351</v>
      </c>
      <c r="J32" s="212" t="s">
        <v>352</v>
      </c>
      <c r="K32" s="213" t="str">
        <f t="shared" si="1"/>
        <v>4C  4WD MECH</v>
      </c>
      <c r="L32" s="206">
        <f t="shared" si="2"/>
        <v>5</v>
      </c>
      <c r="M32" s="218"/>
      <c r="N32" s="219"/>
      <c r="O32" s="218"/>
      <c r="P32" s="219"/>
    </row>
    <row r="33">
      <c r="A33" s="211">
        <v>1422.0</v>
      </c>
      <c r="B33" s="211" t="s">
        <v>354</v>
      </c>
      <c r="C33" s="211" t="s">
        <v>355</v>
      </c>
      <c r="D33" s="211">
        <v>6.0</v>
      </c>
      <c r="E33" s="211" t="s">
        <v>351</v>
      </c>
      <c r="F33" s="212" t="s">
        <v>353</v>
      </c>
      <c r="G33" s="212">
        <v>10.0</v>
      </c>
      <c r="H33" s="212">
        <v>5.0</v>
      </c>
      <c r="I33" s="212" t="s">
        <v>351</v>
      </c>
      <c r="J33" s="212" t="s">
        <v>352</v>
      </c>
      <c r="K33" s="213" t="str">
        <f t="shared" si="1"/>
        <v>6C SH 6WD COLSON</v>
      </c>
      <c r="L33" s="206">
        <f t="shared" si="2"/>
        <v>19</v>
      </c>
      <c r="M33" s="218"/>
      <c r="N33" s="219"/>
      <c r="O33" s="218"/>
      <c r="P33" s="219"/>
    </row>
    <row r="34">
      <c r="A34" s="211">
        <v>1671.0</v>
      </c>
      <c r="B34" s="211" t="s">
        <v>354</v>
      </c>
      <c r="C34" s="211" t="s">
        <v>355</v>
      </c>
      <c r="D34" s="211">
        <v>4.0</v>
      </c>
      <c r="E34" s="211" t="s">
        <v>351</v>
      </c>
      <c r="F34" s="212" t="s">
        <v>353</v>
      </c>
      <c r="G34" s="212">
        <v>14.0</v>
      </c>
      <c r="H34" s="212">
        <v>12.0</v>
      </c>
      <c r="I34" s="212" t="s">
        <v>351</v>
      </c>
      <c r="J34" s="212" t="s">
        <v>352</v>
      </c>
      <c r="K34" s="213" t="str">
        <f t="shared" si="1"/>
        <v>4C SH 6WD COLSON</v>
      </c>
      <c r="L34" s="206">
        <f t="shared" si="2"/>
        <v>17</v>
      </c>
      <c r="M34" s="218"/>
      <c r="N34" s="219"/>
      <c r="O34" s="218"/>
      <c r="P34" s="219"/>
    </row>
    <row r="35">
      <c r="A35" s="211">
        <v>4415.0</v>
      </c>
      <c r="B35" s="211" t="s">
        <v>361</v>
      </c>
      <c r="C35" s="211" t="s">
        <v>348</v>
      </c>
      <c r="D35" s="211">
        <v>4.0</v>
      </c>
      <c r="E35" s="211" t="s">
        <v>351</v>
      </c>
      <c r="F35" s="212" t="s">
        <v>363</v>
      </c>
      <c r="G35" s="212">
        <v>12.0</v>
      </c>
      <c r="H35" s="212">
        <v>12.0</v>
      </c>
      <c r="I35" s="212" t="s">
        <v>351</v>
      </c>
      <c r="J35" s="212" t="s">
        <v>352</v>
      </c>
      <c r="K35" s="213" t="str">
        <f t="shared" si="1"/>
        <v>4C SH 2+2 MECH</v>
      </c>
      <c r="L35" s="206">
        <f t="shared" si="2"/>
        <v>10</v>
      </c>
      <c r="M35" s="218"/>
      <c r="N35" s="219"/>
      <c r="O35" s="218"/>
      <c r="P35" s="219"/>
    </row>
    <row r="36">
      <c r="A36" s="211">
        <v>6305.0</v>
      </c>
      <c r="B36" s="211" t="s">
        <v>354</v>
      </c>
      <c r="C36" s="211" t="s">
        <v>355</v>
      </c>
      <c r="D36" s="211">
        <v>4.0</v>
      </c>
      <c r="E36" s="211" t="s">
        <v>349</v>
      </c>
      <c r="F36" s="212" t="s">
        <v>362</v>
      </c>
      <c r="G36" s="212">
        <v>4.0</v>
      </c>
      <c r="H36" s="212">
        <v>3.0</v>
      </c>
      <c r="I36" s="212" t="s">
        <v>351</v>
      </c>
      <c r="J36" s="212" t="s">
        <v>352</v>
      </c>
      <c r="K36" s="213" t="str">
        <f t="shared" si="1"/>
        <v>4C  6WD COLSON</v>
      </c>
      <c r="L36" s="206">
        <f t="shared" si="2"/>
        <v>12</v>
      </c>
      <c r="M36" s="218"/>
      <c r="N36" s="219"/>
      <c r="O36" s="218"/>
      <c r="P36" s="219"/>
    </row>
    <row r="37">
      <c r="A37" s="211">
        <v>3495.0</v>
      </c>
      <c r="B37" s="211" t="s">
        <v>354</v>
      </c>
      <c r="C37" s="211" t="s">
        <v>360</v>
      </c>
      <c r="D37" s="214">
        <v>4.0</v>
      </c>
      <c r="E37" s="211" t="s">
        <v>349</v>
      </c>
      <c r="F37" s="212" t="s">
        <v>363</v>
      </c>
      <c r="G37" s="212">
        <v>10.0</v>
      </c>
      <c r="H37" s="212">
        <v>8.0</v>
      </c>
      <c r="I37" s="212" t="s">
        <v>351</v>
      </c>
      <c r="J37" s="212" t="s">
        <v>352</v>
      </c>
      <c r="K37" s="213" t="str">
        <f t="shared" si="1"/>
        <v>4C  6WD ROUGH</v>
      </c>
      <c r="L37" s="206">
        <f t="shared" si="2"/>
        <v>13</v>
      </c>
      <c r="M37" s="218"/>
      <c r="N37" s="219"/>
      <c r="O37" s="218"/>
      <c r="P37" s="219"/>
    </row>
    <row r="38">
      <c r="A38" s="211">
        <v>6650.0</v>
      </c>
      <c r="B38" s="211" t="s">
        <v>354</v>
      </c>
      <c r="C38" s="211" t="s">
        <v>355</v>
      </c>
      <c r="D38" s="214">
        <v>4.0</v>
      </c>
      <c r="E38" s="211" t="s">
        <v>349</v>
      </c>
      <c r="F38" s="212" t="s">
        <v>362</v>
      </c>
      <c r="G38" s="212">
        <v>7.0</v>
      </c>
      <c r="H38" s="212">
        <v>100.0</v>
      </c>
      <c r="I38" s="212" t="s">
        <v>351</v>
      </c>
      <c r="J38" s="212" t="s">
        <v>352</v>
      </c>
      <c r="K38" s="213" t="str">
        <f t="shared" si="1"/>
        <v>4C  6WD COLSON</v>
      </c>
      <c r="L38" s="206">
        <f t="shared" si="2"/>
        <v>12</v>
      </c>
      <c r="M38" s="218"/>
      <c r="N38" s="219"/>
      <c r="O38" s="218"/>
      <c r="P38" s="219"/>
    </row>
    <row r="39">
      <c r="A39" s="211">
        <v>6657.0</v>
      </c>
      <c r="B39" s="211" t="s">
        <v>354</v>
      </c>
      <c r="C39" s="211" t="s">
        <v>355</v>
      </c>
      <c r="D39" s="214">
        <v>4.0</v>
      </c>
      <c r="E39" s="211" t="s">
        <v>349</v>
      </c>
      <c r="F39" s="212" t="s">
        <v>350</v>
      </c>
      <c r="G39" s="212">
        <v>2.0</v>
      </c>
      <c r="H39" s="212">
        <v>1.0</v>
      </c>
      <c r="I39" s="212" t="s">
        <v>351</v>
      </c>
      <c r="J39" s="212" t="s">
        <v>352</v>
      </c>
      <c r="K39" s="213" t="str">
        <f t="shared" si="1"/>
        <v>4C  6WD COLSON</v>
      </c>
      <c r="L39" s="206">
        <f t="shared" si="2"/>
        <v>12</v>
      </c>
      <c r="M39" s="218"/>
      <c r="N39" s="219"/>
      <c r="O39" s="218"/>
      <c r="P39" s="219"/>
    </row>
    <row r="40">
      <c r="A40" s="211">
        <v>294.0</v>
      </c>
      <c r="B40" s="214" t="s">
        <v>354</v>
      </c>
      <c r="C40" s="214" t="s">
        <v>355</v>
      </c>
      <c r="D40" s="211">
        <v>6.0</v>
      </c>
      <c r="E40" s="211" t="s">
        <v>351</v>
      </c>
      <c r="F40" s="212" t="s">
        <v>353</v>
      </c>
      <c r="G40" s="212">
        <v>11.0</v>
      </c>
      <c r="H40" s="212">
        <v>5.0</v>
      </c>
      <c r="I40" s="212" t="s">
        <v>351</v>
      </c>
      <c r="J40" s="212" t="s">
        <v>352</v>
      </c>
      <c r="K40" s="213" t="str">
        <f t="shared" si="1"/>
        <v>6C SH 6WD COLSON</v>
      </c>
      <c r="L40" s="206">
        <f t="shared" si="2"/>
        <v>19</v>
      </c>
      <c r="M40" s="218"/>
      <c r="N40" s="219"/>
      <c r="O40" s="218"/>
      <c r="P40" s="219"/>
    </row>
    <row r="41">
      <c r="A41" s="211">
        <v>973.0</v>
      </c>
      <c r="B41" s="214" t="s">
        <v>361</v>
      </c>
      <c r="C41" s="214" t="s">
        <v>355</v>
      </c>
      <c r="D41" s="211">
        <v>6.0</v>
      </c>
      <c r="E41" s="211" t="s">
        <v>351</v>
      </c>
      <c r="F41" s="212" t="s">
        <v>363</v>
      </c>
      <c r="G41" s="212">
        <v>22.0</v>
      </c>
      <c r="H41" s="212">
        <v>10.0</v>
      </c>
      <c r="I41" s="212" t="s">
        <v>351</v>
      </c>
      <c r="J41" s="212" t="s">
        <v>358</v>
      </c>
      <c r="K41" s="213" t="str">
        <f t="shared" si="1"/>
        <v>6C SH 2+2 COLSON</v>
      </c>
      <c r="L41" s="206">
        <f t="shared" si="2"/>
        <v>19</v>
      </c>
      <c r="M41" s="218"/>
      <c r="N41" s="219"/>
      <c r="O41" s="218"/>
      <c r="P41" s="219"/>
    </row>
    <row r="42">
      <c r="A42" s="211">
        <v>1323.0</v>
      </c>
      <c r="B42" s="214" t="s">
        <v>364</v>
      </c>
      <c r="C42" s="214" t="s">
        <v>355</v>
      </c>
      <c r="D42" s="214">
        <v>2.0</v>
      </c>
      <c r="E42" s="211" t="s">
        <v>349</v>
      </c>
      <c r="F42" s="212" t="s">
        <v>363</v>
      </c>
      <c r="G42" s="212">
        <v>12.0</v>
      </c>
      <c r="H42" s="212">
        <v>12.0</v>
      </c>
      <c r="I42" s="212" t="s">
        <v>351</v>
      </c>
      <c r="J42" s="212" t="s">
        <v>352</v>
      </c>
      <c r="K42" s="213" t="str">
        <f t="shared" si="1"/>
        <v>2C  SWERVE COLSON</v>
      </c>
      <c r="L42" s="206">
        <f t="shared" si="2"/>
        <v>6</v>
      </c>
      <c r="M42" s="218"/>
      <c r="N42" s="219"/>
      <c r="O42" s="218"/>
      <c r="P42" s="219"/>
    </row>
    <row r="43">
      <c r="A43" s="211">
        <v>2761.0</v>
      </c>
      <c r="B43" s="211" t="s">
        <v>354</v>
      </c>
      <c r="C43" s="211" t="s">
        <v>355</v>
      </c>
      <c r="D43" s="211">
        <v>4.0</v>
      </c>
      <c r="E43" s="211" t="s">
        <v>349</v>
      </c>
      <c r="F43" s="212" t="s">
        <v>353</v>
      </c>
      <c r="G43" s="212">
        <v>30.0</v>
      </c>
      <c r="H43" s="212">
        <v>5.0</v>
      </c>
      <c r="I43" s="212" t="s">
        <v>351</v>
      </c>
      <c r="J43" s="212" t="s">
        <v>352</v>
      </c>
      <c r="K43" s="213" t="str">
        <f t="shared" si="1"/>
        <v>4C  6WD COLSON</v>
      </c>
      <c r="L43" s="206">
        <f t="shared" si="2"/>
        <v>12</v>
      </c>
      <c r="M43" s="218"/>
      <c r="N43" s="219"/>
      <c r="O43" s="218"/>
      <c r="P43" s="219"/>
    </row>
    <row r="44">
      <c r="A44" s="211">
        <v>4543.0</v>
      </c>
      <c r="B44" s="211" t="s">
        <v>354</v>
      </c>
      <c r="C44" s="211" t="s">
        <v>357</v>
      </c>
      <c r="D44" s="211">
        <v>4.0</v>
      </c>
      <c r="E44" s="211" t="s">
        <v>349</v>
      </c>
      <c r="F44" s="212" t="s">
        <v>363</v>
      </c>
      <c r="G44" s="212">
        <v>18.0</v>
      </c>
      <c r="H44" s="212">
        <v>10.0</v>
      </c>
      <c r="I44" s="212" t="s">
        <v>351</v>
      </c>
      <c r="J44" s="212" t="s">
        <v>365</v>
      </c>
      <c r="K44" s="213" t="str">
        <f t="shared" si="1"/>
        <v>4C  6WD OMNI</v>
      </c>
      <c r="L44" s="206">
        <f t="shared" si="2"/>
        <v>8</v>
      </c>
      <c r="M44" s="218"/>
      <c r="N44" s="219"/>
      <c r="O44" s="218"/>
      <c r="P44" s="219"/>
    </row>
    <row r="45">
      <c r="A45" s="211">
        <v>4643.0</v>
      </c>
      <c r="B45" s="211" t="s">
        <v>354</v>
      </c>
      <c r="C45" s="211" t="s">
        <v>355</v>
      </c>
      <c r="D45" s="211">
        <v>6.0</v>
      </c>
      <c r="E45" s="211" t="s">
        <v>349</v>
      </c>
      <c r="F45" s="212" t="s">
        <v>353</v>
      </c>
      <c r="G45" s="212">
        <v>10.0</v>
      </c>
      <c r="H45" s="212">
        <v>10.0</v>
      </c>
      <c r="I45" s="212" t="s">
        <v>351</v>
      </c>
      <c r="J45" s="212" t="s">
        <v>352</v>
      </c>
      <c r="K45" s="213" t="str">
        <f t="shared" si="1"/>
        <v>6C  6WD COLSON</v>
      </c>
      <c r="L45" s="206">
        <f t="shared" si="2"/>
        <v>14</v>
      </c>
      <c r="M45" s="218"/>
      <c r="N45" s="219"/>
      <c r="O45" s="218"/>
      <c r="P45" s="219"/>
    </row>
    <row r="46">
      <c r="A46" s="211">
        <v>670.0</v>
      </c>
      <c r="B46" s="211" t="s">
        <v>347</v>
      </c>
      <c r="C46" s="211" t="s">
        <v>357</v>
      </c>
      <c r="D46" s="211">
        <v>4.0</v>
      </c>
      <c r="E46" s="211" t="s">
        <v>349</v>
      </c>
      <c r="F46" s="212" t="s">
        <v>350</v>
      </c>
      <c r="G46" s="212">
        <v>10.0</v>
      </c>
      <c r="H46" s="212">
        <v>5.0</v>
      </c>
      <c r="I46" s="212" t="s">
        <v>351</v>
      </c>
      <c r="J46" s="212" t="s">
        <v>352</v>
      </c>
      <c r="K46" s="213" t="str">
        <f t="shared" si="1"/>
        <v>4C  4WD OMNI</v>
      </c>
      <c r="L46" s="206">
        <f t="shared" si="2"/>
        <v>8</v>
      </c>
      <c r="M46" s="218"/>
      <c r="N46" s="219"/>
      <c r="O46" s="218"/>
      <c r="P46" s="219"/>
    </row>
    <row r="47">
      <c r="A47" s="211">
        <v>3303.0</v>
      </c>
      <c r="B47" s="211" t="s">
        <v>354</v>
      </c>
      <c r="C47" s="211" t="s">
        <v>357</v>
      </c>
      <c r="D47" s="214">
        <v>6.0</v>
      </c>
      <c r="E47" s="211" t="s">
        <v>349</v>
      </c>
      <c r="F47" s="212" t="s">
        <v>350</v>
      </c>
      <c r="G47" s="212">
        <v>5.0</v>
      </c>
      <c r="H47" s="212">
        <v>1.0</v>
      </c>
      <c r="I47" s="212" t="s">
        <v>351</v>
      </c>
      <c r="J47" s="212" t="s">
        <v>358</v>
      </c>
      <c r="K47" s="213" t="str">
        <f t="shared" si="1"/>
        <v>6C  6WD OMNI</v>
      </c>
      <c r="L47" s="206">
        <f t="shared" si="2"/>
        <v>10</v>
      </c>
      <c r="M47" s="218"/>
      <c r="N47" s="219"/>
      <c r="O47" s="218"/>
      <c r="P47" s="219"/>
    </row>
    <row r="48">
      <c r="A48" s="211">
        <v>3189.0</v>
      </c>
      <c r="B48" s="211" t="s">
        <v>354</v>
      </c>
      <c r="C48" s="211" t="s">
        <v>355</v>
      </c>
      <c r="D48" s="211">
        <v>6.0</v>
      </c>
      <c r="E48" s="211" t="s">
        <v>351</v>
      </c>
      <c r="F48" s="212" t="s">
        <v>353</v>
      </c>
      <c r="G48" s="212">
        <v>6.0</v>
      </c>
      <c r="H48" s="212">
        <v>3.0</v>
      </c>
      <c r="I48" s="212" t="s">
        <v>351</v>
      </c>
      <c r="J48" s="212" t="s">
        <v>352</v>
      </c>
      <c r="K48" s="213" t="str">
        <f t="shared" si="1"/>
        <v>6C SH 6WD COLSON</v>
      </c>
      <c r="L48" s="206">
        <f t="shared" si="2"/>
        <v>19</v>
      </c>
      <c r="M48" s="218"/>
      <c r="N48" s="219"/>
      <c r="O48" s="218"/>
      <c r="P48" s="219"/>
    </row>
    <row r="49">
      <c r="A49" s="211">
        <v>1388.0</v>
      </c>
      <c r="B49" s="211" t="s">
        <v>354</v>
      </c>
      <c r="C49" s="211" t="s">
        <v>360</v>
      </c>
      <c r="D49" s="211">
        <v>4.0</v>
      </c>
      <c r="E49" s="211" t="s">
        <v>349</v>
      </c>
      <c r="F49" s="212" t="s">
        <v>350</v>
      </c>
      <c r="G49" s="212">
        <v>5.0</v>
      </c>
      <c r="H49" s="212">
        <v>1.0</v>
      </c>
      <c r="I49" s="212" t="s">
        <v>351</v>
      </c>
      <c r="J49" s="212" t="s">
        <v>358</v>
      </c>
      <c r="K49" s="213" t="str">
        <f t="shared" si="1"/>
        <v>4C  6WD ROUGH</v>
      </c>
      <c r="L49" s="206">
        <f t="shared" si="2"/>
        <v>13</v>
      </c>
      <c r="M49" s="218"/>
      <c r="N49" s="219"/>
      <c r="O49" s="218"/>
      <c r="P49" s="219"/>
    </row>
    <row r="50">
      <c r="A50" s="211">
        <v>3189.0</v>
      </c>
      <c r="B50" s="211" t="s">
        <v>354</v>
      </c>
      <c r="C50" s="211" t="s">
        <v>355</v>
      </c>
      <c r="D50" s="211">
        <v>6.0</v>
      </c>
      <c r="E50" s="211" t="s">
        <v>351</v>
      </c>
      <c r="F50" s="212" t="s">
        <v>353</v>
      </c>
      <c r="G50" s="212">
        <v>6.0</v>
      </c>
      <c r="H50" s="212">
        <v>3.0</v>
      </c>
      <c r="I50" s="212" t="s">
        <v>351</v>
      </c>
      <c r="J50" s="212" t="s">
        <v>352</v>
      </c>
      <c r="K50" s="213" t="str">
        <f t="shared" si="1"/>
        <v>6C SH 6WD COLSON</v>
      </c>
      <c r="L50" s="206">
        <f t="shared" si="2"/>
        <v>19</v>
      </c>
      <c r="M50" s="218"/>
      <c r="N50" s="219"/>
      <c r="O50" s="218"/>
      <c r="P50" s="219"/>
    </row>
    <row r="51">
      <c r="A51" s="211"/>
      <c r="B51" s="211"/>
      <c r="C51" s="211"/>
      <c r="D51" s="211"/>
      <c r="E51" s="211"/>
      <c r="F51" s="212"/>
      <c r="G51" s="212"/>
      <c r="H51" s="212"/>
      <c r="I51" s="212"/>
      <c r="J51" s="212"/>
      <c r="K51" s="213" t="str">
        <f t="shared" si="1"/>
        <v>C   </v>
      </c>
      <c r="L51" s="206">
        <f t="shared" si="2"/>
        <v>1</v>
      </c>
      <c r="M51" s="218"/>
      <c r="N51" s="219"/>
      <c r="O51" s="218"/>
      <c r="P51" s="219"/>
    </row>
    <row r="52">
      <c r="A52" s="208"/>
      <c r="B52" s="208"/>
      <c r="C52" s="208"/>
      <c r="D52" s="208"/>
      <c r="E52" s="208"/>
      <c r="F52" s="212"/>
      <c r="G52" s="212"/>
      <c r="H52" s="212"/>
      <c r="I52" s="212"/>
      <c r="J52" s="212"/>
      <c r="K52" s="213" t="str">
        <f t="shared" si="1"/>
        <v>C   </v>
      </c>
      <c r="L52" s="206">
        <f t="shared" si="2"/>
        <v>1</v>
      </c>
      <c r="M52" s="218"/>
      <c r="N52" s="219"/>
      <c r="O52" s="218"/>
      <c r="P52" s="219"/>
    </row>
    <row r="53">
      <c r="A53" s="208"/>
      <c r="B53" s="208"/>
      <c r="C53" s="208"/>
      <c r="D53" s="208"/>
      <c r="E53" s="208"/>
      <c r="F53" s="212"/>
      <c r="G53" s="212"/>
      <c r="H53" s="212"/>
      <c r="I53" s="212"/>
      <c r="J53" s="212"/>
      <c r="K53" s="213" t="str">
        <f t="shared" si="1"/>
        <v>C   </v>
      </c>
      <c r="L53" s="206">
        <f t="shared" si="2"/>
        <v>1</v>
      </c>
      <c r="M53" s="218"/>
      <c r="N53" s="219"/>
      <c r="O53" s="218"/>
      <c r="P53" s="219"/>
    </row>
    <row r="54">
      <c r="A54" s="208"/>
      <c r="B54" s="208"/>
      <c r="C54" s="208"/>
      <c r="D54" s="208"/>
      <c r="E54" s="208"/>
      <c r="F54" s="212"/>
      <c r="G54" s="212"/>
      <c r="H54" s="212"/>
      <c r="I54" s="212"/>
      <c r="J54" s="212"/>
      <c r="K54" s="213" t="str">
        <f t="shared" si="1"/>
        <v>C   </v>
      </c>
      <c r="L54" s="206">
        <f t="shared" si="2"/>
        <v>1</v>
      </c>
      <c r="M54" s="218"/>
      <c r="N54" s="219"/>
      <c r="O54" s="218"/>
      <c r="P54" s="219"/>
    </row>
    <row r="55">
      <c r="A55" s="208"/>
      <c r="B55" s="208"/>
      <c r="C55" s="208"/>
      <c r="D55" s="208"/>
      <c r="E55" s="208"/>
      <c r="F55" s="212"/>
      <c r="G55" s="212"/>
      <c r="H55" s="212"/>
      <c r="I55" s="212"/>
      <c r="J55" s="212"/>
      <c r="K55" s="213" t="str">
        <f t="shared" si="1"/>
        <v>C   </v>
      </c>
      <c r="L55" s="206">
        <f t="shared" si="2"/>
        <v>1</v>
      </c>
      <c r="M55" s="218"/>
      <c r="N55" s="219"/>
      <c r="O55" s="218"/>
      <c r="P55" s="219"/>
    </row>
  </sheetData>
  <mergeCells count="4">
    <mergeCell ref="M1:N1"/>
    <mergeCell ref="O1:P1"/>
    <mergeCell ref="N2:N7"/>
    <mergeCell ref="P3:P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hidden="1" min="2" max="2" width="10.14"/>
    <col customWidth="1" hidden="1" min="3" max="3" width="11.14"/>
    <col customWidth="1" hidden="1" min="4" max="5" width="8.86"/>
    <col customWidth="1" min="6" max="11" width="22.86"/>
    <col customWidth="1" min="12" max="12" width="12.0"/>
    <col customWidth="1" min="13" max="13" width="10.14"/>
    <col customWidth="1" min="14" max="14" width="3.43"/>
    <col customWidth="1" min="15" max="15" width="12.71"/>
    <col customWidth="1" min="16" max="16" width="3.71"/>
    <col customWidth="1" min="17" max="17" width="8.43"/>
    <col customWidth="1" min="18" max="18" width="4.14"/>
    <col customWidth="1" min="19" max="19" width="16.29"/>
  </cols>
  <sheetData>
    <row r="1">
      <c r="A1" s="207" t="s">
        <v>337</v>
      </c>
      <c r="B1" s="193" t="s">
        <v>338</v>
      </c>
      <c r="C1" s="207" t="s">
        <v>339</v>
      </c>
      <c r="D1" s="207" t="s">
        <v>340</v>
      </c>
      <c r="E1" s="207" t="s">
        <v>341</v>
      </c>
      <c r="F1" s="193" t="s">
        <v>342</v>
      </c>
      <c r="G1" s="193" t="s">
        <v>343</v>
      </c>
      <c r="H1" s="193" t="s">
        <v>344</v>
      </c>
      <c r="I1" s="193" t="s">
        <v>345</v>
      </c>
      <c r="J1" s="193" t="s">
        <v>346</v>
      </c>
      <c r="K1" s="192" t="s">
        <v>457</v>
      </c>
      <c r="L1" s="192" t="s">
        <v>458</v>
      </c>
      <c r="M1" s="191" t="s">
        <v>459</v>
      </c>
      <c r="O1" s="191" t="s">
        <v>460</v>
      </c>
      <c r="Q1" s="210">
        <v>48.0</v>
      </c>
      <c r="R1" s="210"/>
      <c r="S1" s="210"/>
    </row>
    <row r="2">
      <c r="A2" s="211">
        <v>3045.0</v>
      </c>
      <c r="B2" s="211" t="s">
        <v>347</v>
      </c>
      <c r="C2" s="211" t="s">
        <v>359</v>
      </c>
      <c r="D2" s="211">
        <v>6.0</v>
      </c>
      <c r="E2" s="211" t="s">
        <v>351</v>
      </c>
      <c r="F2" s="212" t="s">
        <v>353</v>
      </c>
      <c r="G2" s="212">
        <v>6.0</v>
      </c>
      <c r="H2" s="212">
        <v>6.0</v>
      </c>
      <c r="I2" s="212" t="s">
        <v>351</v>
      </c>
      <c r="J2" s="212" t="s">
        <v>358</v>
      </c>
      <c r="K2" s="213" t="s">
        <v>461</v>
      </c>
      <c r="L2" s="206">
        <v>19.0</v>
      </c>
      <c r="M2" s="214" t="s">
        <v>347</v>
      </c>
      <c r="N2" s="215">
        <v>5.0</v>
      </c>
      <c r="O2" s="214" t="s">
        <v>360</v>
      </c>
      <c r="P2" s="215">
        <v>5.0</v>
      </c>
      <c r="S2" s="216"/>
    </row>
    <row r="3">
      <c r="A3" s="211">
        <v>5677.0</v>
      </c>
      <c r="B3" s="211" t="s">
        <v>354</v>
      </c>
      <c r="C3" s="211" t="s">
        <v>355</v>
      </c>
      <c r="D3" s="211">
        <v>6.0</v>
      </c>
      <c r="E3" s="211" t="s">
        <v>351</v>
      </c>
      <c r="F3" s="212" t="s">
        <v>353</v>
      </c>
      <c r="G3" s="212">
        <v>10.0</v>
      </c>
      <c r="H3" s="212">
        <v>6.0</v>
      </c>
      <c r="I3" s="212" t="s">
        <v>351</v>
      </c>
      <c r="J3" s="212" t="s">
        <v>352</v>
      </c>
      <c r="K3" s="213" t="s">
        <v>462</v>
      </c>
      <c r="L3" s="206">
        <v>19.0</v>
      </c>
      <c r="M3" s="217" t="s">
        <v>354</v>
      </c>
      <c r="O3" s="217" t="s">
        <v>359</v>
      </c>
      <c r="P3" s="215">
        <v>4.0</v>
      </c>
      <c r="Q3" s="99" t="s">
        <v>463</v>
      </c>
      <c r="S3" s="216"/>
    </row>
    <row r="4">
      <c r="A4" s="211">
        <v>1422.0</v>
      </c>
      <c r="B4" s="211" t="s">
        <v>354</v>
      </c>
      <c r="C4" s="211" t="s">
        <v>355</v>
      </c>
      <c r="D4" s="211">
        <v>6.0</v>
      </c>
      <c r="E4" s="211" t="s">
        <v>351</v>
      </c>
      <c r="F4" s="212" t="s">
        <v>353</v>
      </c>
      <c r="G4" s="212">
        <v>10.0</v>
      </c>
      <c r="H4" s="212">
        <v>5.0</v>
      </c>
      <c r="I4" s="212" t="s">
        <v>351</v>
      </c>
      <c r="J4" s="212" t="s">
        <v>352</v>
      </c>
      <c r="K4" s="213" t="s">
        <v>462</v>
      </c>
      <c r="L4" s="206">
        <v>19.0</v>
      </c>
      <c r="M4" s="217" t="s">
        <v>464</v>
      </c>
      <c r="O4" s="217" t="s">
        <v>355</v>
      </c>
      <c r="S4" s="216"/>
    </row>
    <row r="5">
      <c r="A5" s="211">
        <v>294.0</v>
      </c>
      <c r="B5" s="214" t="s">
        <v>354</v>
      </c>
      <c r="C5" s="214" t="s">
        <v>355</v>
      </c>
      <c r="D5" s="211">
        <v>6.0</v>
      </c>
      <c r="E5" s="211" t="s">
        <v>351</v>
      </c>
      <c r="F5" s="212" t="s">
        <v>353</v>
      </c>
      <c r="G5" s="212">
        <v>11.0</v>
      </c>
      <c r="H5" s="212">
        <v>5.0</v>
      </c>
      <c r="I5" s="212" t="s">
        <v>351</v>
      </c>
      <c r="J5" s="212" t="s">
        <v>352</v>
      </c>
      <c r="K5" s="213" t="s">
        <v>462</v>
      </c>
      <c r="L5" s="206">
        <v>19.0</v>
      </c>
      <c r="M5" s="217" t="s">
        <v>465</v>
      </c>
      <c r="O5" s="217" t="s">
        <v>357</v>
      </c>
      <c r="P5" s="215">
        <v>1.0</v>
      </c>
      <c r="S5" s="216"/>
    </row>
    <row r="6">
      <c r="A6" s="211">
        <v>973.0</v>
      </c>
      <c r="B6" s="214" t="s">
        <v>361</v>
      </c>
      <c r="C6" s="214" t="s">
        <v>355</v>
      </c>
      <c r="D6" s="211">
        <v>6.0</v>
      </c>
      <c r="E6" s="211" t="s">
        <v>351</v>
      </c>
      <c r="F6" s="212" t="s">
        <v>363</v>
      </c>
      <c r="G6" s="212">
        <v>22.0</v>
      </c>
      <c r="H6" s="212">
        <v>10.0</v>
      </c>
      <c r="I6" s="212" t="s">
        <v>351</v>
      </c>
      <c r="J6" s="212" t="s">
        <v>358</v>
      </c>
      <c r="K6" s="213" t="s">
        <v>466</v>
      </c>
      <c r="L6" s="206">
        <v>19.0</v>
      </c>
      <c r="M6" s="217" t="s">
        <v>364</v>
      </c>
      <c r="O6" s="217" t="s">
        <v>348</v>
      </c>
      <c r="P6" s="215">
        <v>-3.0</v>
      </c>
      <c r="S6" s="216"/>
    </row>
    <row r="7">
      <c r="A7" s="211">
        <v>3189.0</v>
      </c>
      <c r="B7" s="211" t="s">
        <v>354</v>
      </c>
      <c r="C7" s="211" t="s">
        <v>355</v>
      </c>
      <c r="D7" s="211">
        <v>6.0</v>
      </c>
      <c r="E7" s="211" t="s">
        <v>351</v>
      </c>
      <c r="F7" s="212" t="s">
        <v>353</v>
      </c>
      <c r="G7" s="212">
        <v>6.0</v>
      </c>
      <c r="H7" s="212">
        <v>3.0</v>
      </c>
      <c r="I7" s="212" t="s">
        <v>351</v>
      </c>
      <c r="J7" s="212" t="s">
        <v>352</v>
      </c>
      <c r="K7" s="213" t="s">
        <v>462</v>
      </c>
      <c r="L7" s="206">
        <v>19.0</v>
      </c>
      <c r="M7" s="217" t="s">
        <v>361</v>
      </c>
      <c r="O7" s="218"/>
      <c r="P7" s="219"/>
      <c r="S7" s="216"/>
    </row>
    <row r="8">
      <c r="A8" s="211">
        <v>3189.0</v>
      </c>
      <c r="B8" s="211" t="s">
        <v>354</v>
      </c>
      <c r="C8" s="211" t="s">
        <v>355</v>
      </c>
      <c r="D8" s="211">
        <v>6.0</v>
      </c>
      <c r="E8" s="211" t="s">
        <v>351</v>
      </c>
      <c r="F8" s="212" t="s">
        <v>353</v>
      </c>
      <c r="G8" s="212">
        <v>6.0</v>
      </c>
      <c r="H8" s="212">
        <v>3.0</v>
      </c>
      <c r="I8" s="212" t="s">
        <v>351</v>
      </c>
      <c r="J8" s="212" t="s">
        <v>352</v>
      </c>
      <c r="K8" s="213" t="s">
        <v>462</v>
      </c>
      <c r="L8" s="206">
        <v>19.0</v>
      </c>
      <c r="M8" s="217" t="s">
        <v>467</v>
      </c>
      <c r="N8" s="215">
        <v>3.0</v>
      </c>
      <c r="O8" s="218"/>
      <c r="P8" s="219"/>
      <c r="S8" s="216"/>
    </row>
    <row r="9">
      <c r="A9" s="211">
        <v>3256.0</v>
      </c>
      <c r="B9" s="211" t="s">
        <v>354</v>
      </c>
      <c r="C9" s="211" t="s">
        <v>360</v>
      </c>
      <c r="D9" s="211">
        <v>4.0</v>
      </c>
      <c r="E9" s="211" t="s">
        <v>351</v>
      </c>
      <c r="F9" s="212" t="s">
        <v>353</v>
      </c>
      <c r="G9" s="212">
        <v>9.0</v>
      </c>
      <c r="H9" s="212">
        <v>9.0</v>
      </c>
      <c r="I9" s="212" t="s">
        <v>351</v>
      </c>
      <c r="J9" s="212" t="s">
        <v>352</v>
      </c>
      <c r="K9" s="213" t="s">
        <v>468</v>
      </c>
      <c r="L9" s="206">
        <v>18.0</v>
      </c>
      <c r="M9" s="217" t="s">
        <v>356</v>
      </c>
      <c r="N9" s="215">
        <v>0.0</v>
      </c>
      <c r="O9" s="218"/>
      <c r="P9" s="219"/>
      <c r="S9" s="216"/>
    </row>
    <row r="10">
      <c r="A10" s="211">
        <v>2135.0</v>
      </c>
      <c r="B10" s="211" t="s">
        <v>354</v>
      </c>
      <c r="C10" s="211" t="s">
        <v>360</v>
      </c>
      <c r="D10" s="211">
        <v>4.0</v>
      </c>
      <c r="E10" s="211" t="s">
        <v>351</v>
      </c>
      <c r="F10" s="212" t="s">
        <v>350</v>
      </c>
      <c r="G10" s="212">
        <v>13.0</v>
      </c>
      <c r="H10" s="212">
        <v>5.0</v>
      </c>
      <c r="I10" s="212" t="s">
        <v>351</v>
      </c>
      <c r="J10" s="212" t="s">
        <v>358</v>
      </c>
      <c r="K10" s="213" t="s">
        <v>468</v>
      </c>
      <c r="L10" s="206">
        <v>18.0</v>
      </c>
      <c r="M10" s="217" t="s">
        <v>469</v>
      </c>
      <c r="N10" s="215">
        <v>4.0</v>
      </c>
      <c r="O10" s="217" t="s">
        <v>470</v>
      </c>
      <c r="P10" s="215">
        <v>5.0</v>
      </c>
    </row>
    <row r="11">
      <c r="A11" s="211">
        <v>1662.0</v>
      </c>
      <c r="B11" s="211" t="s">
        <v>354</v>
      </c>
      <c r="C11" s="211" t="s">
        <v>360</v>
      </c>
      <c r="D11" s="211">
        <v>4.0</v>
      </c>
      <c r="E11" s="211" t="s">
        <v>351</v>
      </c>
      <c r="F11" s="212" t="s">
        <v>353</v>
      </c>
      <c r="G11" s="212">
        <v>16.0</v>
      </c>
      <c r="H11" s="212">
        <v>6.0</v>
      </c>
      <c r="I11" s="212" t="s">
        <v>351</v>
      </c>
      <c r="J11" s="212" t="s">
        <v>358</v>
      </c>
      <c r="K11" s="213" t="s">
        <v>468</v>
      </c>
      <c r="L11" s="206">
        <v>18.0</v>
      </c>
      <c r="M11" s="218"/>
      <c r="N11" s="219"/>
      <c r="O11" s="218"/>
      <c r="P11" s="219"/>
    </row>
    <row r="12">
      <c r="A12" s="211">
        <v>2367.0</v>
      </c>
      <c r="B12" s="211" t="s">
        <v>354</v>
      </c>
      <c r="C12" s="211" t="s">
        <v>355</v>
      </c>
      <c r="D12" s="211">
        <v>4.0</v>
      </c>
      <c r="E12" s="211" t="s">
        <v>351</v>
      </c>
      <c r="F12" s="212" t="s">
        <v>353</v>
      </c>
      <c r="G12" s="212">
        <v>6.0</v>
      </c>
      <c r="H12" s="212">
        <v>6.0</v>
      </c>
      <c r="I12" s="212" t="s">
        <v>351</v>
      </c>
      <c r="J12" s="212" t="s">
        <v>358</v>
      </c>
      <c r="K12" s="213" t="s">
        <v>471</v>
      </c>
      <c r="L12" s="206">
        <v>17.0</v>
      </c>
      <c r="M12" s="218"/>
      <c r="N12" s="219"/>
      <c r="O12" s="217" t="s">
        <v>472</v>
      </c>
      <c r="P12" s="215">
        <v>5.0</v>
      </c>
    </row>
    <row r="13">
      <c r="A13" s="211">
        <v>687.0</v>
      </c>
      <c r="B13" s="211" t="s">
        <v>354</v>
      </c>
      <c r="C13" s="211" t="s">
        <v>355</v>
      </c>
      <c r="D13" s="211">
        <v>4.0</v>
      </c>
      <c r="E13" s="211" t="s">
        <v>351</v>
      </c>
      <c r="F13" s="212" t="s">
        <v>353</v>
      </c>
      <c r="G13" s="212">
        <v>8.0</v>
      </c>
      <c r="H13" s="212">
        <v>6.0</v>
      </c>
      <c r="I13" s="212" t="s">
        <v>351</v>
      </c>
      <c r="J13" s="212" t="s">
        <v>352</v>
      </c>
      <c r="K13" s="213" t="s">
        <v>471</v>
      </c>
      <c r="L13" s="206">
        <v>17.0</v>
      </c>
      <c r="M13" s="218"/>
      <c r="N13" s="219"/>
      <c r="O13" s="217" t="s">
        <v>473</v>
      </c>
      <c r="P13" s="215">
        <v>3.0</v>
      </c>
    </row>
    <row r="14">
      <c r="A14" s="211">
        <v>5104.0</v>
      </c>
      <c r="B14" s="211" t="s">
        <v>354</v>
      </c>
      <c r="C14" s="211" t="s">
        <v>355</v>
      </c>
      <c r="D14" s="211">
        <v>4.0</v>
      </c>
      <c r="E14" s="211" t="s">
        <v>351</v>
      </c>
      <c r="F14" s="212" t="s">
        <v>353</v>
      </c>
      <c r="G14" s="212">
        <v>7.0</v>
      </c>
      <c r="H14" s="212">
        <v>6.0</v>
      </c>
      <c r="I14" s="212" t="s">
        <v>351</v>
      </c>
      <c r="J14" s="212" t="s">
        <v>358</v>
      </c>
      <c r="K14" s="213" t="s">
        <v>471</v>
      </c>
      <c r="L14" s="206">
        <v>17.0</v>
      </c>
      <c r="M14" s="218"/>
      <c r="N14" s="219"/>
      <c r="O14" s="217" t="s">
        <v>474</v>
      </c>
      <c r="P14" s="215">
        <v>-3.0</v>
      </c>
    </row>
    <row r="15">
      <c r="A15" s="211">
        <v>3501.0</v>
      </c>
      <c r="B15" s="211" t="s">
        <v>354</v>
      </c>
      <c r="C15" s="211" t="s">
        <v>355</v>
      </c>
      <c r="D15" s="211">
        <v>4.0</v>
      </c>
      <c r="E15" s="211" t="s">
        <v>351</v>
      </c>
      <c r="F15" s="212" t="s">
        <v>350</v>
      </c>
      <c r="G15" s="212">
        <v>5.0</v>
      </c>
      <c r="H15" s="212">
        <v>3.0</v>
      </c>
      <c r="I15" s="212" t="s">
        <v>351</v>
      </c>
      <c r="J15" s="212" t="s">
        <v>352</v>
      </c>
      <c r="K15" s="213" t="s">
        <v>471</v>
      </c>
      <c r="L15" s="206">
        <v>17.0</v>
      </c>
      <c r="M15" s="218"/>
      <c r="N15" s="219"/>
      <c r="O15" s="218"/>
      <c r="P15" s="219"/>
    </row>
    <row r="16">
      <c r="A16" s="211">
        <v>1868.0</v>
      </c>
      <c r="B16" s="211" t="s">
        <v>354</v>
      </c>
      <c r="C16" s="211" t="s">
        <v>355</v>
      </c>
      <c r="D16" s="211">
        <v>4.0</v>
      </c>
      <c r="E16" s="211" t="s">
        <v>351</v>
      </c>
      <c r="F16" s="212" t="s">
        <v>350</v>
      </c>
      <c r="G16" s="212">
        <v>13.0</v>
      </c>
      <c r="H16" s="212">
        <v>12.0</v>
      </c>
      <c r="I16" s="212" t="s">
        <v>351</v>
      </c>
      <c r="J16" s="212" t="s">
        <v>358</v>
      </c>
      <c r="K16" s="213" t="s">
        <v>471</v>
      </c>
      <c r="L16" s="206">
        <v>17.0</v>
      </c>
      <c r="M16" s="218"/>
      <c r="N16" s="219"/>
      <c r="O16" s="218"/>
      <c r="P16" s="219"/>
    </row>
    <row r="17">
      <c r="A17" s="211">
        <v>3970.0</v>
      </c>
      <c r="B17" s="211" t="s">
        <v>354</v>
      </c>
      <c r="C17" s="211" t="s">
        <v>355</v>
      </c>
      <c r="D17" s="211">
        <v>4.0</v>
      </c>
      <c r="E17" s="211" t="s">
        <v>351</v>
      </c>
      <c r="F17" s="212" t="s">
        <v>362</v>
      </c>
      <c r="G17" s="212">
        <v>8.0</v>
      </c>
      <c r="H17" s="212">
        <v>8.0</v>
      </c>
      <c r="I17" s="212" t="s">
        <v>351</v>
      </c>
      <c r="J17" s="212" t="s">
        <v>352</v>
      </c>
      <c r="K17" s="213" t="s">
        <v>471</v>
      </c>
      <c r="L17" s="206">
        <v>17.0</v>
      </c>
      <c r="M17" s="218"/>
      <c r="N17" s="219"/>
      <c r="O17" s="218"/>
      <c r="P17" s="219"/>
    </row>
    <row r="18">
      <c r="A18" s="211">
        <v>4255.0</v>
      </c>
      <c r="B18" s="211" t="s">
        <v>354</v>
      </c>
      <c r="C18" s="211" t="s">
        <v>355</v>
      </c>
      <c r="D18" s="211">
        <v>4.0</v>
      </c>
      <c r="E18" s="211" t="s">
        <v>351</v>
      </c>
      <c r="F18" s="212" t="s">
        <v>350</v>
      </c>
      <c r="G18" s="212">
        <v>6.0</v>
      </c>
      <c r="H18" s="212">
        <v>5.0</v>
      </c>
      <c r="I18" s="212" t="s">
        <v>351</v>
      </c>
      <c r="J18" s="212" t="s">
        <v>352</v>
      </c>
      <c r="K18" s="213" t="s">
        <v>471</v>
      </c>
      <c r="L18" s="206">
        <v>17.0</v>
      </c>
      <c r="M18" s="218"/>
      <c r="N18" s="219"/>
      <c r="O18" s="218"/>
      <c r="P18" s="219"/>
    </row>
    <row r="19">
      <c r="A19" s="211">
        <v>1671.0</v>
      </c>
      <c r="B19" s="211" t="s">
        <v>354</v>
      </c>
      <c r="C19" s="211" t="s">
        <v>355</v>
      </c>
      <c r="D19" s="211">
        <v>4.0</v>
      </c>
      <c r="E19" s="211" t="s">
        <v>351</v>
      </c>
      <c r="F19" s="212" t="s">
        <v>353</v>
      </c>
      <c r="G19" s="212">
        <v>14.0</v>
      </c>
      <c r="H19" s="212">
        <v>12.0</v>
      </c>
      <c r="I19" s="212" t="s">
        <v>351</v>
      </c>
      <c r="J19" s="212" t="s">
        <v>352</v>
      </c>
      <c r="K19" s="213" t="s">
        <v>471</v>
      </c>
      <c r="L19" s="206">
        <v>17.0</v>
      </c>
      <c r="M19" s="218"/>
      <c r="N19" s="219"/>
      <c r="O19" s="218"/>
      <c r="P19" s="219"/>
    </row>
    <row r="20">
      <c r="A20" s="211">
        <v>751.0</v>
      </c>
      <c r="B20" s="211" t="s">
        <v>354</v>
      </c>
      <c r="C20" s="211" t="s">
        <v>360</v>
      </c>
      <c r="D20" s="211">
        <v>6.0</v>
      </c>
      <c r="E20" s="211" t="s">
        <v>349</v>
      </c>
      <c r="F20" s="212" t="s">
        <v>350</v>
      </c>
      <c r="G20" s="212">
        <v>5.0</v>
      </c>
      <c r="H20" s="212">
        <v>3.0</v>
      </c>
      <c r="I20" s="212" t="s">
        <v>351</v>
      </c>
      <c r="J20" s="212" t="s">
        <v>352</v>
      </c>
      <c r="K20" s="213" t="s">
        <v>475</v>
      </c>
      <c r="L20" s="206">
        <v>15.0</v>
      </c>
      <c r="M20" s="218"/>
      <c r="N20" s="219"/>
      <c r="O20" s="218"/>
      <c r="P20" s="219"/>
    </row>
    <row r="21">
      <c r="A21" s="211">
        <v>980.0</v>
      </c>
      <c r="B21" s="211" t="s">
        <v>354</v>
      </c>
      <c r="C21" s="211" t="s">
        <v>355</v>
      </c>
      <c r="D21" s="211">
        <v>6.0</v>
      </c>
      <c r="E21" s="211" t="s">
        <v>349</v>
      </c>
      <c r="F21" s="212" t="s">
        <v>350</v>
      </c>
      <c r="G21" s="212">
        <v>9.0</v>
      </c>
      <c r="H21" s="212">
        <v>8.0</v>
      </c>
      <c r="I21" s="212" t="s">
        <v>351</v>
      </c>
      <c r="J21" s="212" t="s">
        <v>352</v>
      </c>
      <c r="K21" s="213" t="s">
        <v>476</v>
      </c>
      <c r="L21" s="206">
        <v>14.0</v>
      </c>
      <c r="M21" s="218"/>
      <c r="N21" s="219"/>
      <c r="O21" s="218"/>
      <c r="P21" s="219"/>
    </row>
    <row r="22">
      <c r="A22" s="211">
        <v>4643.0</v>
      </c>
      <c r="B22" s="211" t="s">
        <v>354</v>
      </c>
      <c r="C22" s="211" t="s">
        <v>355</v>
      </c>
      <c r="D22" s="211">
        <v>6.0</v>
      </c>
      <c r="E22" s="211" t="s">
        <v>349</v>
      </c>
      <c r="F22" s="212" t="s">
        <v>353</v>
      </c>
      <c r="G22" s="212">
        <v>10.0</v>
      </c>
      <c r="H22" s="212">
        <v>10.0</v>
      </c>
      <c r="I22" s="212" t="s">
        <v>351</v>
      </c>
      <c r="J22" s="212" t="s">
        <v>352</v>
      </c>
      <c r="K22" s="213" t="s">
        <v>476</v>
      </c>
      <c r="L22" s="206">
        <v>14.0</v>
      </c>
      <c r="M22" s="218"/>
      <c r="N22" s="219"/>
      <c r="O22" s="218"/>
      <c r="P22" s="219"/>
    </row>
    <row r="23">
      <c r="A23" s="211">
        <v>3495.0</v>
      </c>
      <c r="B23" s="211" t="s">
        <v>354</v>
      </c>
      <c r="C23" s="211" t="s">
        <v>360</v>
      </c>
      <c r="D23" s="214">
        <v>4.0</v>
      </c>
      <c r="E23" s="211" t="s">
        <v>349</v>
      </c>
      <c r="F23" s="212" t="s">
        <v>363</v>
      </c>
      <c r="G23" s="212">
        <v>10.0</v>
      </c>
      <c r="H23" s="212">
        <v>8.0</v>
      </c>
      <c r="I23" s="212" t="s">
        <v>351</v>
      </c>
      <c r="J23" s="212" t="s">
        <v>352</v>
      </c>
      <c r="K23" s="213" t="s">
        <v>477</v>
      </c>
      <c r="L23" s="206">
        <v>13.0</v>
      </c>
      <c r="M23" s="218"/>
      <c r="N23" s="219"/>
      <c r="O23" s="218"/>
      <c r="P23" s="219"/>
    </row>
    <row r="24">
      <c r="A24" s="211">
        <v>1388.0</v>
      </c>
      <c r="B24" s="211" t="s">
        <v>354</v>
      </c>
      <c r="C24" s="211" t="s">
        <v>360</v>
      </c>
      <c r="D24" s="211">
        <v>4.0</v>
      </c>
      <c r="E24" s="211" t="s">
        <v>349</v>
      </c>
      <c r="F24" s="212" t="s">
        <v>350</v>
      </c>
      <c r="G24" s="212">
        <v>5.0</v>
      </c>
      <c r="H24" s="212">
        <v>1.0</v>
      </c>
      <c r="I24" s="212" t="s">
        <v>351</v>
      </c>
      <c r="J24" s="212" t="s">
        <v>358</v>
      </c>
      <c r="K24" s="213" t="s">
        <v>477</v>
      </c>
      <c r="L24" s="206">
        <v>13.0</v>
      </c>
      <c r="M24" s="218"/>
      <c r="N24" s="219"/>
      <c r="O24" s="218"/>
      <c r="P24" s="219"/>
    </row>
    <row r="25">
      <c r="A25" s="211">
        <v>2643.0</v>
      </c>
      <c r="B25" s="211" t="s">
        <v>354</v>
      </c>
      <c r="C25" s="211" t="s">
        <v>355</v>
      </c>
      <c r="D25" s="211">
        <v>4.0</v>
      </c>
      <c r="E25" s="211" t="s">
        <v>349</v>
      </c>
      <c r="F25" s="212" t="s">
        <v>350</v>
      </c>
      <c r="G25" s="212">
        <v>5.0</v>
      </c>
      <c r="H25" s="212">
        <v>3.0</v>
      </c>
      <c r="I25" s="212" t="s">
        <v>351</v>
      </c>
      <c r="J25" s="212" t="s">
        <v>352</v>
      </c>
      <c r="K25" s="213" t="s">
        <v>478</v>
      </c>
      <c r="L25" s="206">
        <v>12.0</v>
      </c>
      <c r="M25" s="218"/>
      <c r="N25" s="219"/>
      <c r="O25" s="218"/>
      <c r="P25" s="219"/>
    </row>
    <row r="26">
      <c r="A26" s="211">
        <v>6619.0</v>
      </c>
      <c r="B26" s="211" t="s">
        <v>354</v>
      </c>
      <c r="C26" s="211" t="s">
        <v>355</v>
      </c>
      <c r="D26" s="211">
        <v>4.0</v>
      </c>
      <c r="E26" s="211" t="s">
        <v>349</v>
      </c>
      <c r="F26" s="212" t="s">
        <v>350</v>
      </c>
      <c r="G26" s="212">
        <v>3.0</v>
      </c>
      <c r="H26" s="212">
        <v>2.0</v>
      </c>
      <c r="I26" s="212" t="s">
        <v>351</v>
      </c>
      <c r="J26" s="212" t="s">
        <v>358</v>
      </c>
      <c r="K26" s="213" t="s">
        <v>478</v>
      </c>
      <c r="L26" s="206">
        <v>12.0</v>
      </c>
      <c r="M26" s="218"/>
      <c r="N26" s="219"/>
      <c r="O26" s="218"/>
      <c r="P26" s="219"/>
    </row>
    <row r="27">
      <c r="A27" s="211">
        <v>6711.0</v>
      </c>
      <c r="B27" s="211" t="s">
        <v>354</v>
      </c>
      <c r="C27" s="211" t="s">
        <v>355</v>
      </c>
      <c r="D27" s="211">
        <v>4.0</v>
      </c>
      <c r="E27" s="211" t="s">
        <v>349</v>
      </c>
      <c r="F27" s="212" t="s">
        <v>350</v>
      </c>
      <c r="G27" s="212">
        <v>6.0</v>
      </c>
      <c r="H27" s="212">
        <v>2.0</v>
      </c>
      <c r="I27" s="212" t="s">
        <v>351</v>
      </c>
      <c r="J27" s="212" t="s">
        <v>352</v>
      </c>
      <c r="K27" s="213" t="s">
        <v>478</v>
      </c>
      <c r="L27" s="206">
        <v>12.0</v>
      </c>
      <c r="M27" s="218"/>
      <c r="N27" s="219"/>
      <c r="O27" s="218"/>
      <c r="P27" s="219"/>
    </row>
    <row r="28">
      <c r="A28" s="211">
        <v>5852.0</v>
      </c>
      <c r="B28" s="211" t="s">
        <v>354</v>
      </c>
      <c r="C28" s="211" t="s">
        <v>355</v>
      </c>
      <c r="D28" s="211">
        <v>4.0</v>
      </c>
      <c r="E28" s="211" t="s">
        <v>349</v>
      </c>
      <c r="F28" s="212" t="s">
        <v>350</v>
      </c>
      <c r="G28" s="212">
        <v>10.0</v>
      </c>
      <c r="H28" s="212">
        <v>3.0</v>
      </c>
      <c r="I28" s="212" t="s">
        <v>351</v>
      </c>
      <c r="J28" s="212" t="s">
        <v>352</v>
      </c>
      <c r="K28" s="213" t="s">
        <v>478</v>
      </c>
      <c r="L28" s="206">
        <v>12.0</v>
      </c>
      <c r="M28" s="218"/>
      <c r="N28" s="219"/>
      <c r="O28" s="218"/>
      <c r="P28" s="219"/>
    </row>
    <row r="29">
      <c r="A29" s="211">
        <v>6699.0</v>
      </c>
      <c r="B29" s="211" t="s">
        <v>354</v>
      </c>
      <c r="C29" s="211" t="s">
        <v>355</v>
      </c>
      <c r="D29" s="211">
        <v>4.0</v>
      </c>
      <c r="E29" s="211" t="s">
        <v>349</v>
      </c>
      <c r="F29" s="212" t="s">
        <v>350</v>
      </c>
      <c r="G29" s="212">
        <v>5.0</v>
      </c>
      <c r="H29" s="212">
        <v>4.0</v>
      </c>
      <c r="I29" s="212" t="s">
        <v>351</v>
      </c>
      <c r="J29" s="212" t="s">
        <v>352</v>
      </c>
      <c r="K29" s="213" t="s">
        <v>478</v>
      </c>
      <c r="L29" s="206">
        <v>12.0</v>
      </c>
      <c r="M29" s="218"/>
      <c r="N29" s="219"/>
      <c r="O29" s="218"/>
      <c r="P29" s="219"/>
    </row>
    <row r="30">
      <c r="A30" s="211">
        <v>1072.0</v>
      </c>
      <c r="B30" s="211" t="s">
        <v>354</v>
      </c>
      <c r="C30" s="211" t="s">
        <v>355</v>
      </c>
      <c r="D30" s="211">
        <v>4.0</v>
      </c>
      <c r="E30" s="211" t="s">
        <v>349</v>
      </c>
      <c r="F30" s="212" t="s">
        <v>353</v>
      </c>
      <c r="G30" s="212">
        <v>4.0</v>
      </c>
      <c r="H30" s="212">
        <v>6.0</v>
      </c>
      <c r="I30" s="212" t="s">
        <v>351</v>
      </c>
      <c r="J30" s="212" t="s">
        <v>352</v>
      </c>
      <c r="K30" s="213" t="s">
        <v>478</v>
      </c>
      <c r="L30" s="206">
        <v>12.0</v>
      </c>
      <c r="M30" s="218"/>
      <c r="N30" s="219"/>
      <c r="O30" s="218"/>
      <c r="P30" s="219"/>
    </row>
    <row r="31">
      <c r="A31" s="211">
        <v>2085.0</v>
      </c>
      <c r="B31" s="211" t="s">
        <v>354</v>
      </c>
      <c r="C31" s="211" t="s">
        <v>355</v>
      </c>
      <c r="D31" s="211">
        <v>4.0</v>
      </c>
      <c r="E31" s="211" t="s">
        <v>349</v>
      </c>
      <c r="F31" s="212" t="s">
        <v>350</v>
      </c>
      <c r="G31" s="212">
        <v>5.0</v>
      </c>
      <c r="H31" s="212">
        <v>6.0</v>
      </c>
      <c r="I31" s="212" t="s">
        <v>351</v>
      </c>
      <c r="J31" s="212" t="s">
        <v>352</v>
      </c>
      <c r="K31" s="213" t="s">
        <v>478</v>
      </c>
      <c r="L31" s="206">
        <v>12.0</v>
      </c>
      <c r="M31" s="218"/>
      <c r="N31" s="219"/>
      <c r="O31" s="218"/>
      <c r="P31" s="219"/>
    </row>
    <row r="32">
      <c r="A32" s="211">
        <v>1678.0</v>
      </c>
      <c r="B32" s="211" t="s">
        <v>354</v>
      </c>
      <c r="C32" s="211" t="s">
        <v>355</v>
      </c>
      <c r="D32" s="211">
        <v>4.0</v>
      </c>
      <c r="E32" s="211" t="s">
        <v>349</v>
      </c>
      <c r="F32" s="212" t="s">
        <v>363</v>
      </c>
      <c r="G32" s="212">
        <v>10.0</v>
      </c>
      <c r="H32" s="212">
        <v>9.0</v>
      </c>
      <c r="I32" s="212" t="s">
        <v>351</v>
      </c>
      <c r="J32" s="212" t="s">
        <v>358</v>
      </c>
      <c r="K32" s="213" t="s">
        <v>478</v>
      </c>
      <c r="L32" s="206">
        <v>12.0</v>
      </c>
      <c r="M32" s="218"/>
      <c r="N32" s="219"/>
      <c r="O32" s="218"/>
      <c r="P32" s="219"/>
    </row>
    <row r="33">
      <c r="A33" s="211">
        <v>6305.0</v>
      </c>
      <c r="B33" s="211" t="s">
        <v>354</v>
      </c>
      <c r="C33" s="211" t="s">
        <v>355</v>
      </c>
      <c r="D33" s="211">
        <v>4.0</v>
      </c>
      <c r="E33" s="211" t="s">
        <v>349</v>
      </c>
      <c r="F33" s="212" t="s">
        <v>362</v>
      </c>
      <c r="G33" s="212">
        <v>4.0</v>
      </c>
      <c r="H33" s="212">
        <v>3.0</v>
      </c>
      <c r="I33" s="212" t="s">
        <v>351</v>
      </c>
      <c r="J33" s="212" t="s">
        <v>352</v>
      </c>
      <c r="K33" s="213" t="s">
        <v>478</v>
      </c>
      <c r="L33" s="206">
        <v>12.0</v>
      </c>
      <c r="M33" s="218"/>
      <c r="N33" s="219"/>
      <c r="O33" s="218"/>
      <c r="P33" s="219"/>
    </row>
    <row r="34">
      <c r="A34" s="211">
        <v>6650.0</v>
      </c>
      <c r="B34" s="211" t="s">
        <v>354</v>
      </c>
      <c r="C34" s="211" t="s">
        <v>355</v>
      </c>
      <c r="D34" s="214">
        <v>4.0</v>
      </c>
      <c r="E34" s="211" t="s">
        <v>349</v>
      </c>
      <c r="F34" s="212" t="s">
        <v>362</v>
      </c>
      <c r="G34" s="212">
        <v>7.0</v>
      </c>
      <c r="H34" s="212">
        <v>100.0</v>
      </c>
      <c r="I34" s="212" t="s">
        <v>351</v>
      </c>
      <c r="J34" s="212" t="s">
        <v>352</v>
      </c>
      <c r="K34" s="213" t="s">
        <v>478</v>
      </c>
      <c r="L34" s="206">
        <v>12.0</v>
      </c>
      <c r="M34" s="218"/>
      <c r="N34" s="219"/>
      <c r="O34" s="218"/>
      <c r="P34" s="219"/>
    </row>
    <row r="35">
      <c r="A35" s="211">
        <v>6657.0</v>
      </c>
      <c r="B35" s="211" t="s">
        <v>354</v>
      </c>
      <c r="C35" s="211" t="s">
        <v>355</v>
      </c>
      <c r="D35" s="214">
        <v>4.0</v>
      </c>
      <c r="E35" s="211" t="s">
        <v>349</v>
      </c>
      <c r="F35" s="212" t="s">
        <v>350</v>
      </c>
      <c r="G35" s="212">
        <v>2.0</v>
      </c>
      <c r="H35" s="212">
        <v>1.0</v>
      </c>
      <c r="I35" s="212" t="s">
        <v>351</v>
      </c>
      <c r="J35" s="212" t="s">
        <v>352</v>
      </c>
      <c r="K35" s="213" t="s">
        <v>478</v>
      </c>
      <c r="L35" s="206">
        <v>12.0</v>
      </c>
      <c r="M35" s="218"/>
      <c r="N35" s="219"/>
      <c r="O35" s="218"/>
      <c r="P35" s="219"/>
    </row>
    <row r="36">
      <c r="A36" s="211">
        <v>2761.0</v>
      </c>
      <c r="B36" s="211" t="s">
        <v>354</v>
      </c>
      <c r="C36" s="211" t="s">
        <v>355</v>
      </c>
      <c r="D36" s="211">
        <v>4.0</v>
      </c>
      <c r="E36" s="211" t="s">
        <v>349</v>
      </c>
      <c r="F36" s="212" t="s">
        <v>353</v>
      </c>
      <c r="G36" s="212">
        <v>30.0</v>
      </c>
      <c r="H36" s="212">
        <v>5.0</v>
      </c>
      <c r="I36" s="212" t="s">
        <v>351</v>
      </c>
      <c r="J36" s="212" t="s">
        <v>352</v>
      </c>
      <c r="K36" s="213" t="s">
        <v>478</v>
      </c>
      <c r="L36" s="206">
        <v>12.0</v>
      </c>
      <c r="M36" s="218"/>
      <c r="N36" s="219"/>
      <c r="O36" s="218"/>
      <c r="P36" s="219"/>
    </row>
    <row r="37">
      <c r="A37" s="211">
        <v>4415.0</v>
      </c>
      <c r="B37" s="211" t="s">
        <v>361</v>
      </c>
      <c r="C37" s="211" t="s">
        <v>348</v>
      </c>
      <c r="D37" s="211">
        <v>4.0</v>
      </c>
      <c r="E37" s="211" t="s">
        <v>351</v>
      </c>
      <c r="F37" s="212" t="s">
        <v>363</v>
      </c>
      <c r="G37" s="212">
        <v>12.0</v>
      </c>
      <c r="H37" s="212">
        <v>12.0</v>
      </c>
      <c r="I37" s="212" t="s">
        <v>351</v>
      </c>
      <c r="J37" s="212" t="s">
        <v>352</v>
      </c>
      <c r="K37" s="213" t="s">
        <v>479</v>
      </c>
      <c r="L37" s="206">
        <v>10.0</v>
      </c>
      <c r="M37" s="218"/>
      <c r="N37" s="219"/>
      <c r="O37" s="218"/>
      <c r="P37" s="219"/>
    </row>
    <row r="38">
      <c r="A38" s="211">
        <v>3303.0</v>
      </c>
      <c r="B38" s="211" t="s">
        <v>354</v>
      </c>
      <c r="C38" s="211" t="s">
        <v>357</v>
      </c>
      <c r="D38" s="214">
        <v>6.0</v>
      </c>
      <c r="E38" s="211" t="s">
        <v>349</v>
      </c>
      <c r="F38" s="212" t="s">
        <v>350</v>
      </c>
      <c r="G38" s="212">
        <v>5.0</v>
      </c>
      <c r="H38" s="212">
        <v>1.0</v>
      </c>
      <c r="I38" s="212" t="s">
        <v>351</v>
      </c>
      <c r="J38" s="212" t="s">
        <v>358</v>
      </c>
      <c r="K38" s="213" t="s">
        <v>480</v>
      </c>
      <c r="L38" s="206">
        <v>10.0</v>
      </c>
      <c r="M38" s="218"/>
      <c r="N38" s="219"/>
      <c r="O38" s="218"/>
      <c r="P38" s="219"/>
    </row>
    <row r="39">
      <c r="A39" s="211">
        <v>2493.0</v>
      </c>
      <c r="B39" s="211" t="s">
        <v>361</v>
      </c>
      <c r="C39" s="211" t="s">
        <v>357</v>
      </c>
      <c r="D39" s="211">
        <v>4.0</v>
      </c>
      <c r="E39" s="211" t="s">
        <v>349</v>
      </c>
      <c r="F39" s="212" t="s">
        <v>350</v>
      </c>
      <c r="G39" s="212">
        <v>8.0</v>
      </c>
      <c r="H39" s="212">
        <v>8.0</v>
      </c>
      <c r="I39" s="212" t="s">
        <v>351</v>
      </c>
      <c r="J39" s="212" t="s">
        <v>358</v>
      </c>
      <c r="K39" s="213" t="s">
        <v>482</v>
      </c>
      <c r="L39" s="206">
        <v>8.0</v>
      </c>
      <c r="M39" s="218"/>
      <c r="N39" s="219"/>
      <c r="O39" s="218"/>
      <c r="P39" s="219"/>
    </row>
    <row r="40">
      <c r="A40" s="211">
        <v>972.0</v>
      </c>
      <c r="B40" s="211" t="s">
        <v>354</v>
      </c>
      <c r="C40" s="211" t="s">
        <v>357</v>
      </c>
      <c r="D40" s="211">
        <v>4.0</v>
      </c>
      <c r="E40" s="211" t="s">
        <v>349</v>
      </c>
      <c r="F40" s="212" t="s">
        <v>350</v>
      </c>
      <c r="G40" s="212">
        <v>8.0</v>
      </c>
      <c r="H40" s="212">
        <v>6.0</v>
      </c>
      <c r="I40" s="212" t="s">
        <v>351</v>
      </c>
      <c r="J40" s="212" t="s">
        <v>352</v>
      </c>
      <c r="K40" s="213" t="s">
        <v>483</v>
      </c>
      <c r="L40" s="206">
        <v>8.0</v>
      </c>
      <c r="M40" s="218"/>
      <c r="N40" s="219"/>
      <c r="O40" s="218"/>
      <c r="P40" s="219"/>
    </row>
    <row r="41">
      <c r="A41" s="211">
        <v>4543.0</v>
      </c>
      <c r="B41" s="211" t="s">
        <v>354</v>
      </c>
      <c r="C41" s="211" t="s">
        <v>357</v>
      </c>
      <c r="D41" s="211">
        <v>4.0</v>
      </c>
      <c r="E41" s="211" t="s">
        <v>349</v>
      </c>
      <c r="F41" s="212" t="s">
        <v>363</v>
      </c>
      <c r="G41" s="212">
        <v>18.0</v>
      </c>
      <c r="H41" s="212">
        <v>10.0</v>
      </c>
      <c r="I41" s="212" t="s">
        <v>351</v>
      </c>
      <c r="J41" s="212" t="s">
        <v>365</v>
      </c>
      <c r="K41" s="213" t="s">
        <v>483</v>
      </c>
      <c r="L41" s="206">
        <v>8.0</v>
      </c>
      <c r="M41" s="218"/>
      <c r="N41" s="219"/>
      <c r="O41" s="218"/>
      <c r="P41" s="219"/>
    </row>
    <row r="42">
      <c r="A42" s="211">
        <v>670.0</v>
      </c>
      <c r="B42" s="211" t="s">
        <v>347</v>
      </c>
      <c r="C42" s="211" t="s">
        <v>357</v>
      </c>
      <c r="D42" s="211">
        <v>4.0</v>
      </c>
      <c r="E42" s="211" t="s">
        <v>349</v>
      </c>
      <c r="F42" s="212" t="s">
        <v>350</v>
      </c>
      <c r="G42" s="212">
        <v>10.0</v>
      </c>
      <c r="H42" s="212">
        <v>5.0</v>
      </c>
      <c r="I42" s="212" t="s">
        <v>351</v>
      </c>
      <c r="J42" s="212" t="s">
        <v>352</v>
      </c>
      <c r="K42" s="213" t="s">
        <v>484</v>
      </c>
      <c r="L42" s="206">
        <v>8.0</v>
      </c>
      <c r="M42" s="218"/>
      <c r="N42" s="219"/>
      <c r="O42" s="218"/>
      <c r="P42" s="219"/>
    </row>
    <row r="43">
      <c r="A43" s="211">
        <v>5817.0</v>
      </c>
      <c r="B43" s="211" t="s">
        <v>364</v>
      </c>
      <c r="C43" s="211" t="s">
        <v>355</v>
      </c>
      <c r="D43" s="211">
        <v>2.0</v>
      </c>
      <c r="E43" s="211" t="s">
        <v>349</v>
      </c>
      <c r="F43" s="212" t="s">
        <v>350</v>
      </c>
      <c r="G43" s="212">
        <v>15.0</v>
      </c>
      <c r="H43" s="212">
        <v>7.0</v>
      </c>
      <c r="I43" s="212" t="s">
        <v>351</v>
      </c>
      <c r="J43" s="212" t="s">
        <v>352</v>
      </c>
      <c r="K43" s="213" t="s">
        <v>485</v>
      </c>
      <c r="L43" s="206">
        <v>6.0</v>
      </c>
      <c r="M43" s="218"/>
      <c r="N43" s="219"/>
      <c r="O43" s="218"/>
      <c r="P43" s="219"/>
    </row>
    <row r="44">
      <c r="A44" s="211">
        <v>1323.0</v>
      </c>
      <c r="B44" s="214" t="s">
        <v>364</v>
      </c>
      <c r="C44" s="214" t="s">
        <v>355</v>
      </c>
      <c r="D44" s="214">
        <v>2.0</v>
      </c>
      <c r="E44" s="211" t="s">
        <v>349</v>
      </c>
      <c r="F44" s="212" t="s">
        <v>363</v>
      </c>
      <c r="G44" s="212">
        <v>12.0</v>
      </c>
      <c r="H44" s="212">
        <v>12.0</v>
      </c>
      <c r="I44" s="212" t="s">
        <v>351</v>
      </c>
      <c r="J44" s="212" t="s">
        <v>352</v>
      </c>
      <c r="K44" s="213" t="s">
        <v>485</v>
      </c>
      <c r="L44" s="206">
        <v>6.0</v>
      </c>
      <c r="M44" s="218"/>
      <c r="N44" s="219"/>
      <c r="O44" s="218"/>
      <c r="P44" s="219"/>
    </row>
    <row r="45">
      <c r="A45" s="211">
        <v>2813.0</v>
      </c>
      <c r="B45" s="211" t="s">
        <v>347</v>
      </c>
      <c r="C45" s="211" t="s">
        <v>348</v>
      </c>
      <c r="D45" s="211">
        <v>4.0</v>
      </c>
      <c r="E45" s="211" t="s">
        <v>349</v>
      </c>
      <c r="F45" s="212" t="s">
        <v>350</v>
      </c>
      <c r="G45" s="212">
        <v>10.0</v>
      </c>
      <c r="H45" s="212">
        <v>9.0</v>
      </c>
      <c r="I45" s="212" t="s">
        <v>351</v>
      </c>
      <c r="J45" s="212" t="s">
        <v>352</v>
      </c>
      <c r="K45" s="213" t="s">
        <v>486</v>
      </c>
      <c r="L45" s="206">
        <v>5.0</v>
      </c>
      <c r="M45" s="218"/>
      <c r="N45" s="219"/>
      <c r="O45" s="218"/>
      <c r="P45" s="219"/>
    </row>
    <row r="46">
      <c r="A46" s="211">
        <v>852.0</v>
      </c>
      <c r="B46" s="211" t="s">
        <v>347</v>
      </c>
      <c r="C46" s="211" t="s">
        <v>348</v>
      </c>
      <c r="D46" s="211">
        <v>4.0</v>
      </c>
      <c r="E46" s="211" t="s">
        <v>349</v>
      </c>
      <c r="F46" s="212" t="s">
        <v>353</v>
      </c>
      <c r="G46" s="212">
        <v>8.0</v>
      </c>
      <c r="H46" s="212">
        <v>5.0</v>
      </c>
      <c r="I46" s="212" t="s">
        <v>351</v>
      </c>
      <c r="J46" s="212" t="s">
        <v>352</v>
      </c>
      <c r="K46" s="213" t="s">
        <v>486</v>
      </c>
      <c r="L46" s="206">
        <v>5.0</v>
      </c>
      <c r="M46" s="218"/>
      <c r="N46" s="219"/>
      <c r="O46" s="218"/>
      <c r="P46" s="219"/>
    </row>
    <row r="47">
      <c r="A47" s="211">
        <v>5134.0</v>
      </c>
      <c r="B47" s="211" t="s">
        <v>347</v>
      </c>
      <c r="C47" s="211" t="s">
        <v>348</v>
      </c>
      <c r="D47" s="211">
        <v>4.0</v>
      </c>
      <c r="E47" s="211" t="s">
        <v>349</v>
      </c>
      <c r="F47" s="212" t="s">
        <v>350</v>
      </c>
      <c r="G47" s="212">
        <v>7.0</v>
      </c>
      <c r="H47" s="212">
        <v>2.0</v>
      </c>
      <c r="I47" s="212" t="s">
        <v>351</v>
      </c>
      <c r="J47" s="212" t="s">
        <v>358</v>
      </c>
      <c r="K47" s="213" t="s">
        <v>486</v>
      </c>
      <c r="L47" s="206">
        <v>5.0</v>
      </c>
      <c r="M47" s="218"/>
      <c r="N47" s="219"/>
      <c r="O47" s="218"/>
      <c r="P47" s="219"/>
    </row>
    <row r="48">
      <c r="A48" s="211">
        <v>4276.0</v>
      </c>
      <c r="B48" s="211" t="s">
        <v>347</v>
      </c>
      <c r="C48" s="211" t="s">
        <v>348</v>
      </c>
      <c r="D48" s="211">
        <v>4.0</v>
      </c>
      <c r="E48" s="211" t="s">
        <v>349</v>
      </c>
      <c r="F48" s="212" t="s">
        <v>363</v>
      </c>
      <c r="G48" s="212">
        <v>7.0</v>
      </c>
      <c r="H48" s="212">
        <v>3.0</v>
      </c>
      <c r="I48" s="212" t="s">
        <v>351</v>
      </c>
      <c r="J48" s="212" t="s">
        <v>352</v>
      </c>
      <c r="K48" s="213" t="s">
        <v>486</v>
      </c>
      <c r="L48" s="206">
        <v>5.0</v>
      </c>
      <c r="M48" s="218"/>
      <c r="N48" s="219"/>
      <c r="O48" s="218"/>
      <c r="P48" s="219"/>
    </row>
    <row r="49">
      <c r="A49" s="211">
        <v>6059.0</v>
      </c>
      <c r="B49" s="211" t="s">
        <v>356</v>
      </c>
      <c r="C49" s="211" t="s">
        <v>357</v>
      </c>
      <c r="D49" s="211">
        <v>4.0</v>
      </c>
      <c r="E49" s="211" t="s">
        <v>349</v>
      </c>
      <c r="F49" s="212" t="s">
        <v>350</v>
      </c>
      <c r="G49" s="212">
        <v>4.0</v>
      </c>
      <c r="H49" s="212">
        <v>2.0</v>
      </c>
      <c r="I49" s="212" t="s">
        <v>351</v>
      </c>
      <c r="J49" s="212" t="s">
        <v>358</v>
      </c>
      <c r="K49" s="213" t="s">
        <v>487</v>
      </c>
      <c r="L49" s="206">
        <v>3.0</v>
      </c>
      <c r="M49" s="218"/>
      <c r="N49" s="219"/>
      <c r="O49" s="218"/>
      <c r="P49" s="219"/>
    </row>
    <row r="50">
      <c r="A50" s="211"/>
      <c r="B50" s="211"/>
      <c r="C50" s="211"/>
      <c r="D50" s="211"/>
      <c r="E50" s="211"/>
      <c r="F50" s="212"/>
      <c r="G50" s="212"/>
      <c r="H50" s="212"/>
      <c r="I50" s="212"/>
      <c r="J50" s="212"/>
      <c r="K50" s="213" t="s">
        <v>488</v>
      </c>
      <c r="L50" s="206">
        <v>1.0</v>
      </c>
      <c r="M50" s="218"/>
      <c r="N50" s="219"/>
      <c r="O50" s="218"/>
      <c r="P50" s="219"/>
    </row>
    <row r="51">
      <c r="A51" s="211"/>
      <c r="B51" s="211"/>
      <c r="C51" s="211"/>
      <c r="D51" s="211"/>
      <c r="E51" s="211"/>
      <c r="F51" s="212"/>
      <c r="G51" s="212"/>
      <c r="H51" s="212"/>
      <c r="I51" s="212"/>
      <c r="J51" s="212"/>
      <c r="K51" s="213" t="s">
        <v>488</v>
      </c>
      <c r="L51" s="206">
        <v>1.0</v>
      </c>
      <c r="M51" s="218"/>
      <c r="N51" s="219"/>
      <c r="O51" s="218"/>
      <c r="P51" s="219"/>
    </row>
    <row r="52">
      <c r="A52" s="208"/>
      <c r="B52" s="208"/>
      <c r="C52" s="208"/>
      <c r="D52" s="208"/>
      <c r="E52" s="208"/>
      <c r="F52" s="212"/>
      <c r="G52" s="212"/>
      <c r="H52" s="212"/>
      <c r="I52" s="212"/>
      <c r="J52" s="212"/>
      <c r="K52" s="213" t="s">
        <v>488</v>
      </c>
      <c r="L52" s="206">
        <v>1.0</v>
      </c>
      <c r="M52" s="218"/>
      <c r="N52" s="219"/>
      <c r="O52" s="218"/>
      <c r="P52" s="219"/>
    </row>
    <row r="53">
      <c r="A53" s="208"/>
      <c r="B53" s="208"/>
      <c r="C53" s="208"/>
      <c r="D53" s="208"/>
      <c r="E53" s="208"/>
      <c r="F53" s="212"/>
      <c r="G53" s="212"/>
      <c r="H53" s="212"/>
      <c r="I53" s="212"/>
      <c r="J53" s="212"/>
      <c r="K53" s="213" t="s">
        <v>488</v>
      </c>
      <c r="L53" s="206">
        <v>1.0</v>
      </c>
      <c r="M53" s="218"/>
      <c r="N53" s="219"/>
      <c r="O53" s="218"/>
      <c r="P53" s="219"/>
    </row>
    <row r="54">
      <c r="A54" s="208"/>
      <c r="B54" s="208"/>
      <c r="C54" s="208"/>
      <c r="D54" s="208"/>
      <c r="E54" s="208"/>
      <c r="F54" s="212"/>
      <c r="G54" s="212"/>
      <c r="H54" s="212"/>
      <c r="I54" s="212"/>
      <c r="J54" s="212"/>
      <c r="K54" s="213" t="s">
        <v>488</v>
      </c>
      <c r="L54" s="206">
        <v>1.0</v>
      </c>
      <c r="M54" s="218"/>
      <c r="N54" s="219"/>
      <c r="O54" s="218"/>
      <c r="P54" s="219"/>
    </row>
    <row r="55">
      <c r="A55" s="208"/>
      <c r="B55" s="208"/>
      <c r="C55" s="208"/>
      <c r="D55" s="208"/>
      <c r="E55" s="208"/>
      <c r="F55" s="212"/>
      <c r="G55" s="212"/>
      <c r="H55" s="212"/>
      <c r="I55" s="212"/>
      <c r="J55" s="212"/>
      <c r="K55" s="213" t="s">
        <v>488</v>
      </c>
      <c r="L55" s="206">
        <v>1.0</v>
      </c>
      <c r="M55" s="218"/>
      <c r="N55" s="219"/>
      <c r="O55" s="218"/>
      <c r="P55" s="219"/>
    </row>
  </sheetData>
  <mergeCells count="4">
    <mergeCell ref="M1:N1"/>
    <mergeCell ref="O1:P1"/>
    <mergeCell ref="N2:N7"/>
    <mergeCell ref="P3:P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8.29"/>
    <col customWidth="1" min="2" max="2" width="20.57"/>
    <col customWidth="1" min="3" max="8" width="8.29"/>
    <col customWidth="1" min="9" max="10" width="35.86"/>
  </cols>
  <sheetData>
    <row r="1">
      <c r="A1" s="220" t="s">
        <v>2</v>
      </c>
      <c r="B1" s="220" t="s">
        <v>489</v>
      </c>
      <c r="C1" s="221" t="s">
        <v>39</v>
      </c>
      <c r="D1" s="221" t="s">
        <v>40</v>
      </c>
      <c r="E1" s="221" t="s">
        <v>41</v>
      </c>
      <c r="F1" s="222" t="s">
        <v>42</v>
      </c>
      <c r="G1" s="222" t="s">
        <v>43</v>
      </c>
      <c r="H1" s="222" t="s">
        <v>44</v>
      </c>
      <c r="I1" s="221" t="s">
        <v>490</v>
      </c>
      <c r="J1" s="222" t="s">
        <v>491</v>
      </c>
      <c r="K1" s="223" t="s">
        <v>492</v>
      </c>
      <c r="L1" s="223" t="s">
        <v>493</v>
      </c>
      <c r="M1" s="223" t="s">
        <v>494</v>
      </c>
      <c r="N1" s="223"/>
      <c r="O1" s="223" t="s">
        <v>495</v>
      </c>
      <c r="P1" s="223"/>
    </row>
    <row r="2">
      <c r="A2" s="220">
        <f t="array" ref="A2">if(row($A1)&gt;$L$9,"",index('Match Sched'!A:A,match(concatenate(973,"-",row(A1)),'Match Sched'!Y:Y,0)))</f>
        <v>5</v>
      </c>
      <c r="B2" s="220" t="str">
        <f t="array" ref="B2">if(row($A1)&gt;$L$9,"",index('Match Sched'!B:B,match($A2,'Match Sched'!$A:$A,0)))</f>
        <v>Sat 3/11 - 9:36 AM</v>
      </c>
      <c r="C2" s="224">
        <f t="array" ref="C2">if(row($A1)&gt;$L$9,"",index('Match Sched'!C:C,match($A2,'Match Sched'!$A:$A,0)))</f>
        <v>4543</v>
      </c>
      <c r="D2" s="224">
        <f t="array" ref="D2">if(row($A1)&gt;$L$9,"",index('Match Sched'!D:D,match($A2,'Match Sched'!$A:$A,0)))</f>
        <v>5677</v>
      </c>
      <c r="E2" s="224">
        <f t="array" ref="E2">if(row($A1)&gt;$L$9,"",index('Match Sched'!E:E,match($A2,'Match Sched'!$A:$A,0)))</f>
        <v>973</v>
      </c>
      <c r="F2" s="224">
        <f t="array" ref="F2">if(row($A1)&gt;$L$9,"",index('Match Sched'!F:F,match($A2,'Match Sched'!$A:$A,0)))</f>
        <v>3495</v>
      </c>
      <c r="G2" s="224">
        <f t="array" ref="G2">if(row($A1)&gt;$L$9,"",index('Match Sched'!G:G,match($A2,'Match Sched'!$A:$A,0)))</f>
        <v>3189</v>
      </c>
      <c r="H2" s="224">
        <f t="array" ref="H2">if(row($A1)&gt;$L$9,"",index('Match Sched'!H:H,match($A2,'Match Sched'!$A:$A,0)))</f>
        <v>1671</v>
      </c>
      <c r="I2" s="224"/>
      <c r="J2" s="225"/>
      <c r="K2" s="223">
        <v>60.0</v>
      </c>
      <c r="L2" s="223">
        <v>26.0</v>
      </c>
      <c r="M2" s="223">
        <v>15.0</v>
      </c>
      <c r="N2" s="223"/>
      <c r="O2" s="223" t="s">
        <v>497</v>
      </c>
      <c r="P2" s="223"/>
    </row>
    <row r="3">
      <c r="A3" s="220">
        <f t="array" ref="A3">if(row($A2)&gt;$L$9,"",index('Match Sched'!A:A,match(concatenate(973,"-",row(A2)),'Match Sched'!Y:Y,0)))</f>
        <v>9</v>
      </c>
      <c r="B3" s="220" t="str">
        <f t="array" ref="B3">if(row($A2)&gt;$L$9,"",index('Match Sched'!B:B,match($A3,'Match Sched'!$A:$A,0)))</f>
        <v>Sat 3/11 - 10:27 AM</v>
      </c>
      <c r="C3" s="224">
        <f t="array" ref="C3">if(row($A2)&gt;$L$9,"",index('Match Sched'!C:C,match($A3,'Match Sched'!$A:$A,0)))</f>
        <v>751</v>
      </c>
      <c r="D3" s="224">
        <f t="array" ref="D3">if(row($A2)&gt;$L$9,"",index('Match Sched'!D:D,match($A3,'Match Sched'!$A:$A,0)))</f>
        <v>5104</v>
      </c>
      <c r="E3" s="224">
        <f t="array" ref="E3">if(row($A2)&gt;$L$9,"",index('Match Sched'!E:E,match($A3,'Match Sched'!$A:$A,0)))</f>
        <v>973</v>
      </c>
      <c r="F3" s="224">
        <f t="array" ref="F3">if(row($A2)&gt;$L$9,"",index('Match Sched'!F:F,match($A3,'Match Sched'!$A:$A,0)))</f>
        <v>2135</v>
      </c>
      <c r="G3" s="224">
        <f t="array" ref="G3">if(row($A2)&gt;$L$9,"",index('Match Sched'!G:G,match($A3,'Match Sched'!$A:$A,0)))</f>
        <v>4543</v>
      </c>
      <c r="H3" s="224">
        <f t="array" ref="H3">if(row($A2)&gt;$L$9,"",index('Match Sched'!H:H,match($A3,'Match Sched'!$A:$A,0)))</f>
        <v>2085</v>
      </c>
      <c r="I3" s="224"/>
      <c r="J3" s="225"/>
      <c r="K3" s="223"/>
      <c r="L3" s="223"/>
      <c r="M3" s="223"/>
      <c r="N3" s="223"/>
      <c r="O3" s="223"/>
      <c r="P3" s="223"/>
    </row>
    <row r="4">
      <c r="A4" s="220">
        <f t="array" ref="A4">if(row($A3)&gt;$L$9,"",index('Match Sched'!A:A,match(concatenate(973,"-",row(A3)),'Match Sched'!Y:Y,0)))</f>
        <v>24</v>
      </c>
      <c r="B4" s="220" t="str">
        <f t="array" ref="B4">if(row($A3)&gt;$L$9,"",index('Match Sched'!B:B,match($A4,'Match Sched'!$A:$A,0)))</f>
        <v>Sat 3/11 - 1:42 PM</v>
      </c>
      <c r="C4" s="224">
        <f t="array" ref="C4">if(row($A3)&gt;$L$9,"",index('Match Sched'!C:C,match($A4,'Match Sched'!$A:$A,0)))</f>
        <v>6650</v>
      </c>
      <c r="D4" s="224">
        <f t="array" ref="D4">if(row($A3)&gt;$L$9,"",index('Match Sched'!D:D,match($A4,'Match Sched'!$A:$A,0)))</f>
        <v>973</v>
      </c>
      <c r="E4" s="224">
        <f t="array" ref="E4">if(row($A3)&gt;$L$9,"",index('Match Sched'!E:E,match($A4,'Match Sched'!$A:$A,0)))</f>
        <v>3970</v>
      </c>
      <c r="F4" s="224">
        <f t="array" ref="F4">if(row($A3)&gt;$L$9,"",index('Match Sched'!F:F,match($A4,'Match Sched'!$A:$A,0)))</f>
        <v>4415</v>
      </c>
      <c r="G4" s="224">
        <f t="array" ref="G4">if(row($A3)&gt;$L$9,"",index('Match Sched'!G:G,match($A4,'Match Sched'!$A:$A,0)))</f>
        <v>751</v>
      </c>
      <c r="H4" s="224">
        <f t="array" ref="H4">if(row($A3)&gt;$L$9,"",index('Match Sched'!H:H,match($A4,'Match Sched'!$A:$A,0)))</f>
        <v>294</v>
      </c>
      <c r="I4" s="224"/>
      <c r="J4" s="225"/>
      <c r="K4" s="223"/>
      <c r="L4" s="223"/>
      <c r="M4" s="223"/>
      <c r="N4" s="223"/>
      <c r="O4" s="223" t="s">
        <v>498</v>
      </c>
      <c r="P4" s="223"/>
    </row>
    <row r="5">
      <c r="A5" s="220">
        <f t="array" ref="A5">if(row($A4)&gt;$L$9,"",index('Match Sched'!A:A,match(concatenate(973,"-",row(A4)),'Match Sched'!Y:Y,0)))</f>
        <v>28</v>
      </c>
      <c r="B5" s="220" t="str">
        <f t="array" ref="B5">if(row($A4)&gt;$L$9,"",index('Match Sched'!B:B,match($A5,'Match Sched'!$A:$A,0)))</f>
        <v>Sat 3/11 - 2:18 PM</v>
      </c>
      <c r="C5" s="224">
        <f t="array" ref="C5">if(row($A4)&gt;$L$9,"",index('Match Sched'!C:C,match($A5,'Match Sched'!$A:$A,0)))</f>
        <v>1072</v>
      </c>
      <c r="D5" s="224">
        <f t="array" ref="D5">if(row($A4)&gt;$L$9,"",index('Match Sched'!D:D,match($A5,'Match Sched'!$A:$A,0)))</f>
        <v>4255</v>
      </c>
      <c r="E5" s="224">
        <f t="array" ref="E5">if(row($A4)&gt;$L$9,"",index('Match Sched'!E:E,match($A5,'Match Sched'!$A:$A,0)))</f>
        <v>2813</v>
      </c>
      <c r="F5" s="224">
        <f t="array" ref="F5">if(row($A4)&gt;$L$9,"",index('Match Sched'!F:F,match($A5,'Match Sched'!$A:$A,0)))</f>
        <v>973</v>
      </c>
      <c r="G5" s="224">
        <f t="array" ref="G5">if(row($A4)&gt;$L$9,"",index('Match Sched'!G:G,match($A5,'Match Sched'!$A:$A,0)))</f>
        <v>6305</v>
      </c>
      <c r="H5" s="224">
        <f t="array" ref="H5">if(row($A4)&gt;$L$9,"",index('Match Sched'!H:H,match($A5,'Match Sched'!$A:$A,0)))</f>
        <v>1323</v>
      </c>
      <c r="I5" s="224"/>
      <c r="J5" s="225"/>
      <c r="K5" s="223"/>
      <c r="L5" s="223"/>
      <c r="M5" s="223"/>
      <c r="N5" s="223"/>
      <c r="O5" s="223" t="s">
        <v>500</v>
      </c>
      <c r="P5" s="223"/>
    </row>
    <row r="6">
      <c r="A6" s="220">
        <f t="array" ref="A6">if(row($A5)&gt;$L$9,"",index('Match Sched'!A:A,match(concatenate(973,"-",row(A5)),'Match Sched'!Y:Y,0)))</f>
        <v>38</v>
      </c>
      <c r="B6" s="220" t="str">
        <f t="array" ref="B6">if(row($A5)&gt;$L$9,"",index('Match Sched'!B:B,match($A6,'Match Sched'!$A:$A,0)))</f>
        <v>Sat 3/11 - 3:48 PM</v>
      </c>
      <c r="C6" s="224">
        <f t="array" ref="C6">if(row($A5)&gt;$L$9,"",index('Match Sched'!C:C,match($A6,'Match Sched'!$A:$A,0)))</f>
        <v>1662</v>
      </c>
      <c r="D6" s="224">
        <f t="array" ref="D6">if(row($A5)&gt;$L$9,"",index('Match Sched'!D:D,match($A6,'Match Sched'!$A:$A,0)))</f>
        <v>1388</v>
      </c>
      <c r="E6" s="224">
        <f t="array" ref="E6">if(row($A5)&gt;$L$9,"",index('Match Sched'!E:E,match($A6,'Match Sched'!$A:$A,0)))</f>
        <v>972</v>
      </c>
      <c r="F6" s="224">
        <f t="array" ref="F6">if(row($A5)&gt;$L$9,"",index('Match Sched'!F:F,match($A6,'Match Sched'!$A:$A,0)))</f>
        <v>3303</v>
      </c>
      <c r="G6" s="224">
        <f t="array" ref="G6">if(row($A5)&gt;$L$9,"",index('Match Sched'!G:G,match($A6,'Match Sched'!$A:$A,0)))</f>
        <v>3045</v>
      </c>
      <c r="H6" s="224">
        <f t="array" ref="H6">if(row($A5)&gt;$L$9,"",index('Match Sched'!H:H,match($A6,'Match Sched'!$A:$A,0)))</f>
        <v>973</v>
      </c>
      <c r="I6" s="224"/>
      <c r="J6" s="225"/>
      <c r="K6" s="223"/>
      <c r="L6" s="223"/>
      <c r="M6" s="223"/>
      <c r="N6" s="223"/>
      <c r="O6" s="223" t="s">
        <v>501</v>
      </c>
      <c r="P6" s="223"/>
    </row>
    <row r="7">
      <c r="A7" s="220">
        <f t="array" ref="A7">if(row($A6)&gt;$L$9,"",index('Match Sched'!A:A,match(concatenate(973,"-",row(A6)),'Match Sched'!Y:Y,0)))</f>
        <v>44</v>
      </c>
      <c r="B7" s="220" t="str">
        <f t="array" ref="B7">if(row($A6)&gt;$L$9,"",index('Match Sched'!B:B,match($A7,'Match Sched'!$A:$A,0)))</f>
        <v>Sat 3/11 - 4:42 PM</v>
      </c>
      <c r="C7" s="224">
        <f t="array" ref="C7">if(row($A6)&gt;$L$9,"",index('Match Sched'!C:C,match($A7,'Match Sched'!$A:$A,0)))</f>
        <v>670</v>
      </c>
      <c r="D7" s="224">
        <f t="array" ref="D7">if(row($A6)&gt;$L$9,"",index('Match Sched'!D:D,match($A7,'Match Sched'!$A:$A,0)))</f>
        <v>973</v>
      </c>
      <c r="E7" s="224">
        <f t="array" ref="E7">if(row($A6)&gt;$L$9,"",index('Match Sched'!E:E,match($A7,'Match Sched'!$A:$A,0)))</f>
        <v>3256</v>
      </c>
      <c r="F7" s="224">
        <f t="array" ref="F7">if(row($A6)&gt;$L$9,"",index('Match Sched'!F:F,match($A7,'Match Sched'!$A:$A,0)))</f>
        <v>2643</v>
      </c>
      <c r="G7" s="224">
        <f t="array" ref="G7">if(row($A6)&gt;$L$9,"",index('Match Sched'!G:G,match($A7,'Match Sched'!$A:$A,0)))</f>
        <v>1323</v>
      </c>
      <c r="H7" s="224">
        <f t="array" ref="H7">if(row($A6)&gt;$L$9,"",index('Match Sched'!H:H,match($A7,'Match Sched'!$A:$A,0)))</f>
        <v>4276</v>
      </c>
      <c r="I7" s="224"/>
      <c r="J7" s="225"/>
      <c r="K7" s="223"/>
      <c r="L7" s="223"/>
      <c r="M7" s="223"/>
      <c r="N7" s="223"/>
      <c r="O7" s="223" t="s">
        <v>503</v>
      </c>
      <c r="P7" s="223"/>
    </row>
    <row r="8">
      <c r="A8" s="220">
        <f t="array" ref="A8">if(row($A7)&gt;$L$9,"",index('Match Sched'!A:A,match(concatenate(973,"-",row(A7)),'Match Sched'!Y:Y,0)))</f>
        <v>53</v>
      </c>
      <c r="B8" s="220" t="str">
        <f t="array" ref="B8">if(row($A7)&gt;$L$9,"",index('Match Sched'!B:B,match($A8,'Match Sched'!$A:$A,0)))</f>
        <v>Sun 3/12 - 9:18 AM</v>
      </c>
      <c r="C8" s="224">
        <f t="array" ref="C8">if(row($A7)&gt;$L$9,"",index('Match Sched'!C:C,match($A8,'Match Sched'!$A:$A,0)))</f>
        <v>973</v>
      </c>
      <c r="D8" s="224">
        <f t="array" ref="D8">if(row($A7)&gt;$L$9,"",index('Match Sched'!D:D,match($A8,'Match Sched'!$A:$A,0)))</f>
        <v>2135</v>
      </c>
      <c r="E8" s="224">
        <f t="array" ref="E8">if(row($A7)&gt;$L$9,"",index('Match Sched'!E:E,match($A8,'Match Sched'!$A:$A,0)))</f>
        <v>2493</v>
      </c>
      <c r="F8" s="224">
        <f t="array" ref="F8">if(row($A7)&gt;$L$9,"",index('Match Sched'!F:F,match($A8,'Match Sched'!$A:$A,0)))</f>
        <v>1868</v>
      </c>
      <c r="G8" s="224">
        <f t="array" ref="G8">if(row($A7)&gt;$L$9,"",index('Match Sched'!G:G,match($A8,'Match Sched'!$A:$A,0)))</f>
        <v>6059</v>
      </c>
      <c r="H8" s="224">
        <f t="array" ref="H8">if(row($A7)&gt;$L$9,"",index('Match Sched'!H:H,match($A8,'Match Sched'!$A:$A,0)))</f>
        <v>6619</v>
      </c>
      <c r="I8" s="224"/>
      <c r="J8" s="225"/>
      <c r="K8" s="223"/>
      <c r="L8" s="190" t="s">
        <v>504</v>
      </c>
      <c r="M8" s="223"/>
      <c r="N8" s="223"/>
      <c r="O8" s="223" t="s">
        <v>505</v>
      </c>
      <c r="P8" s="223"/>
    </row>
    <row r="9">
      <c r="A9" s="220">
        <f t="array" ref="A9">if(row($A8)&gt;$L$9,"",index('Match Sched'!A:A,match(concatenate(973,"-",row(A8)),'Match Sched'!Y:Y,0)))</f>
        <v>59</v>
      </c>
      <c r="B9" s="220" t="str">
        <f t="array" ref="B9">if(row($A8)&gt;$L$9,"",index('Match Sched'!B:B,match($A9,'Match Sched'!$A:$A,0)))</f>
        <v>Sun 3/12 - 10:12 AM</v>
      </c>
      <c r="C9" s="224">
        <f t="array" ref="C9">if(row($A8)&gt;$L$9,"",index('Match Sched'!C:C,match($A9,'Match Sched'!$A:$A,0)))</f>
        <v>687</v>
      </c>
      <c r="D9" s="224">
        <f t="array" ref="D9">if(row($A8)&gt;$L$9,"",index('Match Sched'!D:D,match($A9,'Match Sched'!$A:$A,0)))</f>
        <v>3045</v>
      </c>
      <c r="E9" s="224">
        <f t="array" ref="E9">if(row($A8)&gt;$L$9,"",index('Match Sched'!E:E,match($A9,'Match Sched'!$A:$A,0)))</f>
        <v>1422</v>
      </c>
      <c r="F9" s="224">
        <f t="array" ref="F9">if(row($A8)&gt;$L$9,"",index('Match Sched'!F:F,match($A9,'Match Sched'!$A:$A,0)))</f>
        <v>4643</v>
      </c>
      <c r="G9" s="224">
        <f t="array" ref="G9">if(row($A8)&gt;$L$9,"",index('Match Sched'!G:G,match($A9,'Match Sched'!$A:$A,0)))</f>
        <v>5134</v>
      </c>
      <c r="H9" s="224">
        <f t="array" ref="H9">if(row($A8)&gt;$L$9,"",index('Match Sched'!H:H,match($A9,'Match Sched'!$A:$A,0)))</f>
        <v>973</v>
      </c>
      <c r="I9" s="224"/>
      <c r="J9" s="225"/>
      <c r="K9" s="223"/>
      <c r="L9" s="190">
        <f>countif('Match Sched'!C3:H127,973)</f>
        <v>9</v>
      </c>
      <c r="M9" s="223"/>
      <c r="N9" s="223"/>
      <c r="O9" s="223" t="s">
        <v>506</v>
      </c>
      <c r="P9" s="223"/>
    </row>
    <row r="10">
      <c r="A10" s="220">
        <f t="array" ref="A10">if(row($A9)&gt;$L$9,"",index('Match Sched'!A:A,match(concatenate(973,"-",row(A9)),'Match Sched'!Y:Y,0)))</f>
        <v>65</v>
      </c>
      <c r="B10" s="220" t="str">
        <f t="array" ref="B10">if(row($A9)&gt;$L$9,"",index('Match Sched'!B:B,match($A10,'Match Sched'!$A:$A,0)))</f>
        <v>Sun 3/12 - 11:06 AM</v>
      </c>
      <c r="C10" s="224">
        <f t="array" ref="C10">if(row($A9)&gt;$L$9,"",index('Match Sched'!C:C,match($A10,'Match Sched'!$A:$A,0)))</f>
        <v>980</v>
      </c>
      <c r="D10" s="224">
        <f t="array" ref="D10">if(row($A9)&gt;$L$9,"",index('Match Sched'!D:D,match($A10,'Match Sched'!$A:$A,0)))</f>
        <v>5104</v>
      </c>
      <c r="E10" s="224">
        <f t="array" ref="E10">if(row($A9)&gt;$L$9,"",index('Match Sched'!E:E,match($A10,'Match Sched'!$A:$A,0)))</f>
        <v>5852</v>
      </c>
      <c r="F10" s="224">
        <f t="array" ref="F10">if(row($A9)&gt;$L$9,"",index('Match Sched'!F:F,match($A10,'Match Sched'!$A:$A,0)))</f>
        <v>1671</v>
      </c>
      <c r="G10" s="224">
        <f t="array" ref="G10">if(row($A9)&gt;$L$9,"",index('Match Sched'!G:G,match($A10,'Match Sched'!$A:$A,0)))</f>
        <v>973</v>
      </c>
      <c r="H10" s="224">
        <f t="array" ref="H10">if(row($A9)&gt;$L$9,"",index('Match Sched'!H:H,match($A10,'Match Sched'!$A:$A,0)))</f>
        <v>6657</v>
      </c>
      <c r="I10" s="224"/>
      <c r="J10" s="225"/>
      <c r="K10" s="223"/>
      <c r="L10" s="223"/>
      <c r="M10" s="223"/>
      <c r="N10" s="223"/>
      <c r="O10" s="223"/>
      <c r="P10" s="223"/>
    </row>
    <row r="11">
      <c r="A11" s="220" t="str">
        <f t="array" ref="A11">if(row($A10)&gt;$L$9,"",index('Match Sched'!A:A,match(concatenate(973,"-",row(A10)),'Match Sched'!Y:Y,0)))</f>
        <v/>
      </c>
      <c r="B11" s="220" t="str">
        <f t="array" ref="B11">if(row($A10)&gt;$L$9,"",index('Match Sched'!B:B,match($A11,'Match Sched'!$A:$A,0)))</f>
        <v/>
      </c>
      <c r="C11" s="224" t="str">
        <f t="array" ref="C11">if(row($A10)&gt;$L$9,"",index('Match Sched'!C:C,match($A11,'Match Sched'!$A:$A,0)))</f>
        <v/>
      </c>
      <c r="D11" s="224" t="str">
        <f t="array" ref="D11">if(row($A10)&gt;$L$9,"",index('Match Sched'!D:D,match($A11,'Match Sched'!$A:$A,0)))</f>
        <v/>
      </c>
      <c r="E11" s="224" t="str">
        <f t="array" ref="E11">if(row($A10)&gt;$L$9,"",index('Match Sched'!E:E,match($A11,'Match Sched'!$A:$A,0)))</f>
        <v/>
      </c>
      <c r="F11" s="224" t="str">
        <f t="array" ref="F11">if(row($A10)&gt;$L$9,"",index('Match Sched'!F:F,match($A11,'Match Sched'!$A:$A,0)))</f>
        <v/>
      </c>
      <c r="G11" s="224" t="str">
        <f t="array" ref="G11">if(row($A10)&gt;$L$9,"",index('Match Sched'!G:G,match($A11,'Match Sched'!$A:$A,0)))</f>
        <v/>
      </c>
      <c r="H11" s="224" t="str">
        <f t="array" ref="H11">if(row($A10)&gt;$L$9,"",index('Match Sched'!H:H,match($A11,'Match Sched'!$A:$A,0)))</f>
        <v/>
      </c>
      <c r="I11" s="224"/>
      <c r="J11" s="225"/>
      <c r="K11" s="223"/>
      <c r="L11" s="223"/>
      <c r="M11" s="223"/>
      <c r="N11" s="223"/>
      <c r="O11" s="223"/>
      <c r="P11" s="223"/>
    </row>
    <row r="12">
      <c r="A12" s="220" t="str">
        <f t="array" ref="A12">if(row($A11)&gt;$L$9,"",index('Match Sched'!A:A,match(concatenate(973,"-",row(A11)),'Match Sched'!Y:Y,0)))</f>
        <v/>
      </c>
      <c r="B12" s="220" t="str">
        <f t="array" ref="B12">if(row($A11)&gt;$L$9,"",index('Match Sched'!B:B,match($A12,'Match Sched'!$A:$A,0)))</f>
        <v/>
      </c>
      <c r="C12" s="224" t="str">
        <f t="array" ref="C12">if(row($A11)&gt;$L$9,"",index('Match Sched'!C:C,match($A12,'Match Sched'!$A:$A,0)))</f>
        <v/>
      </c>
      <c r="D12" s="224" t="str">
        <f t="array" ref="D12">if(row($A11)&gt;$L$9,"",index('Match Sched'!D:D,match($A12,'Match Sched'!$A:$A,0)))</f>
        <v/>
      </c>
      <c r="E12" s="224" t="str">
        <f t="array" ref="E12">if(row($A11)&gt;$L$9,"",index('Match Sched'!E:E,match($A12,'Match Sched'!$A:$A,0)))</f>
        <v/>
      </c>
      <c r="F12" s="224" t="str">
        <f t="array" ref="F12">if(row($A11)&gt;$L$9,"",index('Match Sched'!F:F,match($A12,'Match Sched'!$A:$A,0)))</f>
        <v/>
      </c>
      <c r="G12" s="224" t="str">
        <f t="array" ref="G12">if(row($A11)&gt;$L$9,"",index('Match Sched'!G:G,match($A12,'Match Sched'!$A:$A,0)))</f>
        <v/>
      </c>
      <c r="H12" s="224" t="str">
        <f t="array" ref="H12">if(row($A11)&gt;$L$9,"",index('Match Sched'!H:H,match($A12,'Match Sched'!$A:$A,0)))</f>
        <v/>
      </c>
      <c r="I12" s="224"/>
      <c r="J12" s="225"/>
      <c r="K12" s="223"/>
      <c r="L12" s="223"/>
      <c r="M12" s="223"/>
      <c r="N12" s="223"/>
      <c r="O12" s="223"/>
      <c r="P12" s="223"/>
    </row>
    <row r="13">
      <c r="A13" s="220" t="str">
        <f t="array" ref="A13">if(row($A12)&gt;$L$9,"",index('Match Sched'!A:A,match(concatenate(973,"-",row(A12)),'Match Sched'!Y:Y,0)))</f>
        <v/>
      </c>
      <c r="B13" s="220" t="str">
        <f t="array" ref="B13">if(row($A12)&gt;$L$9,"",index('Match Sched'!B:B,match($A13,'Match Sched'!$A:$A,0)))</f>
        <v/>
      </c>
      <c r="C13" s="224" t="str">
        <f t="array" ref="C13">if(row($A12)&gt;$L$9,"",index('Match Sched'!C:C,match($A13,'Match Sched'!$A:$A,0)))</f>
        <v/>
      </c>
      <c r="D13" s="224" t="str">
        <f t="array" ref="D13">if(row($A12)&gt;$L$9,"",index('Match Sched'!D:D,match($A13,'Match Sched'!$A:$A,0)))</f>
        <v/>
      </c>
      <c r="E13" s="224" t="str">
        <f t="array" ref="E13">if(row($A12)&gt;$L$9,"",index('Match Sched'!E:E,match($A13,'Match Sched'!$A:$A,0)))</f>
        <v/>
      </c>
      <c r="F13" s="224" t="str">
        <f t="array" ref="F13">if(row($A12)&gt;$L$9,"",index('Match Sched'!F:F,match($A13,'Match Sched'!$A:$A,0)))</f>
        <v/>
      </c>
      <c r="G13" s="224" t="str">
        <f t="array" ref="G13">if(row($A12)&gt;$L$9,"",index('Match Sched'!G:G,match($A13,'Match Sched'!$A:$A,0)))</f>
        <v/>
      </c>
      <c r="H13" s="224" t="str">
        <f t="array" ref="H13">if(row($A12)&gt;$L$9,"",index('Match Sched'!H:H,match($A13,'Match Sched'!$A:$A,0)))</f>
        <v/>
      </c>
      <c r="I13" s="224"/>
      <c r="J13" s="225"/>
      <c r="K13" s="223"/>
      <c r="L13" s="223"/>
      <c r="M13" s="223"/>
      <c r="N13" s="223"/>
      <c r="O13" s="223"/>
      <c r="P13" s="223"/>
    </row>
  </sheetData>
  <conditionalFormatting sqref="A1:J13">
    <cfRule type="cellIs" dxfId="5" priority="1" operator="equal">
      <formula>973</formula>
    </cfRule>
  </conditionalFormatting>
  <drawing r:id="rId1"/>
</worksheet>
</file>