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13_ncr:1_{5306E682-1989-40E9-B556-FD8083E800E8}" xr6:coauthVersionLast="47" xr6:coauthVersionMax="47" xr10:uidLastSave="{00000000-0000-0000-0000-000000000000}"/>
  <bookViews>
    <workbookView xWindow="-108" yWindow="-108" windowWidth="30936" windowHeight="17496" xr2:uid="{FFF01E12-B5FC-40DE-A282-E2B26797F4C7}"/>
  </bookViews>
  <sheets>
    <sheet name="Sheet1" sheetId="1" r:id="rId1"/>
  </sheets>
  <definedNames>
    <definedName name="_M">_xlfn.ANCHORARRAY(Sheet1!$N$12)</definedName>
    <definedName name="_N">_xlfn.ANCHORARRAY(Sheet1!$O$12)</definedName>
    <definedName name="_time">_xlfn.ANCHORARRAY(Sheet1!$C$12)</definedName>
    <definedName name="A_t">_xlfn.ANCHORARRAY(Sheet1!$S$12)</definedName>
    <definedName name="B_t">_xlfn.ANCHORARRAY(Sheet1!$D$12)</definedName>
    <definedName name="delta">Sheet1!$F$5</definedName>
    <definedName name="f">Sheet1!$C$4</definedName>
    <definedName name="hedge">Sheet1!$F$7</definedName>
    <definedName name="k">Sheet1!$C$5</definedName>
    <definedName name="M">_xlfn.ANCHORARRAY(Sheet1!$P$12)</definedName>
    <definedName name="N">_xlfn.ANCHORARRAY(Sheet1!$Q$12)</definedName>
    <definedName name="payoff">Sheet1!$F$6</definedName>
    <definedName name="R_t">_xlfn.ANCHORARRAY(Sheet1!$E$12)</definedName>
    <definedName name="S_t">_xlfn.ANCHORARRAY(Sheet1!$F$12)</definedName>
    <definedName name="step">Sheet1!$C$9</definedName>
    <definedName name="t">Sheet1!$C$6</definedName>
    <definedName name="time">_xlfn.ANCHORARRAY(Sheet1!$B$12)</definedName>
    <definedName name="V_t">_xlfn.ANCHORARRAY(Sheet1!$R$12)</definedName>
    <definedName name="value">Sheet1!$F$4</definedName>
    <definedName name="μ">Sheet1!$C$7</definedName>
    <definedName name="σ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G2" i="1" s="1" a="1"/>
  <c r="G2" i="1" s="1"/>
  <c r="F5" i="1" a="1"/>
  <c r="F5" i="1" s="1"/>
  <c r="F4" i="1" a="1"/>
  <c r="F4" i="1" s="1"/>
  <c r="G12" i="1" s="1"/>
  <c r="B12" i="1" a="1"/>
  <c r="I13" i="1" l="1"/>
  <c r="B12" i="1"/>
  <c r="C12" i="1" s="1" a="1"/>
  <c r="D12" i="1" a="1"/>
  <c r="C12" i="1" l="1"/>
  <c r="E12" i="1" a="1"/>
  <c r="D12" i="1"/>
  <c r="F12" i="1" s="1" a="1"/>
  <c r="F12" i="1" l="1"/>
  <c r="Q12" i="1" s="1" a="1"/>
  <c r="Q12" i="1" s="1"/>
  <c r="O12" i="1" s="1" a="1"/>
  <c r="J17" i="1" a="1"/>
  <c r="J17" i="1" s="1"/>
  <c r="J16" i="1" a="1"/>
  <c r="J16" i="1" s="1"/>
  <c r="J15" i="1" a="1"/>
  <c r="J15" i="1" s="1"/>
  <c r="J14" i="1" a="1"/>
  <c r="J14" i="1" s="1"/>
  <c r="E12" i="1"/>
  <c r="J13" i="1" a="1"/>
  <c r="J13" i="1" s="1"/>
  <c r="H12" i="1" s="1"/>
  <c r="O12" i="1" l="1"/>
  <c r="H15" i="1"/>
  <c r="H16" i="1"/>
  <c r="H14" i="1"/>
  <c r="H13" i="1"/>
  <c r="L12" i="1"/>
  <c r="K12" i="1" a="1"/>
  <c r="K12" i="1" s="1"/>
  <c r="F6" i="1" a="1"/>
  <c r="F6" i="1" s="1"/>
  <c r="G6" i="1" s="1" a="1"/>
  <c r="N12" i="1" l="1" a="1"/>
  <c r="H6" i="1"/>
  <c r="G6" i="1"/>
  <c r="N12" i="1" l="1"/>
  <c r="S12" i="1" l="1" a="1"/>
  <c r="P12" i="1" a="1"/>
  <c r="S12" i="1" l="1"/>
  <c r="F7" i="1" s="1" a="1"/>
  <c r="F7" i="1" s="1"/>
  <c r="P12" i="1"/>
  <c r="R12" i="1" s="1" a="1"/>
  <c r="R12" i="1" l="1"/>
  <c r="G13" i="1" l="1"/>
  <c r="L13" i="1" l="1"/>
  <c r="K13" i="1" a="1"/>
  <c r="K13" i="1" s="1"/>
  <c r="I14" i="1"/>
  <c r="G14" i="1" l="1"/>
  <c r="I15" i="1" l="1"/>
  <c r="K14" i="1" a="1"/>
  <c r="K14" i="1" s="1"/>
  <c r="L14" i="1"/>
  <c r="G15" i="1"/>
  <c r="K15" i="1" l="1" a="1"/>
  <c r="K15" i="1" s="1"/>
  <c r="L15" i="1"/>
  <c r="I16" i="1"/>
  <c r="H17" i="1" l="1"/>
  <c r="G16" i="1"/>
  <c r="I17" i="1" l="1"/>
  <c r="K16" i="1" a="1"/>
  <c r="K16" i="1" s="1"/>
  <c r="G17" i="1"/>
  <c r="L16" i="1"/>
  <c r="K17" i="1" l="1" a="1"/>
  <c r="K17" i="1" s="1"/>
  <c r="L17" i="1"/>
  <c r="G7" i="1" l="1" a="1"/>
  <c r="H7" i="1" l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G10" authorId="0" shapeId="0" xr:uid="{62B80783-FB63-4237-A22E-7339379F48D5}">
      <text>
        <r>
          <rPr>
            <b/>
            <sz val="9"/>
            <color indexed="81"/>
            <rFont val="Tahoma"/>
            <family val="2"/>
          </rPr>
          <t>Gamma_t = DV_t - Delta_t</t>
        </r>
      </text>
    </comment>
    <comment ref="I10" authorId="0" shapeId="0" xr:uid="{9A5ED4F1-6284-446C-9B00-6E74B545B393}">
      <text>
        <r>
          <rPr>
            <b/>
            <sz val="9"/>
            <color indexed="81"/>
            <rFont val="Tahoma"/>
            <charset val="1"/>
          </rPr>
          <t>Delta_t = sum_s&lt;t_ Gamma_s
DV_t = Delta_t + Gamma_t =- Delta_{t+1}</t>
        </r>
      </text>
    </comment>
    <comment ref="K11" authorId="0" shapeId="0" xr:uid="{98118CF4-173D-4B89-891B-F01C6741B384}">
      <text>
        <r>
          <rPr>
            <sz val="9"/>
            <color indexed="81"/>
            <rFont val="Tahoma"/>
            <family val="2"/>
          </rPr>
          <t xml:space="preserve">V_t = (Gamma_t + Delta_t) . X_t
</t>
        </r>
      </text>
    </comment>
    <comment ref="L11" authorId="0" shapeId="0" xr:uid="{41CE93C0-8B95-4F1A-A97D-705DB90AEF78}">
      <text>
        <r>
          <rPr>
            <b/>
            <sz val="9"/>
            <color indexed="81"/>
            <rFont val="Tahoma"/>
            <family val="2"/>
          </rPr>
          <t xml:space="preserve">A_t = Delta_t . C_t - Gamma_t . X_t </t>
        </r>
      </text>
    </comment>
    <comment ref="G12" authorId="0" shapeId="0" xr:uid="{F9D45ED5-8AE4-43D4-BD6B-0673C939D99C}">
      <text>
        <r>
          <rPr>
            <b/>
            <sz val="9"/>
            <color indexed="81"/>
            <rFont val="Tahoma"/>
            <family val="2"/>
          </rPr>
          <t>Option value minus cost of stock hedge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<sst xmlns="http://schemas.openxmlformats.org/spreadsheetml/2006/main" count="35" uniqueCount="27">
  <si>
    <t>Put option hedging</t>
  </si>
  <si>
    <t>f</t>
  </si>
  <si>
    <t>k</t>
  </si>
  <si>
    <t>t</t>
  </si>
  <si>
    <t>μ</t>
  </si>
  <si>
    <t>σ</t>
  </si>
  <si>
    <t>time</t>
  </si>
  <si>
    <t>step</t>
  </si>
  <si>
    <t>B_t</t>
  </si>
  <si>
    <t>R_t</t>
  </si>
  <si>
    <t>S_t</t>
  </si>
  <si>
    <t>X_t</t>
  </si>
  <si>
    <t>Γ_t</t>
  </si>
  <si>
    <t>Δ_t</t>
  </si>
  <si>
    <t>M</t>
  </si>
  <si>
    <t>N</t>
  </si>
  <si>
    <t>_M</t>
  </si>
  <si>
    <t>_N</t>
  </si>
  <si>
    <t>payoff</t>
  </si>
  <si>
    <t>value</t>
  </si>
  <si>
    <t>V_t</t>
  </si>
  <si>
    <t>A_t</t>
  </si>
  <si>
    <t>hedge</t>
  </si>
  <si>
    <t>_time</t>
  </si>
  <si>
    <t>delta</t>
  </si>
  <si>
    <t>A_t = -Gamma_t . X_t = - _M R_t - _N S_t</t>
  </si>
  <si>
    <t>If A_t = 0 then _M = -_N S_t/R_t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</si>
</sst>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8"/>
      <color indexed="6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</font>
    <font>
      <sz val="14"/>
      <color theme="1"/>
      <name val="Calibri"/>
      <family val="2"/>
    </font>
    <font>
      <sz val="14"/>
      <color rgb="FF3F3F76"/>
      <name val="Aptos Narrow"/>
      <family val="2"/>
    </font>
    <font>
      <b/>
      <sz val="14"/>
      <color rgb="FF3F3F3F"/>
      <name val="Aptos Narrow"/>
      <family val="2"/>
    </font>
    <font>
      <b/>
      <sz val="14"/>
      <color rgb="FFFA7D00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>
      <alignment horizontal="center" vertical="center"/>
    </xf>
    <xf numFmtId="0" fontId="5" fillId="2" borderId="1" applyNumberFormat="0" applyAlignment="0" applyProtection="0"/>
    <xf numFmtId="0" fontId="6" fillId="3" borderId="2" applyNumberFormat="0" applyAlignment="0" applyProtection="0"/>
    <xf numFmtId="0" fontId="7" fillId="3" borderId="1" applyNumberFormat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5" fillId="2" borderId="1" xfId="2"/>
    <xf numFmtId="0" fontId="6" fillId="3" borderId="2" xfId="3"/>
    <xf numFmtId="165" fontId="2" fillId="0" borderId="0" xfId="0" applyNumberFormat="1" applyFont="1"/>
    <xf numFmtId="165" fontId="6" fillId="3" borderId="2" xfId="3" applyNumberFormat="1"/>
    <xf numFmtId="165" fontId="7" fillId="3" borderId="1" xfId="4" applyNumberFormat="1"/>
    <xf numFmtId="2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5">
    <cellStyle name="Calculation" xfId="4" builtinId="22"/>
    <cellStyle name="Handle" xfId="1" xr:uid="{AA1E045E-A01E-40E3-85A5-FBFBBCF4A2DF}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BCD202-4818-4846-A142-FA7B62662218}">
  <we:reference id="wa104380862" version="3.0.0.0" store="en-US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1D21-268D-4595-93D8-429A881B1BF8}">
  <dimension ref="B2:S18"/>
  <sheetViews>
    <sheetView tabSelected="1" zoomScaleNormal="100" workbookViewId="0"/>
  </sheetViews>
  <sheetFormatPr defaultColWidth="9.109375" defaultRowHeight="18" x14ac:dyDescent="0.35"/>
  <cols>
    <col min="1" max="1" width="3.77734375" style="1" customWidth="1"/>
    <col min="2" max="5" width="9.109375" style="1"/>
    <col min="6" max="6" width="10" style="1" bestFit="1" customWidth="1"/>
    <col min="7" max="7" width="10.6640625" style="1" bestFit="1" customWidth="1"/>
    <col min="8" max="8" width="9.109375" style="1"/>
    <col min="9" max="9" width="9.6640625" style="1" bestFit="1" customWidth="1"/>
    <col min="10" max="13" width="9.109375" style="1"/>
    <col min="14" max="14" width="16.33203125" style="8" bestFit="1" customWidth="1"/>
    <col min="15" max="15" width="9.109375" style="1"/>
    <col min="16" max="16" width="9.6640625" style="8" bestFit="1" customWidth="1"/>
    <col min="17" max="19" width="9.109375" style="8"/>
    <col min="20" max="16384" width="9.109375" style="1"/>
  </cols>
  <sheetData>
    <row r="2" spans="2:19" x14ac:dyDescent="0.35">
      <c r="B2" s="1" t="s">
        <v>0</v>
      </c>
      <c r="F2" s="1" cm="1">
        <f t="array" aca="1" ref="F2" ca="1">_xll.MONTE.COUNT()</f>
        <v>30002</v>
      </c>
      <c r="G2" s="1" cm="1">
        <f t="array" aca="1" ref="G2" ca="1">F2/_xll.MONTE.ELAPSED()</f>
        <v>1061.7546094772977</v>
      </c>
    </row>
    <row r="3" spans="2:19" x14ac:dyDescent="0.35">
      <c r="J3" s="1" t="s">
        <v>25</v>
      </c>
    </row>
    <row r="4" spans="2:19" x14ac:dyDescent="0.35">
      <c r="B4" s="2" t="s">
        <v>1</v>
      </c>
      <c r="C4" s="6">
        <v>100</v>
      </c>
      <c r="E4" s="2" t="s">
        <v>19</v>
      </c>
      <c r="F4" s="9" cm="1">
        <f t="array" ref="F4">_xll.BLACK.PUT.VALUE(f,σ*SQRT(t),k)</f>
        <v>1.9945036390476076</v>
      </c>
      <c r="J4" s="1" t="s">
        <v>26</v>
      </c>
    </row>
    <row r="5" spans="2:19" x14ac:dyDescent="0.35">
      <c r="B5" s="2" t="s">
        <v>2</v>
      </c>
      <c r="C5" s="6">
        <v>100</v>
      </c>
      <c r="E5" s="2" t="s">
        <v>24</v>
      </c>
      <c r="F5" s="7" cm="1">
        <f t="array" ref="F5">_xll.BLACK.PUT.DELTA(f, σ*SQRT(t), k)</f>
        <v>-0.49002748180476197</v>
      </c>
    </row>
    <row r="6" spans="2:19" x14ac:dyDescent="0.35">
      <c r="B6" s="2" t="s">
        <v>3</v>
      </c>
      <c r="C6" s="6">
        <v>0.25</v>
      </c>
      <c r="E6" s="2" t="s">
        <v>18</v>
      </c>
      <c r="F6" s="9" cm="1">
        <f t="array" aca="1" ref="F6" ca="1">MAX(k-_xlfn.TAKE(S_t,-1),0)</f>
        <v>0.84311894036990509</v>
      </c>
      <c r="G6" s="8">
        <f t="array" aca="1" ref="G6:H6" ca="1">_xll.MONTE.STDEV(payoff)</f>
        <v>1.8392026637181405</v>
      </c>
      <c r="H6" s="8">
        <f ca="1"/>
        <v>2.7166624694141008</v>
      </c>
      <c r="J6" s="8"/>
    </row>
    <row r="7" spans="2:19" x14ac:dyDescent="0.35">
      <c r="B7" s="3" t="s">
        <v>4</v>
      </c>
      <c r="C7" s="6">
        <v>0</v>
      </c>
      <c r="E7" s="2" t="s">
        <v>22</v>
      </c>
      <c r="F7" s="10" cm="1">
        <f t="array" aca="1" ref="F7" ca="1">_xlfn.TAKE(A_t,-1)</f>
        <v>-2.1889644623970383</v>
      </c>
      <c r="G7" s="8">
        <f t="array" aca="1" ref="G7:H7" ca="1">_xll.MONTE.STDEV(L17)</f>
        <v>1.987169429945584</v>
      </c>
      <c r="H7" s="8">
        <f ca="1"/>
        <v>0.70151146347833659</v>
      </c>
    </row>
    <row r="8" spans="2:19" x14ac:dyDescent="0.35">
      <c r="B8" s="4" t="s">
        <v>5</v>
      </c>
      <c r="C8" s="6">
        <v>0.1</v>
      </c>
    </row>
    <row r="9" spans="2:19" x14ac:dyDescent="0.35">
      <c r="B9" s="2" t="s">
        <v>7</v>
      </c>
      <c r="C9" s="6">
        <v>0.05</v>
      </c>
    </row>
    <row r="10" spans="2:19" x14ac:dyDescent="0.35">
      <c r="E10" s="13" t="s">
        <v>11</v>
      </c>
      <c r="F10" s="13"/>
      <c r="G10" s="15" t="s">
        <v>12</v>
      </c>
      <c r="H10" s="16"/>
      <c r="I10" s="14" t="s">
        <v>13</v>
      </c>
      <c r="J10" s="14"/>
      <c r="N10" s="14" t="s">
        <v>12</v>
      </c>
      <c r="O10" s="16"/>
      <c r="P10" s="14" t="s">
        <v>13</v>
      </c>
      <c r="Q10" s="14"/>
    </row>
    <row r="11" spans="2:19" x14ac:dyDescent="0.35">
      <c r="B11" s="5" t="s">
        <v>6</v>
      </c>
      <c r="C11" s="5" t="s">
        <v>23</v>
      </c>
      <c r="D11" s="5" t="s">
        <v>8</v>
      </c>
      <c r="E11" s="5" t="s">
        <v>9</v>
      </c>
      <c r="F11" s="5" t="s">
        <v>10</v>
      </c>
      <c r="G11" s="5" t="s">
        <v>16</v>
      </c>
      <c r="H11" s="5" t="s">
        <v>17</v>
      </c>
      <c r="I11" s="5" t="s">
        <v>14</v>
      </c>
      <c r="J11" s="5" t="s">
        <v>15</v>
      </c>
      <c r="K11" s="5" t="s">
        <v>20</v>
      </c>
      <c r="L11" s="5" t="s">
        <v>21</v>
      </c>
      <c r="N11" s="12" t="s">
        <v>16</v>
      </c>
      <c r="O11" s="5" t="s">
        <v>17</v>
      </c>
      <c r="P11" s="12" t="s">
        <v>14</v>
      </c>
      <c r="Q11" s="12" t="s">
        <v>15</v>
      </c>
      <c r="R11" s="12" t="s">
        <v>20</v>
      </c>
      <c r="S11" s="12" t="s">
        <v>21</v>
      </c>
    </row>
    <row r="12" spans="2:19" x14ac:dyDescent="0.35">
      <c r="B12" s="1" cm="1">
        <f t="array" ref="B12:B17">_xll.ARRAY.SEQUENCE(0, t, step)</f>
        <v>0</v>
      </c>
      <c r="C12" s="1" cm="1">
        <f t="array" ref="C12:C17">t-time</f>
        <v>0.25</v>
      </c>
      <c r="D12" s="1" cm="1">
        <f t="array" aca="1" ref="D12:D17" ca="1">_xll.BROWNIAN(time)</f>
        <v>0</v>
      </c>
      <c r="E12" s="1" cm="1">
        <f t="array" ref="E12:E17">0*time+1</f>
        <v>1</v>
      </c>
      <c r="F12" s="1" cm="1">
        <f t="array" aca="1" ref="F12:F17" ca="1">f*EXP(μ*time + σ*B_t - σ^2*time/2)</f>
        <v>100</v>
      </c>
      <c r="G12" s="8">
        <f>value - f*delta</f>
        <v>50.997251819523804</v>
      </c>
      <c r="H12" s="8">
        <f ca="1">J13</f>
        <v>-0.49002748180476197</v>
      </c>
      <c r="I12" s="1">
        <v>0</v>
      </c>
      <c r="J12" s="1">
        <v>0</v>
      </c>
      <c r="K12" s="8" cm="1">
        <f t="array" aca="1" ref="K12" ca="1">SUMPRODUCT(I12:J12+G12:H12,E12:F12)</f>
        <v>1.9945036390476076</v>
      </c>
      <c r="L12" s="1">
        <f ca="1">-SUMPRODUCT(G12:H12,E12:F12)</f>
        <v>-1.9945036390476076</v>
      </c>
      <c r="N12" s="8" cm="1">
        <f t="array" aca="1" ref="N12:N17" ca="1">_xlfn.LET(_xlpm._M, _xlfn.VSTACK(value-delta*f,_xlfn.DROP(_xlfn.DROP(-_N*S_t/R_t,1),-1)), _xlfn.VSTACK(_xlpm._M, -SUM(_xlpm._M)))</f>
        <v>50.997251819523804</v>
      </c>
      <c r="O12" s="8" cm="1">
        <f t="array" aca="1" ref="O12:O17" ca="1">_xlfn.LET(_xlpm._N, _xlfn.DROP(N,1)-_xlfn.DROP(N,-1), _xlfn.VSTACK(_xlpm._N, -SUM(_xlpm._N)))</f>
        <v>-0.49002748180476197</v>
      </c>
      <c r="P12" s="8" cm="1">
        <f t="array" aca="1" ref="P12:P17" ca="1">_xlfn.VSTACK(0,_xlfn.DROP(_xlfn.SCAN(0,_M,_xleta.SUM),-1))</f>
        <v>0</v>
      </c>
      <c r="Q12" s="8" cm="1">
        <f t="array" aca="1" ref="Q12:Q17" ca="1">_xlfn.VSTACK(0,_xlfn.DROP(_xlfn.MAP(S_t,_time,_xlfn.LAMBDA(_xlpm.f,_xlpm.t,_xll.BLACK.PUT.DELTA(_xlpm.f,σ*SQRT(_xlpm.t),k))),-1))</f>
        <v>0</v>
      </c>
      <c r="R12" s="8" cm="1">
        <f t="array" aca="1" ref="R12:R17" ca="1">(_M+M)*R_t+(_N+N)*S_t</f>
        <v>1.9945036390476076</v>
      </c>
      <c r="S12" s="8" cm="1">
        <f t="array" aca="1" ref="S12:S17" ca="1">-_M*R_t - _N*S_t</f>
        <v>-1.9945036390476076</v>
      </c>
    </row>
    <row r="13" spans="2:19" x14ac:dyDescent="0.35">
      <c r="B13" s="1">
        <v>0.05</v>
      </c>
      <c r="C13" s="1">
        <v>0.2</v>
      </c>
      <c r="D13" s="1">
        <f ca="1"/>
        <v>0.19518426300667321</v>
      </c>
      <c r="E13" s="1">
        <v>1</v>
      </c>
      <c r="F13" s="11">
        <f ca="1"/>
        <v>101.94552604977241</v>
      </c>
      <c r="G13" s="8">
        <f ca="1">-H13*F13/E13</f>
        <v>-16.803762622633233</v>
      </c>
      <c r="H13" s="8">
        <f ca="1">J14-J13</f>
        <v>0.16483080007286643</v>
      </c>
      <c r="I13" s="8">
        <f>G12</f>
        <v>50.997251819523804</v>
      </c>
      <c r="J13" s="8" cm="1">
        <f t="array" aca="1" ref="J13" ca="1">_xll.BLACK.PUT.DELTA(F12, σ*SQRT(C12), k)</f>
        <v>-0.49002748180476197</v>
      </c>
      <c r="K13" s="8" cm="1">
        <f t="array" aca="1" ref="K13" ca="1">SUMPRODUCT(I13:J13+G13:H13,E13:F13)</f>
        <v>1.0411424080920639</v>
      </c>
      <c r="L13" s="1">
        <f t="shared" ref="L13:L17" ca="1" si="0">-SUMPRODUCT(G13:H13,E13:F13)</f>
        <v>0</v>
      </c>
      <c r="N13" s="8">
        <f ca="1"/>
        <v>-16.803762622633233</v>
      </c>
      <c r="O13" s="8">
        <f ca="1"/>
        <v>0.16483080007286643</v>
      </c>
      <c r="P13" s="8">
        <f ca="1"/>
        <v>50.997251819523804</v>
      </c>
      <c r="Q13" s="8">
        <f ca="1"/>
        <v>-0.49002748180476197</v>
      </c>
      <c r="R13" s="8">
        <f ca="1"/>
        <v>1.0411424080920639</v>
      </c>
      <c r="S13" s="8">
        <f ca="1"/>
        <v>0</v>
      </c>
    </row>
    <row r="14" spans="2:19" x14ac:dyDescent="0.35">
      <c r="B14" s="1">
        <v>0.1</v>
      </c>
      <c r="C14" s="1">
        <v>0.15</v>
      </c>
      <c r="D14" s="1">
        <f ca="1"/>
        <v>0.29459013733799322</v>
      </c>
      <c r="E14" s="1">
        <v>1</v>
      </c>
      <c r="F14" s="11">
        <f ca="1"/>
        <v>102.93824030693082</v>
      </c>
      <c r="G14" s="8">
        <f t="shared" ref="G14:G16" ca="1" si="1">-H14*F14/E14</f>
        <v>-10.672711593214144</v>
      </c>
      <c r="H14" s="8">
        <f t="shared" ref="H14:H16" ca="1" si="2">J15-J14</f>
        <v>0.10368072702031172</v>
      </c>
      <c r="I14" s="8">
        <f ca="1">I13+G13</f>
        <v>34.193489196890567</v>
      </c>
      <c r="J14" s="8" cm="1">
        <f t="array" aca="1" ref="J14" ca="1">_xll.BLACK.PUT.DELTA(F13, σ*SQRT(C13), k)</f>
        <v>-0.32519668173189553</v>
      </c>
      <c r="K14" s="8" cm="1">
        <f t="array" aca="1" ref="K14" ca="1">SUMPRODUCT(I14:J14+G14:H14,E14:F14)</f>
        <v>0.71831502575620121</v>
      </c>
      <c r="L14" s="1">
        <f t="shared" ca="1" si="0"/>
        <v>0</v>
      </c>
      <c r="N14" s="8">
        <f ca="1"/>
        <v>-10.672711593214144</v>
      </c>
      <c r="O14" s="8">
        <f ca="1"/>
        <v>0.10368072702031172</v>
      </c>
      <c r="P14" s="8">
        <f ca="1"/>
        <v>34.193489196890567</v>
      </c>
      <c r="Q14" s="8">
        <f ca="1"/>
        <v>-0.32519668173189553</v>
      </c>
      <c r="R14" s="8">
        <f ca="1"/>
        <v>0.71831502575620121</v>
      </c>
      <c r="S14" s="8">
        <f ca="1"/>
        <v>0</v>
      </c>
    </row>
    <row r="15" spans="2:19" x14ac:dyDescent="0.35">
      <c r="B15" s="1">
        <v>0.15000000000000002</v>
      </c>
      <c r="C15" s="1">
        <v>9.9999999999999978E-2</v>
      </c>
      <c r="D15" s="1">
        <f ca="1"/>
        <v>0.13668207642492544</v>
      </c>
      <c r="E15" s="1">
        <v>1</v>
      </c>
      <c r="F15" s="11">
        <f ca="1"/>
        <v>101.3002008148824</v>
      </c>
      <c r="G15" s="8">
        <f t="shared" ca="1" si="1"/>
        <v>11.563409276984945</v>
      </c>
      <c r="H15" s="8">
        <f t="shared" ca="1" si="2"/>
        <v>-0.1141499146493905</v>
      </c>
      <c r="I15" s="8">
        <f t="shared" ref="I15:I17" ca="1" si="3">I14+G14</f>
        <v>23.520777603676422</v>
      </c>
      <c r="J15" s="8" cm="1">
        <f t="array" aca="1" ref="J15" ca="1">_xll.BLACK.PUT.DELTA(F14, σ*SQRT(C14), k)</f>
        <v>-0.22151595471158381</v>
      </c>
      <c r="K15" s="8" cm="1">
        <f t="array" aca="1" ref="K15" ca="1">SUMPRODUCT(I15:J15+G15:H15,E15:F15)</f>
        <v>1.0811669076925838</v>
      </c>
      <c r="L15" s="1">
        <f t="shared" ca="1" si="0"/>
        <v>0</v>
      </c>
      <c r="N15" s="8">
        <f ca="1"/>
        <v>11.563409276984945</v>
      </c>
      <c r="O15" s="8">
        <f ca="1"/>
        <v>-0.1141499146493905</v>
      </c>
      <c r="P15" s="8">
        <f ca="1"/>
        <v>23.520777603676422</v>
      </c>
      <c r="Q15" s="8">
        <f ca="1"/>
        <v>-0.22151595471158381</v>
      </c>
      <c r="R15" s="8">
        <f ca="1"/>
        <v>1.0811669076925838</v>
      </c>
      <c r="S15" s="8">
        <f ca="1"/>
        <v>0</v>
      </c>
    </row>
    <row r="16" spans="2:19" x14ac:dyDescent="0.35">
      <c r="B16" s="1">
        <v>0.2</v>
      </c>
      <c r="C16" s="1">
        <v>4.9999999999999989E-2</v>
      </c>
      <c r="D16" s="1">
        <f ca="1"/>
        <v>-0.70018219240440815</v>
      </c>
      <c r="E16" s="1">
        <v>1</v>
      </c>
      <c r="F16" s="11">
        <f ca="1"/>
        <v>93.144492175401211</v>
      </c>
      <c r="G16" s="8">
        <f t="shared" ca="1" si="1"/>
        <v>61.806802618891858</v>
      </c>
      <c r="H16" s="8">
        <f t="shared" ca="1" si="2"/>
        <v>-0.66355831864435877</v>
      </c>
      <c r="I16" s="8">
        <f t="shared" ca="1" si="3"/>
        <v>35.084186880661363</v>
      </c>
      <c r="J16" s="8" cm="1">
        <f t="array" aca="1" ref="J16" ca="1">_xll.BLACK.PUT.DELTA(F15, σ*SQRT(C15), k)</f>
        <v>-0.33566586936097431</v>
      </c>
      <c r="K16" s="8" cm="1">
        <f t="array" aca="1" ref="K16" ca="1">SUMPRODUCT(I16:J16+G16:H16,E16:F16)</f>
        <v>3.8187599384188502</v>
      </c>
      <c r="L16" s="1">
        <f t="shared" ca="1" si="0"/>
        <v>0</v>
      </c>
      <c r="N16" s="8">
        <f ca="1"/>
        <v>61.806802618891858</v>
      </c>
      <c r="O16" s="8">
        <f ca="1"/>
        <v>-0.66355831864435877</v>
      </c>
      <c r="P16" s="8">
        <f ca="1"/>
        <v>35.084186880661363</v>
      </c>
      <c r="Q16" s="8">
        <f ca="1"/>
        <v>-0.33566586936097431</v>
      </c>
      <c r="R16" s="8">
        <f ca="1"/>
        <v>3.8187599384188502</v>
      </c>
      <c r="S16" s="8">
        <f ca="1"/>
        <v>0</v>
      </c>
    </row>
    <row r="17" spans="2:19" x14ac:dyDescent="0.35">
      <c r="B17" s="1">
        <v>0.25</v>
      </c>
      <c r="C17" s="1">
        <v>0</v>
      </c>
      <c r="D17" s="1">
        <f ca="1"/>
        <v>-7.2169329298340301E-2</v>
      </c>
      <c r="E17" s="1">
        <v>1</v>
      </c>
      <c r="F17" s="11">
        <f ca="1"/>
        <v>99.156881059630095</v>
      </c>
      <c r="G17" s="8">
        <f ca="1">-SUM(G12:G16)</f>
        <v>-96.890989499553228</v>
      </c>
      <c r="H17" s="8">
        <f ca="1">-SUM(H12:H16)</f>
        <v>0.99922418800533308</v>
      </c>
      <c r="I17" s="8">
        <f t="shared" ca="1" si="3"/>
        <v>96.890989499553228</v>
      </c>
      <c r="J17" s="8" cm="1">
        <f t="array" aca="1" ref="J17" ca="1">_xll.BLACK.PUT.DELTA(F16, σ*SQRT(C16), k)</f>
        <v>-0.99922418800533308</v>
      </c>
      <c r="K17" s="1" cm="1">
        <f t="array" aca="1" ref="K17" ca="1">SUMPRODUCT(I17:J17+G17:H17,E17:F17)</f>
        <v>0</v>
      </c>
      <c r="L17" s="8">
        <f t="shared" ca="1" si="0"/>
        <v>-2.1889644623970383</v>
      </c>
      <c r="N17" s="8">
        <f ca="1"/>
        <v>-96.890989499553228</v>
      </c>
      <c r="O17" s="8">
        <f ca="1"/>
        <v>0.99922418800533308</v>
      </c>
      <c r="P17" s="8">
        <f ca="1"/>
        <v>96.890989499553228</v>
      </c>
      <c r="Q17" s="8">
        <f ca="1"/>
        <v>-0.99922418800533308</v>
      </c>
      <c r="R17" s="8">
        <f ca="1"/>
        <v>0</v>
      </c>
      <c r="S17" s="8">
        <f ca="1"/>
        <v>-2.1889644623970383</v>
      </c>
    </row>
    <row r="18" spans="2:19" x14ac:dyDescent="0.35">
      <c r="I18" s="8"/>
    </row>
  </sheetData>
  <mergeCells count="5">
    <mergeCell ref="N10:O10"/>
    <mergeCell ref="P10:Q10"/>
    <mergeCell ref="E10:F10"/>
    <mergeCell ref="G10:H10"/>
    <mergeCell ref="I10:J10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delta</vt:lpstr>
      <vt:lpstr>f</vt:lpstr>
      <vt:lpstr>hedge</vt:lpstr>
      <vt:lpstr>k</vt:lpstr>
      <vt:lpstr>payoff</vt:lpstr>
      <vt:lpstr>step</vt:lpstr>
      <vt:lpstr>t</vt:lpstr>
      <vt:lpstr>value</vt:lpstr>
      <vt:lpstr>μ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Lectern</dc:creator>
  <cp:lastModifiedBy>Keith Lewis</cp:lastModifiedBy>
  <dcterms:created xsi:type="dcterms:W3CDTF">2025-06-24T23:54:57Z</dcterms:created>
  <dcterms:modified xsi:type="dcterms:W3CDTF">2025-06-27T17:16:57Z</dcterms:modified>
</cp:coreProperties>
</file>