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nercacuk-my.sharepoint.com/personal/lith_bas_ac_uk/Documents/REWIND/25-26 Field Planning/Drill Operations Planning/"/>
    </mc:Choice>
  </mc:AlternateContent>
  <xr:revisionPtr revIDLastSave="2511" documentId="8_{04930D6F-0D18-40DC-BD9B-717A0E87148B}" xr6:coauthVersionLast="47" xr6:coauthVersionMax="47" xr10:uidLastSave="{A195C9C5-09BD-48DB-ACCF-3180B3E724E5}"/>
  <bookViews>
    <workbookView xWindow="-120" yWindow="-120" windowWidth="29040" windowHeight="15720" activeTab="4" xr2:uid="{0D17AF9B-0303-433D-9171-7B387BD1AA50}"/>
  </bookViews>
  <sheets>
    <sheet name="TODOS" sheetId="3" r:id="rId1"/>
    <sheet name="Baseline 1 - Perfect, 24hr" sheetId="11" state="hidden" r:id="rId2"/>
    <sheet name="Baseline 2 - Good, 16hr" sheetId="8" state="hidden" r:id="rId3"/>
    <sheet name="04-07-25-Scen3-Good,24-16hr" sheetId="13" r:id="rId4"/>
    <sheet name="04-07-25-Scen4-ExFrontloadCargo" sheetId="15" r:id="rId5"/>
    <sheet name="04-07-25-Scen5-WorstCargoJIT" sheetId="17" r:id="rId6"/>
    <sheet name="04-07-25-Scen6-Good,16hr" sheetId="18" r:id="rId7"/>
    <sheet name="08-07-25-Scen7-GennyFail" sheetId="19" r:id="rId8"/>
    <sheet name="Drilling Spec" sheetId="2" r:id="rId9"/>
  </sheets>
  <definedNames>
    <definedName name="e">'Drilling Spec'!$C$6</definedName>
    <definedName name="eB">'Drilling Spec'!$C$13</definedName>
    <definedName name="l">'Drilling Spec'!$C$2</definedName>
    <definedName name="lB">'Drilling Spec'!$C$9</definedName>
    <definedName name="s">'Drilling Spec'!$C$5</definedName>
    <definedName name="sB">'Drilling Spec'!$C$12</definedName>
    <definedName name="V">'Drilling Spec'!$C$4</definedName>
    <definedName name="vB">'Drilling Spec'!$C$11</definedName>
    <definedName name="W">'Drilling Spec'!$C$3</definedName>
    <definedName name="WB">'Drilling Spec'!$C$10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112" i="19" l="1"/>
  <c r="AT112" i="19"/>
  <c r="AR112" i="19"/>
  <c r="AQ112" i="19"/>
  <c r="AP112" i="19"/>
  <c r="AO112" i="19"/>
  <c r="AN112" i="19"/>
  <c r="U112" i="19"/>
  <c r="N112" i="19"/>
  <c r="L112" i="19"/>
  <c r="G112" i="19"/>
  <c r="E112" i="19"/>
  <c r="AV111" i="19"/>
  <c r="AT111" i="19"/>
  <c r="AR111" i="19"/>
  <c r="AQ111" i="19"/>
  <c r="AP111" i="19"/>
  <c r="AO111" i="19"/>
  <c r="AN111" i="19"/>
  <c r="L111" i="19"/>
  <c r="N111" i="19" s="1"/>
  <c r="E111" i="19"/>
  <c r="U111" i="19" s="1"/>
  <c r="AV110" i="19"/>
  <c r="AT110" i="19"/>
  <c r="AR110" i="19"/>
  <c r="AQ110" i="19"/>
  <c r="AP110" i="19"/>
  <c r="AO110" i="19"/>
  <c r="AN110" i="19"/>
  <c r="N110" i="19"/>
  <c r="L110" i="19"/>
  <c r="E110" i="19"/>
  <c r="G110" i="19" s="1"/>
  <c r="AV109" i="19"/>
  <c r="AT109" i="19"/>
  <c r="AR109" i="19"/>
  <c r="AQ109" i="19"/>
  <c r="AP109" i="19"/>
  <c r="AO109" i="19"/>
  <c r="AN109" i="19"/>
  <c r="N109" i="19"/>
  <c r="L109" i="19"/>
  <c r="G109" i="19"/>
  <c r="E109" i="19"/>
  <c r="U109" i="19" s="1"/>
  <c r="AV108" i="19"/>
  <c r="AT108" i="19"/>
  <c r="AR108" i="19"/>
  <c r="AQ108" i="19"/>
  <c r="AP108" i="19"/>
  <c r="AO108" i="19"/>
  <c r="AN108" i="19"/>
  <c r="U108" i="19"/>
  <c r="N108" i="19"/>
  <c r="L108" i="19"/>
  <c r="G108" i="19"/>
  <c r="E108" i="19"/>
  <c r="AV107" i="19"/>
  <c r="AT107" i="19"/>
  <c r="AR107" i="19"/>
  <c r="AQ107" i="19"/>
  <c r="AP107" i="19"/>
  <c r="AO107" i="19"/>
  <c r="AN107" i="19"/>
  <c r="U107" i="19"/>
  <c r="N107" i="19"/>
  <c r="L107" i="19"/>
  <c r="G107" i="19"/>
  <c r="E107" i="19"/>
  <c r="AV106" i="19"/>
  <c r="AT106" i="19"/>
  <c r="AR106" i="19"/>
  <c r="AQ106" i="19"/>
  <c r="AP106" i="19"/>
  <c r="AO106" i="19"/>
  <c r="AN106" i="19"/>
  <c r="L106" i="19"/>
  <c r="N106" i="19" s="1"/>
  <c r="E106" i="19"/>
  <c r="AV105" i="19"/>
  <c r="AT105" i="19"/>
  <c r="AR105" i="19"/>
  <c r="AQ105" i="19"/>
  <c r="AP105" i="19"/>
  <c r="AO105" i="19"/>
  <c r="AN105" i="19"/>
  <c r="U105" i="19"/>
  <c r="N105" i="19"/>
  <c r="L105" i="19"/>
  <c r="E105" i="19"/>
  <c r="G105" i="19" s="1"/>
  <c r="AV104" i="19"/>
  <c r="AT104" i="19"/>
  <c r="AR104" i="19"/>
  <c r="AQ104" i="19"/>
  <c r="AP104" i="19"/>
  <c r="AO104" i="19"/>
  <c r="AN104" i="19"/>
  <c r="L104" i="19"/>
  <c r="N104" i="19" s="1"/>
  <c r="E104" i="19"/>
  <c r="G104" i="19" s="1"/>
  <c r="AV103" i="19"/>
  <c r="AT103" i="19"/>
  <c r="AR103" i="19"/>
  <c r="AQ103" i="19"/>
  <c r="AP103" i="19"/>
  <c r="AO103" i="19"/>
  <c r="AN103" i="19"/>
  <c r="L103" i="19"/>
  <c r="N103" i="19" s="1"/>
  <c r="E103" i="19"/>
  <c r="G103" i="19" s="1"/>
  <c r="AV102" i="19"/>
  <c r="AT102" i="19"/>
  <c r="AR102" i="19"/>
  <c r="AQ102" i="19"/>
  <c r="AP102" i="19"/>
  <c r="AO102" i="19"/>
  <c r="AN102" i="19"/>
  <c r="L102" i="19"/>
  <c r="E102" i="19"/>
  <c r="G102" i="19" s="1"/>
  <c r="AV101" i="19"/>
  <c r="AT101" i="19"/>
  <c r="AR101" i="19"/>
  <c r="AQ101" i="19"/>
  <c r="AP101" i="19"/>
  <c r="AO101" i="19"/>
  <c r="AN101" i="19"/>
  <c r="L101" i="19"/>
  <c r="N101" i="19" s="1"/>
  <c r="E101" i="19"/>
  <c r="G101" i="19" s="1"/>
  <c r="AV100" i="19"/>
  <c r="AT100" i="19"/>
  <c r="AR100" i="19"/>
  <c r="AQ100" i="19"/>
  <c r="AP100" i="19"/>
  <c r="AO100" i="19"/>
  <c r="AN100" i="19"/>
  <c r="L100" i="19"/>
  <c r="N100" i="19" s="1"/>
  <c r="E100" i="19"/>
  <c r="G100" i="19" s="1"/>
  <c r="AV99" i="19"/>
  <c r="AT99" i="19"/>
  <c r="AR99" i="19"/>
  <c r="AQ99" i="19"/>
  <c r="AP99" i="19"/>
  <c r="AO99" i="19"/>
  <c r="AN99" i="19"/>
  <c r="U99" i="19"/>
  <c r="L99" i="19"/>
  <c r="N99" i="19" s="1"/>
  <c r="E99" i="19"/>
  <c r="G99" i="19" s="1"/>
  <c r="AV98" i="19"/>
  <c r="AT98" i="19"/>
  <c r="AR98" i="19"/>
  <c r="AQ98" i="19"/>
  <c r="AP98" i="19"/>
  <c r="AO98" i="19"/>
  <c r="AN98" i="19"/>
  <c r="L98" i="19"/>
  <c r="N98" i="19" s="1"/>
  <c r="E98" i="19"/>
  <c r="AV97" i="19"/>
  <c r="AT97" i="19"/>
  <c r="AR97" i="19"/>
  <c r="AQ97" i="19"/>
  <c r="AP97" i="19"/>
  <c r="AO97" i="19"/>
  <c r="AN97" i="19"/>
  <c r="L97" i="19"/>
  <c r="N97" i="19" s="1"/>
  <c r="E97" i="19"/>
  <c r="G97" i="19" s="1"/>
  <c r="AV96" i="19"/>
  <c r="AT96" i="19"/>
  <c r="AR96" i="19"/>
  <c r="AQ96" i="19"/>
  <c r="AP96" i="19"/>
  <c r="AO96" i="19"/>
  <c r="AN96" i="19"/>
  <c r="U96" i="19"/>
  <c r="N96" i="19"/>
  <c r="L96" i="19"/>
  <c r="G96" i="19"/>
  <c r="E96" i="19"/>
  <c r="AV95" i="19"/>
  <c r="AT95" i="19"/>
  <c r="AR95" i="19"/>
  <c r="AQ95" i="19"/>
  <c r="AP95" i="19"/>
  <c r="AO95" i="19"/>
  <c r="AN95" i="19"/>
  <c r="L95" i="19"/>
  <c r="N95" i="19" s="1"/>
  <c r="E95" i="19"/>
  <c r="AV94" i="19"/>
  <c r="AT94" i="19"/>
  <c r="AR94" i="19"/>
  <c r="AQ94" i="19"/>
  <c r="AP94" i="19"/>
  <c r="AO94" i="19"/>
  <c r="AN94" i="19"/>
  <c r="L94" i="19"/>
  <c r="N94" i="19" s="1"/>
  <c r="G94" i="19"/>
  <c r="E94" i="19"/>
  <c r="U94" i="19" s="1"/>
  <c r="AV93" i="19"/>
  <c r="AT93" i="19"/>
  <c r="AR93" i="19"/>
  <c r="AQ93" i="19"/>
  <c r="AP93" i="19"/>
  <c r="AO93" i="19"/>
  <c r="AN93" i="19"/>
  <c r="L93" i="19"/>
  <c r="N93" i="19" s="1"/>
  <c r="E93" i="19"/>
  <c r="G93" i="19" s="1"/>
  <c r="AV92" i="19"/>
  <c r="AT92" i="19"/>
  <c r="AR92" i="19"/>
  <c r="AQ92" i="19"/>
  <c r="AP92" i="19"/>
  <c r="AO92" i="19"/>
  <c r="AN92" i="19"/>
  <c r="N92" i="19"/>
  <c r="L92" i="19"/>
  <c r="E92" i="19"/>
  <c r="G92" i="19" s="1"/>
  <c r="AV91" i="19"/>
  <c r="AT91" i="19"/>
  <c r="AR91" i="19"/>
  <c r="AQ91" i="19"/>
  <c r="AP91" i="19"/>
  <c r="AO91" i="19"/>
  <c r="AN91" i="19"/>
  <c r="N91" i="19"/>
  <c r="L91" i="19"/>
  <c r="E91" i="19"/>
  <c r="U91" i="19" s="1"/>
  <c r="AV90" i="19"/>
  <c r="AT90" i="19"/>
  <c r="AR90" i="19"/>
  <c r="AQ90" i="19"/>
  <c r="AP90" i="19"/>
  <c r="AO90" i="19"/>
  <c r="AN90" i="19"/>
  <c r="L90" i="19"/>
  <c r="N90" i="19" s="1"/>
  <c r="E90" i="19"/>
  <c r="G90" i="19" s="1"/>
  <c r="AV89" i="19"/>
  <c r="AT89" i="19"/>
  <c r="AR89" i="19"/>
  <c r="AQ89" i="19"/>
  <c r="AP89" i="19"/>
  <c r="AO89" i="19"/>
  <c r="AN89" i="19"/>
  <c r="L89" i="19"/>
  <c r="N89" i="19" s="1"/>
  <c r="E89" i="19"/>
  <c r="G89" i="19" s="1"/>
  <c r="AV88" i="19"/>
  <c r="AT88" i="19"/>
  <c r="AR88" i="19"/>
  <c r="AQ88" i="19"/>
  <c r="AP88" i="19"/>
  <c r="AO88" i="19"/>
  <c r="AN88" i="19"/>
  <c r="L88" i="19"/>
  <c r="N88" i="19" s="1"/>
  <c r="E88" i="19"/>
  <c r="AV87" i="19"/>
  <c r="AT87" i="19"/>
  <c r="AR87" i="19"/>
  <c r="AQ87" i="19"/>
  <c r="AP87" i="19"/>
  <c r="AO87" i="19"/>
  <c r="AN87" i="19"/>
  <c r="L87" i="19"/>
  <c r="N87" i="19" s="1"/>
  <c r="E87" i="19"/>
  <c r="U87" i="19" s="1"/>
  <c r="AV86" i="19"/>
  <c r="AT86" i="19"/>
  <c r="AR86" i="19"/>
  <c r="AQ86" i="19"/>
  <c r="AP86" i="19"/>
  <c r="AO86" i="19"/>
  <c r="AN86" i="19"/>
  <c r="L86" i="19"/>
  <c r="N86" i="19" s="1"/>
  <c r="E86" i="19"/>
  <c r="G86" i="19" s="1"/>
  <c r="AV85" i="19"/>
  <c r="AT85" i="19"/>
  <c r="AR85" i="19"/>
  <c r="AQ85" i="19"/>
  <c r="AP85" i="19"/>
  <c r="AO85" i="19"/>
  <c r="AN85" i="19"/>
  <c r="L85" i="19"/>
  <c r="N85" i="19" s="1"/>
  <c r="E85" i="19"/>
  <c r="AV84" i="19"/>
  <c r="AT84" i="19"/>
  <c r="AR84" i="19"/>
  <c r="AQ84" i="19"/>
  <c r="AP84" i="19"/>
  <c r="AO84" i="19"/>
  <c r="AN84" i="19"/>
  <c r="L84" i="19"/>
  <c r="U84" i="19" s="1"/>
  <c r="E84" i="19"/>
  <c r="G84" i="19" s="1"/>
  <c r="AV83" i="19"/>
  <c r="AT83" i="19"/>
  <c r="AR83" i="19"/>
  <c r="AQ83" i="19"/>
  <c r="AP83" i="19"/>
  <c r="AO83" i="19"/>
  <c r="AN83" i="19"/>
  <c r="L83" i="19"/>
  <c r="N83" i="19" s="1"/>
  <c r="E83" i="19"/>
  <c r="AV82" i="19"/>
  <c r="AT82" i="19"/>
  <c r="AR82" i="19"/>
  <c r="AQ82" i="19"/>
  <c r="AP82" i="19"/>
  <c r="AO82" i="19"/>
  <c r="AN82" i="19"/>
  <c r="L82" i="19"/>
  <c r="N82" i="19" s="1"/>
  <c r="E82" i="19"/>
  <c r="AV81" i="19"/>
  <c r="AT81" i="19"/>
  <c r="AR81" i="19"/>
  <c r="AQ81" i="19"/>
  <c r="AP81" i="19"/>
  <c r="AO81" i="19"/>
  <c r="AN81" i="19"/>
  <c r="L81" i="19"/>
  <c r="N81" i="19" s="1"/>
  <c r="E81" i="19"/>
  <c r="AV80" i="19"/>
  <c r="AT80" i="19"/>
  <c r="AR80" i="19"/>
  <c r="AQ80" i="19"/>
  <c r="AP80" i="19"/>
  <c r="AO80" i="19"/>
  <c r="AN80" i="19"/>
  <c r="L80" i="19"/>
  <c r="N80" i="19" s="1"/>
  <c r="E80" i="19"/>
  <c r="G80" i="19" s="1"/>
  <c r="AV79" i="19"/>
  <c r="AT79" i="19"/>
  <c r="AR79" i="19"/>
  <c r="AQ79" i="19"/>
  <c r="AP79" i="19"/>
  <c r="AO79" i="19"/>
  <c r="AN79" i="19"/>
  <c r="L79" i="19"/>
  <c r="N79" i="19" s="1"/>
  <c r="E79" i="19"/>
  <c r="G79" i="19" s="1"/>
  <c r="AV78" i="19"/>
  <c r="AT78" i="19"/>
  <c r="AR78" i="19"/>
  <c r="AQ78" i="19"/>
  <c r="AP78" i="19"/>
  <c r="AO78" i="19"/>
  <c r="AN78" i="19"/>
  <c r="L78" i="19"/>
  <c r="N78" i="19" s="1"/>
  <c r="E78" i="19"/>
  <c r="AV77" i="19"/>
  <c r="AT77" i="19"/>
  <c r="AR77" i="19"/>
  <c r="AQ77" i="19"/>
  <c r="AP77" i="19"/>
  <c r="AO77" i="19"/>
  <c r="AN77" i="19"/>
  <c r="L77" i="19"/>
  <c r="N77" i="19" s="1"/>
  <c r="E77" i="19"/>
  <c r="AV76" i="19"/>
  <c r="AT76" i="19"/>
  <c r="AR76" i="19"/>
  <c r="AQ76" i="19"/>
  <c r="AP76" i="19"/>
  <c r="AO76" i="19"/>
  <c r="AN76" i="19"/>
  <c r="L76" i="19"/>
  <c r="N76" i="19" s="1"/>
  <c r="E76" i="19"/>
  <c r="AV75" i="19"/>
  <c r="AT75" i="19"/>
  <c r="AR75" i="19"/>
  <c r="AQ75" i="19"/>
  <c r="AP75" i="19"/>
  <c r="AO75" i="19"/>
  <c r="AN75" i="19"/>
  <c r="L75" i="19"/>
  <c r="N75" i="19" s="1"/>
  <c r="E75" i="19"/>
  <c r="G75" i="19" s="1"/>
  <c r="AV74" i="19"/>
  <c r="AT74" i="19"/>
  <c r="AR74" i="19"/>
  <c r="AQ74" i="19"/>
  <c r="AP74" i="19"/>
  <c r="AO74" i="19"/>
  <c r="AN74" i="19"/>
  <c r="L74" i="19"/>
  <c r="N74" i="19" s="1"/>
  <c r="E74" i="19"/>
  <c r="AV73" i="19"/>
  <c r="AT73" i="19"/>
  <c r="AR73" i="19"/>
  <c r="AQ73" i="19"/>
  <c r="AP73" i="19"/>
  <c r="AO73" i="19"/>
  <c r="AN73" i="19"/>
  <c r="L73" i="19"/>
  <c r="N73" i="19" s="1"/>
  <c r="E73" i="19"/>
  <c r="G73" i="19" s="1"/>
  <c r="AV72" i="19"/>
  <c r="AT72" i="19"/>
  <c r="AR72" i="19"/>
  <c r="AQ72" i="19"/>
  <c r="AP72" i="19"/>
  <c r="AO72" i="19"/>
  <c r="AN72" i="19"/>
  <c r="L72" i="19"/>
  <c r="N72" i="19" s="1"/>
  <c r="E72" i="19"/>
  <c r="AV71" i="19"/>
  <c r="AT71" i="19"/>
  <c r="AR71" i="19"/>
  <c r="AQ71" i="19"/>
  <c r="AP71" i="19"/>
  <c r="AO71" i="19"/>
  <c r="AN71" i="19"/>
  <c r="L71" i="19"/>
  <c r="E71" i="19"/>
  <c r="G71" i="19" s="1"/>
  <c r="AV70" i="19"/>
  <c r="AT70" i="19"/>
  <c r="AR70" i="19"/>
  <c r="AQ70" i="19"/>
  <c r="AP70" i="19"/>
  <c r="AO70" i="19"/>
  <c r="AN70" i="19"/>
  <c r="L70" i="19"/>
  <c r="N70" i="19" s="1"/>
  <c r="E70" i="19"/>
  <c r="G70" i="19" s="1"/>
  <c r="AV69" i="19"/>
  <c r="AT69" i="19"/>
  <c r="AR69" i="19"/>
  <c r="AQ69" i="19"/>
  <c r="AP69" i="19"/>
  <c r="AO69" i="19"/>
  <c r="AN69" i="19"/>
  <c r="L69" i="19"/>
  <c r="E69" i="19"/>
  <c r="G69" i="19" s="1"/>
  <c r="AV68" i="19"/>
  <c r="AT68" i="19"/>
  <c r="AR68" i="19"/>
  <c r="AQ68" i="19"/>
  <c r="AP68" i="19"/>
  <c r="AO68" i="19"/>
  <c r="AN68" i="19"/>
  <c r="L68" i="19"/>
  <c r="N68" i="19" s="1"/>
  <c r="E68" i="19"/>
  <c r="AV67" i="19"/>
  <c r="AT67" i="19"/>
  <c r="AR67" i="19"/>
  <c r="AQ67" i="19"/>
  <c r="AP67" i="19"/>
  <c r="AO67" i="19"/>
  <c r="AN67" i="19"/>
  <c r="L67" i="19"/>
  <c r="N67" i="19" s="1"/>
  <c r="E67" i="19"/>
  <c r="G67" i="19" s="1"/>
  <c r="AV66" i="19"/>
  <c r="AT66" i="19"/>
  <c r="AR66" i="19"/>
  <c r="AQ66" i="19"/>
  <c r="AP66" i="19"/>
  <c r="AO66" i="19"/>
  <c r="AN66" i="19"/>
  <c r="L66" i="19"/>
  <c r="N66" i="19" s="1"/>
  <c r="E66" i="19"/>
  <c r="AV65" i="19"/>
  <c r="AT65" i="19"/>
  <c r="AR65" i="19"/>
  <c r="AQ65" i="19"/>
  <c r="AP65" i="19"/>
  <c r="AO65" i="19"/>
  <c r="AN65" i="19"/>
  <c r="L65" i="19"/>
  <c r="N65" i="19" s="1"/>
  <c r="G65" i="19"/>
  <c r="E65" i="19"/>
  <c r="AV64" i="19"/>
  <c r="AT64" i="19"/>
  <c r="AR64" i="19"/>
  <c r="AQ64" i="19"/>
  <c r="AP64" i="19"/>
  <c r="AO64" i="19"/>
  <c r="AN64" i="19"/>
  <c r="L64" i="19"/>
  <c r="N64" i="19" s="1"/>
  <c r="E64" i="19"/>
  <c r="U64" i="19" s="1"/>
  <c r="AV63" i="19"/>
  <c r="AT63" i="19"/>
  <c r="AR63" i="19"/>
  <c r="AQ63" i="19"/>
  <c r="AP63" i="19"/>
  <c r="AO63" i="19"/>
  <c r="AN63" i="19"/>
  <c r="L63" i="19"/>
  <c r="N63" i="19" s="1"/>
  <c r="E63" i="19"/>
  <c r="G63" i="19" s="1"/>
  <c r="AV62" i="19"/>
  <c r="AT62" i="19"/>
  <c r="AR62" i="19"/>
  <c r="AQ62" i="19"/>
  <c r="AP62" i="19"/>
  <c r="AO62" i="19"/>
  <c r="AN62" i="19"/>
  <c r="L62" i="19"/>
  <c r="E62" i="19"/>
  <c r="G62" i="19" s="1"/>
  <c r="AV61" i="19"/>
  <c r="AT61" i="19"/>
  <c r="AR61" i="19"/>
  <c r="AQ61" i="19"/>
  <c r="AP61" i="19"/>
  <c r="AO61" i="19"/>
  <c r="AN61" i="19"/>
  <c r="L61" i="19"/>
  <c r="E61" i="19"/>
  <c r="G61" i="19" s="1"/>
  <c r="AV60" i="19"/>
  <c r="AT60" i="19"/>
  <c r="AR60" i="19"/>
  <c r="AQ60" i="19"/>
  <c r="AP60" i="19"/>
  <c r="AO60" i="19"/>
  <c r="AN60" i="19"/>
  <c r="L60" i="19"/>
  <c r="N60" i="19" s="1"/>
  <c r="E60" i="19"/>
  <c r="G60" i="19" s="1"/>
  <c r="AV59" i="19"/>
  <c r="AT59" i="19"/>
  <c r="AR59" i="19"/>
  <c r="AQ59" i="19"/>
  <c r="AP59" i="19"/>
  <c r="AO59" i="19"/>
  <c r="AN59" i="19"/>
  <c r="L59" i="19"/>
  <c r="N59" i="19" s="1"/>
  <c r="E59" i="19"/>
  <c r="G59" i="19" s="1"/>
  <c r="AV58" i="19"/>
  <c r="AT58" i="19"/>
  <c r="AR58" i="19"/>
  <c r="AQ58" i="19"/>
  <c r="AP58" i="19"/>
  <c r="AO58" i="19"/>
  <c r="AN58" i="19"/>
  <c r="L58" i="19"/>
  <c r="N58" i="19" s="1"/>
  <c r="E58" i="19"/>
  <c r="AV57" i="19"/>
  <c r="AT57" i="19"/>
  <c r="AR57" i="19"/>
  <c r="AQ57" i="19"/>
  <c r="AP57" i="19"/>
  <c r="AO57" i="19"/>
  <c r="AN57" i="19"/>
  <c r="L57" i="19"/>
  <c r="N57" i="19" s="1"/>
  <c r="E57" i="19"/>
  <c r="AV56" i="19"/>
  <c r="AT56" i="19"/>
  <c r="AR56" i="19"/>
  <c r="AQ56" i="19"/>
  <c r="AP56" i="19"/>
  <c r="AO56" i="19"/>
  <c r="AN56" i="19"/>
  <c r="L56" i="19"/>
  <c r="N56" i="19" s="1"/>
  <c r="E56" i="19"/>
  <c r="G56" i="19" s="1"/>
  <c r="AV55" i="19"/>
  <c r="AT55" i="19"/>
  <c r="AR55" i="19"/>
  <c r="AQ55" i="19"/>
  <c r="AP55" i="19"/>
  <c r="AO55" i="19"/>
  <c r="AN55" i="19"/>
  <c r="L55" i="19"/>
  <c r="N55" i="19" s="1"/>
  <c r="E55" i="19"/>
  <c r="G55" i="19" s="1"/>
  <c r="AV54" i="19"/>
  <c r="AT54" i="19"/>
  <c r="AR54" i="19"/>
  <c r="AQ54" i="19"/>
  <c r="AP54" i="19"/>
  <c r="AO54" i="19"/>
  <c r="AN54" i="19"/>
  <c r="L54" i="19"/>
  <c r="N54" i="19" s="1"/>
  <c r="E54" i="19"/>
  <c r="G54" i="19" s="1"/>
  <c r="AV53" i="19"/>
  <c r="AT53" i="19"/>
  <c r="AR53" i="19"/>
  <c r="AQ53" i="19"/>
  <c r="AP53" i="19"/>
  <c r="AO53" i="19"/>
  <c r="AN53" i="19"/>
  <c r="L53" i="19"/>
  <c r="E53" i="19"/>
  <c r="G53" i="19" s="1"/>
  <c r="AV52" i="19"/>
  <c r="AT52" i="19"/>
  <c r="AR52" i="19"/>
  <c r="AQ52" i="19"/>
  <c r="AP52" i="19"/>
  <c r="AO52" i="19"/>
  <c r="AN52" i="19"/>
  <c r="L52" i="19"/>
  <c r="N52" i="19" s="1"/>
  <c r="E52" i="19"/>
  <c r="AV51" i="19"/>
  <c r="AT51" i="19"/>
  <c r="AR51" i="19"/>
  <c r="AQ51" i="19"/>
  <c r="AP51" i="19"/>
  <c r="AO51" i="19"/>
  <c r="AN51" i="19"/>
  <c r="L51" i="19"/>
  <c r="N51" i="19" s="1"/>
  <c r="E51" i="19"/>
  <c r="BB50" i="19"/>
  <c r="AV50" i="19"/>
  <c r="AT50" i="19"/>
  <c r="AR50" i="19"/>
  <c r="AQ50" i="19"/>
  <c r="AP50" i="19"/>
  <c r="AO50" i="19"/>
  <c r="AN50" i="19"/>
  <c r="L50" i="19"/>
  <c r="N50" i="19" s="1"/>
  <c r="E50" i="19"/>
  <c r="G50" i="19" s="1"/>
  <c r="BD49" i="19"/>
  <c r="AV49" i="19"/>
  <c r="AT49" i="19"/>
  <c r="AR49" i="19"/>
  <c r="AQ49" i="19"/>
  <c r="AP49" i="19"/>
  <c r="AO49" i="19"/>
  <c r="AN49" i="19"/>
  <c r="L49" i="19"/>
  <c r="E49" i="19"/>
  <c r="G49" i="19" s="1"/>
  <c r="AV48" i="19"/>
  <c r="AT48" i="19"/>
  <c r="AR48" i="19"/>
  <c r="AQ48" i="19"/>
  <c r="AP48" i="19"/>
  <c r="AO48" i="19"/>
  <c r="AN48" i="19"/>
  <c r="L48" i="19"/>
  <c r="N48" i="19" s="1"/>
  <c r="E48" i="19"/>
  <c r="BB47" i="19"/>
  <c r="AV47" i="19"/>
  <c r="AT47" i="19"/>
  <c r="AR47" i="19"/>
  <c r="AQ47" i="19"/>
  <c r="AP47" i="19"/>
  <c r="AO47" i="19"/>
  <c r="AN47" i="19"/>
  <c r="L47" i="19"/>
  <c r="N47" i="19" s="1"/>
  <c r="E47" i="19"/>
  <c r="BB46" i="19"/>
  <c r="AV46" i="19"/>
  <c r="AT46" i="19"/>
  <c r="AR46" i="19"/>
  <c r="AQ46" i="19"/>
  <c r="AP46" i="19"/>
  <c r="AO46" i="19"/>
  <c r="AN46" i="19"/>
  <c r="L46" i="19"/>
  <c r="N46" i="19" s="1"/>
  <c r="E46" i="19"/>
  <c r="G46" i="19" s="1"/>
  <c r="AV45" i="19"/>
  <c r="AT45" i="19"/>
  <c r="AR45" i="19"/>
  <c r="AQ45" i="19"/>
  <c r="AP45" i="19"/>
  <c r="AO45" i="19"/>
  <c r="AN45" i="19"/>
  <c r="L45" i="19"/>
  <c r="N45" i="19" s="1"/>
  <c r="E45" i="19"/>
  <c r="AV44" i="19"/>
  <c r="AT44" i="19"/>
  <c r="AR44" i="19"/>
  <c r="AQ44" i="19"/>
  <c r="AP44" i="19"/>
  <c r="AO44" i="19"/>
  <c r="AN44" i="19"/>
  <c r="L44" i="19"/>
  <c r="N44" i="19" s="1"/>
  <c r="E44" i="19"/>
  <c r="G44" i="19" s="1"/>
  <c r="AV43" i="19"/>
  <c r="AT43" i="19"/>
  <c r="AR43" i="19"/>
  <c r="AQ43" i="19"/>
  <c r="AP43" i="19"/>
  <c r="AO43" i="19"/>
  <c r="AN43" i="19"/>
  <c r="L43" i="19"/>
  <c r="N43" i="19" s="1"/>
  <c r="E43" i="19"/>
  <c r="AV42" i="19"/>
  <c r="AT42" i="19"/>
  <c r="AR42" i="19"/>
  <c r="AQ42" i="19"/>
  <c r="AP42" i="19"/>
  <c r="AO42" i="19"/>
  <c r="AN42" i="19"/>
  <c r="L42" i="19"/>
  <c r="N42" i="19" s="1"/>
  <c r="E42" i="19"/>
  <c r="AV41" i="19"/>
  <c r="AT41" i="19"/>
  <c r="AR41" i="19"/>
  <c r="AQ41" i="19"/>
  <c r="AP41" i="19"/>
  <c r="AO41" i="19"/>
  <c r="AN41" i="19"/>
  <c r="L41" i="19"/>
  <c r="N41" i="19" s="1"/>
  <c r="E41" i="19"/>
  <c r="G41" i="19" s="1"/>
  <c r="AV40" i="19"/>
  <c r="AT40" i="19"/>
  <c r="AR40" i="19"/>
  <c r="AQ40" i="19"/>
  <c r="AP40" i="19"/>
  <c r="AO40" i="19"/>
  <c r="AN40" i="19"/>
  <c r="L40" i="19"/>
  <c r="N40" i="19" s="1"/>
  <c r="E40" i="19"/>
  <c r="AV39" i="19"/>
  <c r="AT39" i="19"/>
  <c r="AR39" i="19"/>
  <c r="AQ39" i="19"/>
  <c r="AP39" i="19"/>
  <c r="AO39" i="19"/>
  <c r="AN39" i="19"/>
  <c r="L39" i="19"/>
  <c r="E39" i="19"/>
  <c r="G39" i="19" s="1"/>
  <c r="AV38" i="19"/>
  <c r="AT38" i="19"/>
  <c r="AR38" i="19"/>
  <c r="AQ38" i="19"/>
  <c r="AP38" i="19"/>
  <c r="AO38" i="19"/>
  <c r="AN38" i="19"/>
  <c r="L38" i="19"/>
  <c r="N38" i="19" s="1"/>
  <c r="E38" i="19"/>
  <c r="AV37" i="19"/>
  <c r="AT37" i="19"/>
  <c r="AR37" i="19"/>
  <c r="AQ37" i="19"/>
  <c r="AP37" i="19"/>
  <c r="AO37" i="19"/>
  <c r="AN37" i="19"/>
  <c r="L37" i="19"/>
  <c r="E37" i="19"/>
  <c r="G37" i="19" s="1"/>
  <c r="AV36" i="19"/>
  <c r="AT36" i="19"/>
  <c r="AR36" i="19"/>
  <c r="AQ36" i="19"/>
  <c r="AP36" i="19"/>
  <c r="AO36" i="19"/>
  <c r="AN36" i="19"/>
  <c r="L36" i="19"/>
  <c r="N36" i="19" s="1"/>
  <c r="E36" i="19"/>
  <c r="G36" i="19" s="1"/>
  <c r="AV35" i="19"/>
  <c r="AT35" i="19"/>
  <c r="AR35" i="19"/>
  <c r="AQ35" i="19"/>
  <c r="AP35" i="19"/>
  <c r="AO35" i="19"/>
  <c r="AN35" i="19"/>
  <c r="L35" i="19"/>
  <c r="N35" i="19" s="1"/>
  <c r="E35" i="19"/>
  <c r="G35" i="19" s="1"/>
  <c r="AV34" i="19"/>
  <c r="AT34" i="19"/>
  <c r="AR34" i="19"/>
  <c r="AQ34" i="19"/>
  <c r="AP34" i="19"/>
  <c r="AO34" i="19"/>
  <c r="AN34" i="19"/>
  <c r="L34" i="19"/>
  <c r="N34" i="19" s="1"/>
  <c r="E34" i="19"/>
  <c r="G34" i="19" s="1"/>
  <c r="AV33" i="19"/>
  <c r="AT33" i="19"/>
  <c r="AR33" i="19"/>
  <c r="AQ33" i="19"/>
  <c r="AP33" i="19"/>
  <c r="AO33" i="19"/>
  <c r="AN33" i="19"/>
  <c r="L33" i="19"/>
  <c r="N33" i="19" s="1"/>
  <c r="E33" i="19"/>
  <c r="G33" i="19" s="1"/>
  <c r="AV32" i="19"/>
  <c r="AT32" i="19"/>
  <c r="AR32" i="19"/>
  <c r="AQ32" i="19"/>
  <c r="AP32" i="19"/>
  <c r="AO32" i="19"/>
  <c r="AN32" i="19"/>
  <c r="L32" i="19"/>
  <c r="N32" i="19" s="1"/>
  <c r="E32" i="19"/>
  <c r="G32" i="19" s="1"/>
  <c r="AV31" i="19"/>
  <c r="AT31" i="19"/>
  <c r="AR31" i="19"/>
  <c r="AQ31" i="19"/>
  <c r="AP31" i="19"/>
  <c r="AO31" i="19"/>
  <c r="AN31" i="19"/>
  <c r="L31" i="19"/>
  <c r="N31" i="19" s="1"/>
  <c r="E31" i="19"/>
  <c r="AV30" i="19"/>
  <c r="AT30" i="19"/>
  <c r="AR30" i="19"/>
  <c r="AQ30" i="19"/>
  <c r="AP30" i="19"/>
  <c r="AO30" i="19"/>
  <c r="AN30" i="19"/>
  <c r="L30" i="19"/>
  <c r="N30" i="19" s="1"/>
  <c r="E30" i="19"/>
  <c r="G30" i="19" s="1"/>
  <c r="AV29" i="19"/>
  <c r="AT29" i="19"/>
  <c r="AR29" i="19"/>
  <c r="AQ29" i="19"/>
  <c r="AP29" i="19"/>
  <c r="AO29" i="19"/>
  <c r="AN29" i="19"/>
  <c r="L29" i="19"/>
  <c r="N29" i="19" s="1"/>
  <c r="E29" i="19"/>
  <c r="G29" i="19" s="1"/>
  <c r="AV28" i="19"/>
  <c r="AT28" i="19"/>
  <c r="AR28" i="19"/>
  <c r="AQ28" i="19"/>
  <c r="AP28" i="19"/>
  <c r="AO28" i="19"/>
  <c r="AN28" i="19"/>
  <c r="L28" i="19"/>
  <c r="N28" i="19" s="1"/>
  <c r="E28" i="19"/>
  <c r="AV27" i="19"/>
  <c r="AT27" i="19"/>
  <c r="AR27" i="19"/>
  <c r="AQ27" i="19"/>
  <c r="AP27" i="19"/>
  <c r="AO27" i="19"/>
  <c r="AN27" i="19"/>
  <c r="L27" i="19"/>
  <c r="N27" i="19" s="1"/>
  <c r="E27" i="19"/>
  <c r="G27" i="19" s="1"/>
  <c r="AV26" i="19"/>
  <c r="AT26" i="19"/>
  <c r="AR26" i="19"/>
  <c r="AQ26" i="19"/>
  <c r="AP26" i="19"/>
  <c r="AO26" i="19"/>
  <c r="AN26" i="19"/>
  <c r="L26" i="19"/>
  <c r="N26" i="19" s="1"/>
  <c r="E26" i="19"/>
  <c r="AV25" i="19"/>
  <c r="AT25" i="19"/>
  <c r="AR25" i="19"/>
  <c r="AQ25" i="19"/>
  <c r="AP25" i="19"/>
  <c r="AO25" i="19"/>
  <c r="AN25" i="19"/>
  <c r="L25" i="19"/>
  <c r="N25" i="19" s="1"/>
  <c r="E25" i="19"/>
  <c r="G25" i="19" s="1"/>
  <c r="AV24" i="19"/>
  <c r="AT24" i="19"/>
  <c r="AR24" i="19"/>
  <c r="AQ24" i="19"/>
  <c r="AP24" i="19"/>
  <c r="AO24" i="19"/>
  <c r="AN24" i="19"/>
  <c r="L24" i="19"/>
  <c r="N24" i="19" s="1"/>
  <c r="E24" i="19"/>
  <c r="G24" i="19" s="1"/>
  <c r="AV23" i="19"/>
  <c r="AT23" i="19"/>
  <c r="AR23" i="19"/>
  <c r="AQ23" i="19"/>
  <c r="AP23" i="19"/>
  <c r="AO23" i="19"/>
  <c r="AN23" i="19"/>
  <c r="L23" i="19"/>
  <c r="N23" i="19" s="1"/>
  <c r="E23" i="19"/>
  <c r="G23" i="19" s="1"/>
  <c r="AV22" i="19"/>
  <c r="AT22" i="19"/>
  <c r="AR22" i="19"/>
  <c r="AQ22" i="19"/>
  <c r="AP22" i="19"/>
  <c r="AO22" i="19"/>
  <c r="AN22" i="19"/>
  <c r="L22" i="19"/>
  <c r="N22" i="19" s="1"/>
  <c r="E22" i="19"/>
  <c r="G22" i="19" s="1"/>
  <c r="AV21" i="19"/>
  <c r="AT21" i="19"/>
  <c r="AR21" i="19"/>
  <c r="AQ21" i="19"/>
  <c r="AP21" i="19"/>
  <c r="AO21" i="19"/>
  <c r="AN21" i="19"/>
  <c r="L21" i="19"/>
  <c r="N21" i="19" s="1"/>
  <c r="E21" i="19"/>
  <c r="G21" i="19" s="1"/>
  <c r="AV20" i="19"/>
  <c r="AT20" i="19"/>
  <c r="AR20" i="19"/>
  <c r="AQ20" i="19"/>
  <c r="AP20" i="19"/>
  <c r="AO20" i="19"/>
  <c r="AN20" i="19"/>
  <c r="L20" i="19"/>
  <c r="N20" i="19" s="1"/>
  <c r="G20" i="19"/>
  <c r="E20" i="19"/>
  <c r="AV19" i="19"/>
  <c r="AT19" i="19"/>
  <c r="AR19" i="19"/>
  <c r="AQ19" i="19"/>
  <c r="AP19" i="19"/>
  <c r="AO19" i="19"/>
  <c r="AN19" i="19"/>
  <c r="L19" i="19"/>
  <c r="N19" i="19" s="1"/>
  <c r="E19" i="19"/>
  <c r="G19" i="19" s="1"/>
  <c r="AV18" i="19"/>
  <c r="AT18" i="19"/>
  <c r="AR18" i="19"/>
  <c r="AQ18" i="19"/>
  <c r="AP18" i="19"/>
  <c r="AO18" i="19"/>
  <c r="AN18" i="19"/>
  <c r="L18" i="19"/>
  <c r="N18" i="19" s="1"/>
  <c r="E18" i="19"/>
  <c r="U18" i="19" s="1"/>
  <c r="AV17" i="19"/>
  <c r="AT17" i="19"/>
  <c r="AR17" i="19"/>
  <c r="AQ17" i="19"/>
  <c r="AP17" i="19"/>
  <c r="AO17" i="19"/>
  <c r="AN17" i="19"/>
  <c r="L17" i="19"/>
  <c r="N17" i="19" s="1"/>
  <c r="E17" i="19"/>
  <c r="G17" i="19" s="1"/>
  <c r="AV16" i="19"/>
  <c r="AT16" i="19"/>
  <c r="AR16" i="19"/>
  <c r="AQ16" i="19"/>
  <c r="AP16" i="19"/>
  <c r="AO16" i="19"/>
  <c r="AN16" i="19"/>
  <c r="N16" i="19"/>
  <c r="L16" i="19"/>
  <c r="E16" i="19"/>
  <c r="G16" i="19" s="1"/>
  <c r="AV15" i="19"/>
  <c r="AT15" i="19"/>
  <c r="AR15" i="19"/>
  <c r="AQ15" i="19"/>
  <c r="AP15" i="19"/>
  <c r="AO15" i="19"/>
  <c r="AN15" i="19"/>
  <c r="U15" i="19"/>
  <c r="N15" i="19"/>
  <c r="L15" i="19"/>
  <c r="G15" i="19"/>
  <c r="E15" i="19"/>
  <c r="AV14" i="19"/>
  <c r="AT14" i="19"/>
  <c r="AR14" i="19"/>
  <c r="AQ14" i="19"/>
  <c r="AP14" i="19"/>
  <c r="AO14" i="19"/>
  <c r="AN14" i="19"/>
  <c r="L14" i="19"/>
  <c r="N14" i="19" s="1"/>
  <c r="E14" i="19"/>
  <c r="AV13" i="19"/>
  <c r="AT13" i="19"/>
  <c r="AR13" i="19"/>
  <c r="AQ13" i="19"/>
  <c r="AP13" i="19"/>
  <c r="AO13" i="19"/>
  <c r="AN13" i="19"/>
  <c r="L13" i="19"/>
  <c r="N13" i="19" s="1"/>
  <c r="E13" i="19"/>
  <c r="U13" i="19" s="1"/>
  <c r="AV12" i="19"/>
  <c r="AT12" i="19"/>
  <c r="AR12" i="19"/>
  <c r="AQ12" i="19"/>
  <c r="AP12" i="19"/>
  <c r="AO12" i="19"/>
  <c r="AN12" i="19"/>
  <c r="N12" i="19"/>
  <c r="L12" i="19"/>
  <c r="G12" i="19"/>
  <c r="E12" i="19"/>
  <c r="U12" i="19" s="1"/>
  <c r="AV11" i="19"/>
  <c r="AT11" i="19"/>
  <c r="AR11" i="19"/>
  <c r="AQ11" i="19"/>
  <c r="AP11" i="19"/>
  <c r="AO11" i="19"/>
  <c r="AN11" i="19"/>
  <c r="N11" i="19"/>
  <c r="L11" i="19"/>
  <c r="E11" i="19"/>
  <c r="U11" i="19" s="1"/>
  <c r="AV10" i="19"/>
  <c r="AT10" i="19"/>
  <c r="AR10" i="19"/>
  <c r="AQ10" i="19"/>
  <c r="AP10" i="19"/>
  <c r="AO10" i="19"/>
  <c r="AN10" i="19"/>
  <c r="N10" i="19"/>
  <c r="L10" i="19"/>
  <c r="G10" i="19"/>
  <c r="E10" i="19"/>
  <c r="U10" i="19" s="1"/>
  <c r="AV9" i="19"/>
  <c r="AT9" i="19"/>
  <c r="AR9" i="19"/>
  <c r="AQ9" i="19"/>
  <c r="AP9" i="19"/>
  <c r="AO9" i="19"/>
  <c r="AN9" i="19"/>
  <c r="U9" i="19"/>
  <c r="N9" i="19"/>
  <c r="L9" i="19"/>
  <c r="G9" i="19"/>
  <c r="E9" i="19"/>
  <c r="AV8" i="19"/>
  <c r="AT8" i="19"/>
  <c r="AR8" i="19"/>
  <c r="AQ8" i="19"/>
  <c r="AP8" i="19"/>
  <c r="AO8" i="19"/>
  <c r="AN8" i="19"/>
  <c r="L8" i="19"/>
  <c r="N8" i="19" s="1"/>
  <c r="G8" i="19"/>
  <c r="E8" i="19"/>
  <c r="AV7" i="19"/>
  <c r="AT7" i="19"/>
  <c r="AR7" i="19"/>
  <c r="AQ7" i="19"/>
  <c r="AP7" i="19"/>
  <c r="AO7" i="19"/>
  <c r="AN7" i="19"/>
  <c r="L7" i="19"/>
  <c r="N7" i="19" s="1"/>
  <c r="E7" i="19"/>
  <c r="G7" i="19" s="1"/>
  <c r="AV6" i="19"/>
  <c r="AT6" i="19"/>
  <c r="AR6" i="19"/>
  <c r="AQ6" i="19"/>
  <c r="AP6" i="19"/>
  <c r="AO6" i="19"/>
  <c r="AN6" i="19"/>
  <c r="U6" i="19"/>
  <c r="L6" i="19"/>
  <c r="N6" i="19" s="1"/>
  <c r="E6" i="19"/>
  <c r="G6" i="19" s="1"/>
  <c r="AV5" i="19"/>
  <c r="AT5" i="19"/>
  <c r="AR5" i="19"/>
  <c r="AQ5" i="19"/>
  <c r="AP5" i="19"/>
  <c r="AO5" i="19"/>
  <c r="AN5" i="19"/>
  <c r="N5" i="19"/>
  <c r="L5" i="19"/>
  <c r="E5" i="19"/>
  <c r="U5" i="19" s="1"/>
  <c r="A5" i="19"/>
  <c r="B5" i="19" s="1"/>
  <c r="AV4" i="19"/>
  <c r="AT4" i="19"/>
  <c r="AR4" i="19"/>
  <c r="AQ4" i="19"/>
  <c r="AP4" i="19"/>
  <c r="AO4" i="19"/>
  <c r="AN4" i="19"/>
  <c r="L4" i="19"/>
  <c r="M4" i="19" s="1"/>
  <c r="G4" i="19"/>
  <c r="E4" i="19"/>
  <c r="B4" i="19"/>
  <c r="A4" i="19"/>
  <c r="AV3" i="19"/>
  <c r="AT3" i="19"/>
  <c r="AR3" i="19"/>
  <c r="AQ3" i="19"/>
  <c r="AP3" i="19"/>
  <c r="AO3" i="19"/>
  <c r="AN3" i="19"/>
  <c r="AA3" i="19"/>
  <c r="N3" i="19"/>
  <c r="M3" i="19"/>
  <c r="L3" i="19"/>
  <c r="E3" i="19"/>
  <c r="U3" i="19" s="1"/>
  <c r="V3" i="19" s="1"/>
  <c r="B3" i="19"/>
  <c r="A3" i="19"/>
  <c r="U81" i="19" l="1"/>
  <c r="U104" i="19"/>
  <c r="U97" i="19"/>
  <c r="G87" i="19"/>
  <c r="U88" i="19"/>
  <c r="U74" i="19"/>
  <c r="U40" i="19"/>
  <c r="U70" i="19"/>
  <c r="U37" i="19"/>
  <c r="U38" i="19"/>
  <c r="U49" i="19"/>
  <c r="U31" i="19"/>
  <c r="N84" i="19"/>
  <c r="U51" i="19"/>
  <c r="U57" i="19"/>
  <c r="N49" i="19"/>
  <c r="U53" i="19"/>
  <c r="G57" i="19"/>
  <c r="U61" i="19"/>
  <c r="U46" i="19"/>
  <c r="U80" i="19"/>
  <c r="U58" i="19"/>
  <c r="U83" i="19"/>
  <c r="U63" i="19"/>
  <c r="U28" i="19"/>
  <c r="G31" i="19"/>
  <c r="G28" i="19"/>
  <c r="U23" i="19"/>
  <c r="U19" i="19"/>
  <c r="U22" i="19"/>
  <c r="U20" i="19"/>
  <c r="U27" i="19"/>
  <c r="U30" i="19"/>
  <c r="U34" i="19"/>
  <c r="N37" i="19"/>
  <c r="U50" i="19"/>
  <c r="N53" i="19"/>
  <c r="U55" i="19"/>
  <c r="G58" i="19"/>
  <c r="U60" i="19"/>
  <c r="G64" i="19"/>
  <c r="G81" i="19"/>
  <c r="U92" i="19"/>
  <c r="U100" i="19"/>
  <c r="U71" i="19"/>
  <c r="G38" i="19"/>
  <c r="U43" i="19"/>
  <c r="U47" i="19"/>
  <c r="G51" i="19"/>
  <c r="U59" i="19"/>
  <c r="N61" i="19"/>
  <c r="U65" i="19"/>
  <c r="N71" i="19"/>
  <c r="G88" i="19"/>
  <c r="G91" i="19"/>
  <c r="U26" i="19"/>
  <c r="U54" i="19"/>
  <c r="U79" i="19"/>
  <c r="U39" i="19"/>
  <c r="U44" i="19"/>
  <c r="U48" i="19"/>
  <c r="G83" i="19"/>
  <c r="U103" i="19"/>
  <c r="G48" i="19"/>
  <c r="S4" i="19"/>
  <c r="M5" i="19"/>
  <c r="F3" i="19"/>
  <c r="N4" i="19"/>
  <c r="G5" i="19"/>
  <c r="U8" i="19"/>
  <c r="G11" i="19"/>
  <c r="G3" i="19"/>
  <c r="U4" i="19"/>
  <c r="V4" i="19" s="1"/>
  <c r="V5" i="19" s="1"/>
  <c r="V6" i="19" s="1"/>
  <c r="V7" i="19" s="1"/>
  <c r="V8" i="19" s="1"/>
  <c r="V9" i="19" s="1"/>
  <c r="V10" i="19" s="1"/>
  <c r="V11" i="19" s="1"/>
  <c r="V12" i="19" s="1"/>
  <c r="V13" i="19" s="1"/>
  <c r="V14" i="19" s="1"/>
  <c r="V15" i="19" s="1"/>
  <c r="V16" i="19" s="1"/>
  <c r="S3" i="19"/>
  <c r="A6" i="19"/>
  <c r="U7" i="19"/>
  <c r="U14" i="19"/>
  <c r="G13" i="19"/>
  <c r="W3" i="19"/>
  <c r="G14" i="19"/>
  <c r="G18" i="19"/>
  <c r="G26" i="19"/>
  <c r="U17" i="19"/>
  <c r="U21" i="19"/>
  <c r="U25" i="19"/>
  <c r="U29" i="19"/>
  <c r="U33" i="19"/>
  <c r="U16" i="19"/>
  <c r="U24" i="19"/>
  <c r="U32" i="19"/>
  <c r="U35" i="19"/>
  <c r="U52" i="19"/>
  <c r="G52" i="19"/>
  <c r="U42" i="19"/>
  <c r="G42" i="19"/>
  <c r="G45" i="19"/>
  <c r="U45" i="19"/>
  <c r="N39" i="19"/>
  <c r="G40" i="19"/>
  <c r="U41" i="19"/>
  <c r="G43" i="19"/>
  <c r="U56" i="19"/>
  <c r="G85" i="19"/>
  <c r="U85" i="19"/>
  <c r="U72" i="19"/>
  <c r="G72" i="19"/>
  <c r="U36" i="19"/>
  <c r="U76" i="19"/>
  <c r="G76" i="19"/>
  <c r="G47" i="19"/>
  <c r="N62" i="19"/>
  <c r="U62" i="19"/>
  <c r="U68" i="19"/>
  <c r="U69" i="19"/>
  <c r="N69" i="19"/>
  <c r="U66" i="19"/>
  <c r="G66" i="19"/>
  <c r="U67" i="19"/>
  <c r="U73" i="19"/>
  <c r="G82" i="19"/>
  <c r="U82" i="19"/>
  <c r="U102" i="19"/>
  <c r="N102" i="19"/>
  <c r="U78" i="19"/>
  <c r="G78" i="19"/>
  <c r="U75" i="19"/>
  <c r="G68" i="19"/>
  <c r="G74" i="19"/>
  <c r="U77" i="19"/>
  <c r="G77" i="19"/>
  <c r="U95" i="19"/>
  <c r="G95" i="19"/>
  <c r="U86" i="19"/>
  <c r="U90" i="19"/>
  <c r="U89" i="19"/>
  <c r="U106" i="19"/>
  <c r="G106" i="19"/>
  <c r="U98" i="19"/>
  <c r="G98" i="19"/>
  <c r="U93" i="19"/>
  <c r="U101" i="19"/>
  <c r="G111" i="19"/>
  <c r="U110" i="19"/>
  <c r="AV112" i="18"/>
  <c r="AT112" i="18"/>
  <c r="AR112" i="18"/>
  <c r="AQ112" i="18"/>
  <c r="AP112" i="18"/>
  <c r="AO112" i="18"/>
  <c r="AN112" i="18"/>
  <c r="L112" i="18"/>
  <c r="N112" i="18" s="1"/>
  <c r="E112" i="18"/>
  <c r="AV111" i="18"/>
  <c r="AT111" i="18"/>
  <c r="AR111" i="18"/>
  <c r="AQ111" i="18"/>
  <c r="AP111" i="18"/>
  <c r="AO111" i="18"/>
  <c r="AN111" i="18"/>
  <c r="N111" i="18"/>
  <c r="L111" i="18"/>
  <c r="G111" i="18"/>
  <c r="E111" i="18"/>
  <c r="U111" i="18" s="1"/>
  <c r="AV110" i="18"/>
  <c r="AT110" i="18"/>
  <c r="AR110" i="18"/>
  <c r="AQ110" i="18"/>
  <c r="AP110" i="18"/>
  <c r="AO110" i="18"/>
  <c r="AN110" i="18"/>
  <c r="N110" i="18"/>
  <c r="L110" i="18"/>
  <c r="G110" i="18"/>
  <c r="E110" i="18"/>
  <c r="U110" i="18" s="1"/>
  <c r="AV109" i="18"/>
  <c r="AT109" i="18"/>
  <c r="AR109" i="18"/>
  <c r="AQ109" i="18"/>
  <c r="AP109" i="18"/>
  <c r="AO109" i="18"/>
  <c r="AN109" i="18"/>
  <c r="U109" i="18"/>
  <c r="L109" i="18"/>
  <c r="N109" i="18" s="1"/>
  <c r="G109" i="18"/>
  <c r="E109" i="18"/>
  <c r="AV108" i="18"/>
  <c r="AT108" i="18"/>
  <c r="AR108" i="18"/>
  <c r="AQ108" i="18"/>
  <c r="AP108" i="18"/>
  <c r="AO108" i="18"/>
  <c r="AN108" i="18"/>
  <c r="L108" i="18"/>
  <c r="N108" i="18" s="1"/>
  <c r="G108" i="18"/>
  <c r="E108" i="18"/>
  <c r="U108" i="18" s="1"/>
  <c r="AV107" i="18"/>
  <c r="AT107" i="18"/>
  <c r="AR107" i="18"/>
  <c r="AQ107" i="18"/>
  <c r="AP107" i="18"/>
  <c r="AO107" i="18"/>
  <c r="AN107" i="18"/>
  <c r="L107" i="18"/>
  <c r="N107" i="18" s="1"/>
  <c r="E107" i="18"/>
  <c r="G107" i="18" s="1"/>
  <c r="AV106" i="18"/>
  <c r="AT106" i="18"/>
  <c r="AR106" i="18"/>
  <c r="AQ106" i="18"/>
  <c r="AP106" i="18"/>
  <c r="AO106" i="18"/>
  <c r="AN106" i="18"/>
  <c r="U106" i="18"/>
  <c r="L106" i="18"/>
  <c r="N106" i="18" s="1"/>
  <c r="E106" i="18"/>
  <c r="G106" i="18" s="1"/>
  <c r="AV105" i="18"/>
  <c r="AT105" i="18"/>
  <c r="AR105" i="18"/>
  <c r="AQ105" i="18"/>
  <c r="AP105" i="18"/>
  <c r="AO105" i="18"/>
  <c r="AN105" i="18"/>
  <c r="L105" i="18"/>
  <c r="N105" i="18" s="1"/>
  <c r="E105" i="18"/>
  <c r="AV104" i="18"/>
  <c r="AT104" i="18"/>
  <c r="AR104" i="18"/>
  <c r="AQ104" i="18"/>
  <c r="AP104" i="18"/>
  <c r="AO104" i="18"/>
  <c r="AN104" i="18"/>
  <c r="N104" i="18"/>
  <c r="L104" i="18"/>
  <c r="E104" i="18"/>
  <c r="AV103" i="18"/>
  <c r="AT103" i="18"/>
  <c r="AR103" i="18"/>
  <c r="AQ103" i="18"/>
  <c r="AP103" i="18"/>
  <c r="AO103" i="18"/>
  <c r="AN103" i="18"/>
  <c r="N103" i="18"/>
  <c r="L103" i="18"/>
  <c r="E103" i="18"/>
  <c r="AV102" i="18"/>
  <c r="AT102" i="18"/>
  <c r="AR102" i="18"/>
  <c r="AQ102" i="18"/>
  <c r="AP102" i="18"/>
  <c r="AO102" i="18"/>
  <c r="AN102" i="18"/>
  <c r="L102" i="18"/>
  <c r="N102" i="18" s="1"/>
  <c r="G102" i="18"/>
  <c r="E102" i="18"/>
  <c r="AV101" i="18"/>
  <c r="AT101" i="18"/>
  <c r="AR101" i="18"/>
  <c r="AQ101" i="18"/>
  <c r="AP101" i="18"/>
  <c r="AO101" i="18"/>
  <c r="AN101" i="18"/>
  <c r="U101" i="18"/>
  <c r="N101" i="18"/>
  <c r="L101" i="18"/>
  <c r="G101" i="18"/>
  <c r="E101" i="18"/>
  <c r="AV100" i="18"/>
  <c r="AT100" i="18"/>
  <c r="AR100" i="18"/>
  <c r="AQ100" i="18"/>
  <c r="AP100" i="18"/>
  <c r="AO100" i="18"/>
  <c r="AN100" i="18"/>
  <c r="L100" i="18"/>
  <c r="N100" i="18" s="1"/>
  <c r="G100" i="18"/>
  <c r="E100" i="18"/>
  <c r="AV99" i="18"/>
  <c r="AT99" i="18"/>
  <c r="AR99" i="18"/>
  <c r="AQ99" i="18"/>
  <c r="AP99" i="18"/>
  <c r="AO99" i="18"/>
  <c r="AN99" i="18"/>
  <c r="L99" i="18"/>
  <c r="N99" i="18" s="1"/>
  <c r="E99" i="18"/>
  <c r="G99" i="18" s="1"/>
  <c r="AV98" i="18"/>
  <c r="AT98" i="18"/>
  <c r="AR98" i="18"/>
  <c r="AQ98" i="18"/>
  <c r="AP98" i="18"/>
  <c r="AO98" i="18"/>
  <c r="AN98" i="18"/>
  <c r="L98" i="18"/>
  <c r="N98" i="18" s="1"/>
  <c r="E98" i="18"/>
  <c r="G98" i="18" s="1"/>
  <c r="AV97" i="18"/>
  <c r="AT97" i="18"/>
  <c r="AR97" i="18"/>
  <c r="AQ97" i="18"/>
  <c r="AP97" i="18"/>
  <c r="AO97" i="18"/>
  <c r="AN97" i="18"/>
  <c r="L97" i="18"/>
  <c r="N97" i="18" s="1"/>
  <c r="E97" i="18"/>
  <c r="G97" i="18" s="1"/>
  <c r="AV96" i="18"/>
  <c r="AT96" i="18"/>
  <c r="AR96" i="18"/>
  <c r="AQ96" i="18"/>
  <c r="AP96" i="18"/>
  <c r="AO96" i="18"/>
  <c r="AN96" i="18"/>
  <c r="L96" i="18"/>
  <c r="N96" i="18" s="1"/>
  <c r="E96" i="18"/>
  <c r="AV95" i="18"/>
  <c r="AT95" i="18"/>
  <c r="AR95" i="18"/>
  <c r="AQ95" i="18"/>
  <c r="AP95" i="18"/>
  <c r="AO95" i="18"/>
  <c r="AN95" i="18"/>
  <c r="L95" i="18"/>
  <c r="N95" i="18" s="1"/>
  <c r="E95" i="18"/>
  <c r="AV94" i="18"/>
  <c r="AT94" i="18"/>
  <c r="AR94" i="18"/>
  <c r="AQ94" i="18"/>
  <c r="AP94" i="18"/>
  <c r="AO94" i="18"/>
  <c r="AN94" i="18"/>
  <c r="L94" i="18"/>
  <c r="N94" i="18" s="1"/>
  <c r="E94" i="18"/>
  <c r="G94" i="18" s="1"/>
  <c r="AV93" i="18"/>
  <c r="AT93" i="18"/>
  <c r="AR93" i="18"/>
  <c r="AQ93" i="18"/>
  <c r="AP93" i="18"/>
  <c r="AO93" i="18"/>
  <c r="AN93" i="18"/>
  <c r="L93" i="18"/>
  <c r="N93" i="18" s="1"/>
  <c r="E93" i="18"/>
  <c r="G93" i="18" s="1"/>
  <c r="AV92" i="18"/>
  <c r="AT92" i="18"/>
  <c r="AR92" i="18"/>
  <c r="AQ92" i="18"/>
  <c r="AP92" i="18"/>
  <c r="AO92" i="18"/>
  <c r="AN92" i="18"/>
  <c r="L92" i="18"/>
  <c r="N92" i="18" s="1"/>
  <c r="E92" i="18"/>
  <c r="G92" i="18" s="1"/>
  <c r="AV91" i="18"/>
  <c r="AT91" i="18"/>
  <c r="AR91" i="18"/>
  <c r="AQ91" i="18"/>
  <c r="AP91" i="18"/>
  <c r="AO91" i="18"/>
  <c r="AN91" i="18"/>
  <c r="L91" i="18"/>
  <c r="U91" i="18" s="1"/>
  <c r="G91" i="18"/>
  <c r="E91" i="18"/>
  <c r="AV90" i="18"/>
  <c r="AT90" i="18"/>
  <c r="AR90" i="18"/>
  <c r="AQ90" i="18"/>
  <c r="AP90" i="18"/>
  <c r="AO90" i="18"/>
  <c r="AN90" i="18"/>
  <c r="L90" i="18"/>
  <c r="N90" i="18" s="1"/>
  <c r="E90" i="18"/>
  <c r="G90" i="18" s="1"/>
  <c r="AV89" i="18"/>
  <c r="AT89" i="18"/>
  <c r="AR89" i="18"/>
  <c r="AQ89" i="18"/>
  <c r="AP89" i="18"/>
  <c r="AO89" i="18"/>
  <c r="AN89" i="18"/>
  <c r="L89" i="18"/>
  <c r="N89" i="18" s="1"/>
  <c r="E89" i="18"/>
  <c r="G89" i="18" s="1"/>
  <c r="AV88" i="18"/>
  <c r="AT88" i="18"/>
  <c r="AR88" i="18"/>
  <c r="AQ88" i="18"/>
  <c r="AP88" i="18"/>
  <c r="AO88" i="18"/>
  <c r="AN88" i="18"/>
  <c r="L88" i="18"/>
  <c r="N88" i="18" s="1"/>
  <c r="E88" i="18"/>
  <c r="AV87" i="18"/>
  <c r="AT87" i="18"/>
  <c r="AR87" i="18"/>
  <c r="AQ87" i="18"/>
  <c r="AP87" i="18"/>
  <c r="AO87" i="18"/>
  <c r="AN87" i="18"/>
  <c r="N87" i="18"/>
  <c r="L87" i="18"/>
  <c r="E87" i="18"/>
  <c r="G87" i="18" s="1"/>
  <c r="AV86" i="18"/>
  <c r="AT86" i="18"/>
  <c r="AR86" i="18"/>
  <c r="AQ86" i="18"/>
  <c r="AP86" i="18"/>
  <c r="AO86" i="18"/>
  <c r="AN86" i="18"/>
  <c r="L86" i="18"/>
  <c r="N86" i="18" s="1"/>
  <c r="E86" i="18"/>
  <c r="AV85" i="18"/>
  <c r="AT85" i="18"/>
  <c r="AR85" i="18"/>
  <c r="AQ85" i="18"/>
  <c r="AP85" i="18"/>
  <c r="AO85" i="18"/>
  <c r="AN85" i="18"/>
  <c r="L85" i="18"/>
  <c r="N85" i="18" s="1"/>
  <c r="E85" i="18"/>
  <c r="AV84" i="18"/>
  <c r="AT84" i="18"/>
  <c r="AR84" i="18"/>
  <c r="AQ84" i="18"/>
  <c r="AP84" i="18"/>
  <c r="AO84" i="18"/>
  <c r="AN84" i="18"/>
  <c r="L84" i="18"/>
  <c r="N84" i="18" s="1"/>
  <c r="E84" i="18"/>
  <c r="G84" i="18" s="1"/>
  <c r="AV83" i="18"/>
  <c r="AT83" i="18"/>
  <c r="AR83" i="18"/>
  <c r="AQ83" i="18"/>
  <c r="AP83" i="18"/>
  <c r="AO83" i="18"/>
  <c r="AN83" i="18"/>
  <c r="L83" i="18"/>
  <c r="N83" i="18" s="1"/>
  <c r="E83" i="18"/>
  <c r="G83" i="18" s="1"/>
  <c r="AV82" i="18"/>
  <c r="AT82" i="18"/>
  <c r="AR82" i="18"/>
  <c r="AQ82" i="18"/>
  <c r="AP82" i="18"/>
  <c r="AO82" i="18"/>
  <c r="AN82" i="18"/>
  <c r="L82" i="18"/>
  <c r="E82" i="18"/>
  <c r="G82" i="18" s="1"/>
  <c r="AV81" i="18"/>
  <c r="AT81" i="18"/>
  <c r="AR81" i="18"/>
  <c r="AQ81" i="18"/>
  <c r="AP81" i="18"/>
  <c r="AO81" i="18"/>
  <c r="AN81" i="18"/>
  <c r="L81" i="18"/>
  <c r="N81" i="18" s="1"/>
  <c r="E81" i="18"/>
  <c r="AV80" i="18"/>
  <c r="AT80" i="18"/>
  <c r="AR80" i="18"/>
  <c r="AQ80" i="18"/>
  <c r="AP80" i="18"/>
  <c r="AO80" i="18"/>
  <c r="AN80" i="18"/>
  <c r="N80" i="18"/>
  <c r="L80" i="18"/>
  <c r="E80" i="18"/>
  <c r="AV79" i="18"/>
  <c r="AT79" i="18"/>
  <c r="AR79" i="18"/>
  <c r="AQ79" i="18"/>
  <c r="AP79" i="18"/>
  <c r="AO79" i="18"/>
  <c r="AN79" i="18"/>
  <c r="L79" i="18"/>
  <c r="N79" i="18" s="1"/>
  <c r="E79" i="18"/>
  <c r="G79" i="18" s="1"/>
  <c r="AV78" i="18"/>
  <c r="AT78" i="18"/>
  <c r="AR78" i="18"/>
  <c r="AQ78" i="18"/>
  <c r="AP78" i="18"/>
  <c r="AO78" i="18"/>
  <c r="AN78" i="18"/>
  <c r="L78" i="18"/>
  <c r="N78" i="18" s="1"/>
  <c r="E78" i="18"/>
  <c r="G78" i="18" s="1"/>
  <c r="AV77" i="18"/>
  <c r="AT77" i="18"/>
  <c r="AR77" i="18"/>
  <c r="AQ77" i="18"/>
  <c r="AP77" i="18"/>
  <c r="AO77" i="18"/>
  <c r="AN77" i="18"/>
  <c r="L77" i="18"/>
  <c r="N77" i="18" s="1"/>
  <c r="E77" i="18"/>
  <c r="AV76" i="18"/>
  <c r="AT76" i="18"/>
  <c r="AR76" i="18"/>
  <c r="AQ76" i="18"/>
  <c r="AP76" i="18"/>
  <c r="AO76" i="18"/>
  <c r="AN76" i="18"/>
  <c r="L76" i="18"/>
  <c r="N76" i="18" s="1"/>
  <c r="E76" i="18"/>
  <c r="G76" i="18" s="1"/>
  <c r="AV75" i="18"/>
  <c r="AT75" i="18"/>
  <c r="AR75" i="18"/>
  <c r="AQ75" i="18"/>
  <c r="AP75" i="18"/>
  <c r="AO75" i="18"/>
  <c r="AN75" i="18"/>
  <c r="L75" i="18"/>
  <c r="N75" i="18" s="1"/>
  <c r="E75" i="18"/>
  <c r="G75" i="18" s="1"/>
  <c r="AV74" i="18"/>
  <c r="AT74" i="18"/>
  <c r="AR74" i="18"/>
  <c r="AQ74" i="18"/>
  <c r="AP74" i="18"/>
  <c r="AO74" i="18"/>
  <c r="AN74" i="18"/>
  <c r="L74" i="18"/>
  <c r="E74" i="18"/>
  <c r="G74" i="18" s="1"/>
  <c r="AV73" i="18"/>
  <c r="AT73" i="18"/>
  <c r="AR73" i="18"/>
  <c r="AQ73" i="18"/>
  <c r="AP73" i="18"/>
  <c r="AO73" i="18"/>
  <c r="AN73" i="18"/>
  <c r="L73" i="18"/>
  <c r="N73" i="18" s="1"/>
  <c r="E73" i="18"/>
  <c r="AV72" i="18"/>
  <c r="AT72" i="18"/>
  <c r="AR72" i="18"/>
  <c r="AQ72" i="18"/>
  <c r="AP72" i="18"/>
  <c r="AO72" i="18"/>
  <c r="AN72" i="18"/>
  <c r="N72" i="18"/>
  <c r="L72" i="18"/>
  <c r="E72" i="18"/>
  <c r="AV71" i="18"/>
  <c r="AT71" i="18"/>
  <c r="AR71" i="18"/>
  <c r="AQ71" i="18"/>
  <c r="AP71" i="18"/>
  <c r="AO71" i="18"/>
  <c r="AN71" i="18"/>
  <c r="L71" i="18"/>
  <c r="N71" i="18" s="1"/>
  <c r="E71" i="18"/>
  <c r="U71" i="18" s="1"/>
  <c r="AV70" i="18"/>
  <c r="AT70" i="18"/>
  <c r="AR70" i="18"/>
  <c r="AQ70" i="18"/>
  <c r="AP70" i="18"/>
  <c r="AO70" i="18"/>
  <c r="AN70" i="18"/>
  <c r="L70" i="18"/>
  <c r="N70" i="18" s="1"/>
  <c r="E70" i="18"/>
  <c r="AV69" i="18"/>
  <c r="AT69" i="18"/>
  <c r="AR69" i="18"/>
  <c r="AQ69" i="18"/>
  <c r="AP69" i="18"/>
  <c r="AO69" i="18"/>
  <c r="AN69" i="18"/>
  <c r="L69" i="18"/>
  <c r="N69" i="18" s="1"/>
  <c r="E69" i="18"/>
  <c r="AV68" i="18"/>
  <c r="AT68" i="18"/>
  <c r="AR68" i="18"/>
  <c r="AQ68" i="18"/>
  <c r="AP68" i="18"/>
  <c r="AO68" i="18"/>
  <c r="AN68" i="18"/>
  <c r="L68" i="18"/>
  <c r="N68" i="18" s="1"/>
  <c r="E68" i="18"/>
  <c r="G68" i="18" s="1"/>
  <c r="AV67" i="18"/>
  <c r="AT67" i="18"/>
  <c r="AR67" i="18"/>
  <c r="AQ67" i="18"/>
  <c r="AP67" i="18"/>
  <c r="AO67" i="18"/>
  <c r="AN67" i="18"/>
  <c r="L67" i="18"/>
  <c r="E67" i="18"/>
  <c r="G67" i="18" s="1"/>
  <c r="AV66" i="18"/>
  <c r="AT66" i="18"/>
  <c r="AR66" i="18"/>
  <c r="AQ66" i="18"/>
  <c r="AP66" i="18"/>
  <c r="AO66" i="18"/>
  <c r="AN66" i="18"/>
  <c r="L66" i="18"/>
  <c r="N66" i="18" s="1"/>
  <c r="E66" i="18"/>
  <c r="G66" i="18" s="1"/>
  <c r="AV65" i="18"/>
  <c r="AT65" i="18"/>
  <c r="AR65" i="18"/>
  <c r="AQ65" i="18"/>
  <c r="AP65" i="18"/>
  <c r="AO65" i="18"/>
  <c r="AN65" i="18"/>
  <c r="N65" i="18"/>
  <c r="L65" i="18"/>
  <c r="E65" i="18"/>
  <c r="AV64" i="18"/>
  <c r="AT64" i="18"/>
  <c r="AR64" i="18"/>
  <c r="AQ64" i="18"/>
  <c r="AP64" i="18"/>
  <c r="AO64" i="18"/>
  <c r="AN64" i="18"/>
  <c r="L64" i="18"/>
  <c r="N64" i="18" s="1"/>
  <c r="E64" i="18"/>
  <c r="AV63" i="18"/>
  <c r="AT63" i="18"/>
  <c r="AR63" i="18"/>
  <c r="AQ63" i="18"/>
  <c r="AP63" i="18"/>
  <c r="AO63" i="18"/>
  <c r="AN63" i="18"/>
  <c r="N63" i="18"/>
  <c r="L63" i="18"/>
  <c r="U63" i="18" s="1"/>
  <c r="G63" i="18"/>
  <c r="E63" i="18"/>
  <c r="AV62" i="18"/>
  <c r="AT62" i="18"/>
  <c r="AR62" i="18"/>
  <c r="AQ62" i="18"/>
  <c r="AP62" i="18"/>
  <c r="AO62" i="18"/>
  <c r="AN62" i="18"/>
  <c r="L62" i="18"/>
  <c r="N62" i="18" s="1"/>
  <c r="G62" i="18"/>
  <c r="E62" i="18"/>
  <c r="AV61" i="18"/>
  <c r="AT61" i="18"/>
  <c r="AR61" i="18"/>
  <c r="AQ61" i="18"/>
  <c r="AP61" i="18"/>
  <c r="AO61" i="18"/>
  <c r="AN61" i="18"/>
  <c r="U61" i="18"/>
  <c r="N61" i="18"/>
  <c r="L61" i="18"/>
  <c r="E61" i="18"/>
  <c r="G61" i="18" s="1"/>
  <c r="AV60" i="18"/>
  <c r="AT60" i="18"/>
  <c r="AR60" i="18"/>
  <c r="AQ60" i="18"/>
  <c r="AP60" i="18"/>
  <c r="AO60" i="18"/>
  <c r="AN60" i="18"/>
  <c r="U60" i="18"/>
  <c r="N60" i="18"/>
  <c r="L60" i="18"/>
  <c r="G60" i="18"/>
  <c r="E60" i="18"/>
  <c r="AV59" i="18"/>
  <c r="AT59" i="18"/>
  <c r="AR59" i="18"/>
  <c r="AQ59" i="18"/>
  <c r="AP59" i="18"/>
  <c r="AO59" i="18"/>
  <c r="AN59" i="18"/>
  <c r="L59" i="18"/>
  <c r="N59" i="18" s="1"/>
  <c r="E59" i="18"/>
  <c r="AV58" i="18"/>
  <c r="AT58" i="18"/>
  <c r="AR58" i="18"/>
  <c r="AQ58" i="18"/>
  <c r="AP58" i="18"/>
  <c r="AO58" i="18"/>
  <c r="AN58" i="18"/>
  <c r="U58" i="18"/>
  <c r="N58" i="18"/>
  <c r="L58" i="18"/>
  <c r="E58" i="18"/>
  <c r="G58" i="18" s="1"/>
  <c r="AV57" i="18"/>
  <c r="AT57" i="18"/>
  <c r="AR57" i="18"/>
  <c r="AQ57" i="18"/>
  <c r="AP57" i="18"/>
  <c r="AO57" i="18"/>
  <c r="AN57" i="18"/>
  <c r="N57" i="18"/>
  <c r="L57" i="18"/>
  <c r="E57" i="18"/>
  <c r="AV56" i="18"/>
  <c r="AT56" i="18"/>
  <c r="AR56" i="18"/>
  <c r="AQ56" i="18"/>
  <c r="AP56" i="18"/>
  <c r="AO56" i="18"/>
  <c r="AN56" i="18"/>
  <c r="N56" i="18"/>
  <c r="L56" i="18"/>
  <c r="E56" i="18"/>
  <c r="AV55" i="18"/>
  <c r="AT55" i="18"/>
  <c r="AR55" i="18"/>
  <c r="AQ55" i="18"/>
  <c r="AP55" i="18"/>
  <c r="AO55" i="18"/>
  <c r="AN55" i="18"/>
  <c r="N55" i="18"/>
  <c r="L55" i="18"/>
  <c r="U55" i="18" s="1"/>
  <c r="G55" i="18"/>
  <c r="E55" i="18"/>
  <c r="AV54" i="18"/>
  <c r="AT54" i="18"/>
  <c r="AR54" i="18"/>
  <c r="AQ54" i="18"/>
  <c r="AP54" i="18"/>
  <c r="AO54" i="18"/>
  <c r="AN54" i="18"/>
  <c r="U54" i="18"/>
  <c r="L54" i="18"/>
  <c r="N54" i="18" s="1"/>
  <c r="E54" i="18"/>
  <c r="G54" i="18" s="1"/>
  <c r="AV53" i="18"/>
  <c r="AT53" i="18"/>
  <c r="AR53" i="18"/>
  <c r="AQ53" i="18"/>
  <c r="AP53" i="18"/>
  <c r="AO53" i="18"/>
  <c r="AN53" i="18"/>
  <c r="L53" i="18"/>
  <c r="N53" i="18" s="1"/>
  <c r="G53" i="18"/>
  <c r="E53" i="18"/>
  <c r="U53" i="18" s="1"/>
  <c r="AV52" i="18"/>
  <c r="AT52" i="18"/>
  <c r="AR52" i="18"/>
  <c r="AQ52" i="18"/>
  <c r="AP52" i="18"/>
  <c r="AO52" i="18"/>
  <c r="AN52" i="18"/>
  <c r="N52" i="18"/>
  <c r="L52" i="18"/>
  <c r="E52" i="18"/>
  <c r="AV51" i="18"/>
  <c r="AT51" i="18"/>
  <c r="AR51" i="18"/>
  <c r="AQ51" i="18"/>
  <c r="AP51" i="18"/>
  <c r="AO51" i="18"/>
  <c r="AN51" i="18"/>
  <c r="L51" i="18"/>
  <c r="N51" i="18" s="1"/>
  <c r="G51" i="18"/>
  <c r="E51" i="18"/>
  <c r="BB50" i="18"/>
  <c r="AV50" i="18"/>
  <c r="AT50" i="18"/>
  <c r="AR50" i="18"/>
  <c r="AQ50" i="18"/>
  <c r="AP50" i="18"/>
  <c r="AO50" i="18"/>
  <c r="AN50" i="18"/>
  <c r="L50" i="18"/>
  <c r="N50" i="18" s="1"/>
  <c r="G50" i="18"/>
  <c r="E50" i="18"/>
  <c r="BD49" i="18"/>
  <c r="AV49" i="18"/>
  <c r="AT49" i="18"/>
  <c r="AR49" i="18"/>
  <c r="AQ49" i="18"/>
  <c r="AP49" i="18"/>
  <c r="AO49" i="18"/>
  <c r="AN49" i="18"/>
  <c r="L49" i="18"/>
  <c r="N49" i="18" s="1"/>
  <c r="G49" i="18"/>
  <c r="E49" i="18"/>
  <c r="U49" i="18" s="1"/>
  <c r="AV48" i="18"/>
  <c r="AT48" i="18"/>
  <c r="AR48" i="18"/>
  <c r="AQ48" i="18"/>
  <c r="AP48" i="18"/>
  <c r="AO48" i="18"/>
  <c r="AN48" i="18"/>
  <c r="L48" i="18"/>
  <c r="N48" i="18" s="1"/>
  <c r="E48" i="18"/>
  <c r="BB47" i="18"/>
  <c r="AV47" i="18"/>
  <c r="AT47" i="18"/>
  <c r="AR47" i="18"/>
  <c r="AQ47" i="18"/>
  <c r="AP47" i="18"/>
  <c r="AO47" i="18"/>
  <c r="AN47" i="18"/>
  <c r="L47" i="18"/>
  <c r="N47" i="18" s="1"/>
  <c r="E47" i="18"/>
  <c r="BB46" i="18"/>
  <c r="AV46" i="18"/>
  <c r="AT46" i="18"/>
  <c r="AR46" i="18"/>
  <c r="AQ46" i="18"/>
  <c r="AP46" i="18"/>
  <c r="AO46" i="18"/>
  <c r="AN46" i="18"/>
  <c r="U46" i="18"/>
  <c r="N46" i="18"/>
  <c r="L46" i="18"/>
  <c r="G46" i="18"/>
  <c r="E46" i="18"/>
  <c r="AV45" i="18"/>
  <c r="AT45" i="18"/>
  <c r="AR45" i="18"/>
  <c r="AQ45" i="18"/>
  <c r="AP45" i="18"/>
  <c r="AO45" i="18"/>
  <c r="AN45" i="18"/>
  <c r="L45" i="18"/>
  <c r="N45" i="18" s="1"/>
  <c r="G45" i="18"/>
  <c r="E45" i="18"/>
  <c r="U45" i="18" s="1"/>
  <c r="AV44" i="18"/>
  <c r="AT44" i="18"/>
  <c r="AR44" i="18"/>
  <c r="AQ44" i="18"/>
  <c r="AP44" i="18"/>
  <c r="AO44" i="18"/>
  <c r="AN44" i="18"/>
  <c r="L44" i="18"/>
  <c r="N44" i="18" s="1"/>
  <c r="E44" i="18"/>
  <c r="AV43" i="18"/>
  <c r="AT43" i="18"/>
  <c r="AR43" i="18"/>
  <c r="AQ43" i="18"/>
  <c r="AP43" i="18"/>
  <c r="AO43" i="18"/>
  <c r="AN43" i="18"/>
  <c r="L43" i="18"/>
  <c r="N43" i="18" s="1"/>
  <c r="E43" i="18"/>
  <c r="G43" i="18" s="1"/>
  <c r="AV42" i="18"/>
  <c r="AT42" i="18"/>
  <c r="AR42" i="18"/>
  <c r="AQ42" i="18"/>
  <c r="AP42" i="18"/>
  <c r="AO42" i="18"/>
  <c r="AN42" i="18"/>
  <c r="N42" i="18"/>
  <c r="L42" i="18"/>
  <c r="E42" i="18"/>
  <c r="AV41" i="18"/>
  <c r="AT41" i="18"/>
  <c r="AR41" i="18"/>
  <c r="AQ41" i="18"/>
  <c r="AP41" i="18"/>
  <c r="AO41" i="18"/>
  <c r="AN41" i="18"/>
  <c r="L41" i="18"/>
  <c r="N41" i="18" s="1"/>
  <c r="G41" i="18"/>
  <c r="E41" i="18"/>
  <c r="AV40" i="18"/>
  <c r="AT40" i="18"/>
  <c r="AR40" i="18"/>
  <c r="AQ40" i="18"/>
  <c r="AP40" i="18"/>
  <c r="AO40" i="18"/>
  <c r="AN40" i="18"/>
  <c r="L40" i="18"/>
  <c r="N40" i="18" s="1"/>
  <c r="G40" i="18"/>
  <c r="E40" i="18"/>
  <c r="AV39" i="18"/>
  <c r="AT39" i="18"/>
  <c r="AR39" i="18"/>
  <c r="AQ39" i="18"/>
  <c r="AP39" i="18"/>
  <c r="AO39" i="18"/>
  <c r="AN39" i="18"/>
  <c r="N39" i="18"/>
  <c r="L39" i="18"/>
  <c r="G39" i="18"/>
  <c r="E39" i="18"/>
  <c r="AV38" i="18"/>
  <c r="AT38" i="18"/>
  <c r="AR38" i="18"/>
  <c r="AQ38" i="18"/>
  <c r="AP38" i="18"/>
  <c r="AO38" i="18"/>
  <c r="AN38" i="18"/>
  <c r="L38" i="18"/>
  <c r="N38" i="18" s="1"/>
  <c r="E38" i="18"/>
  <c r="G38" i="18" s="1"/>
  <c r="AV37" i="18"/>
  <c r="AT37" i="18"/>
  <c r="AR37" i="18"/>
  <c r="AQ37" i="18"/>
  <c r="AP37" i="18"/>
  <c r="AO37" i="18"/>
  <c r="AN37" i="18"/>
  <c r="U37" i="18"/>
  <c r="L37" i="18"/>
  <c r="N37" i="18" s="1"/>
  <c r="E37" i="18"/>
  <c r="G37" i="18" s="1"/>
  <c r="AV36" i="18"/>
  <c r="AT36" i="18"/>
  <c r="AR36" i="18"/>
  <c r="AQ36" i="18"/>
  <c r="AP36" i="18"/>
  <c r="AO36" i="18"/>
  <c r="AN36" i="18"/>
  <c r="L36" i="18"/>
  <c r="N36" i="18" s="1"/>
  <c r="E36" i="18"/>
  <c r="U36" i="18" s="1"/>
  <c r="AV35" i="18"/>
  <c r="AT35" i="18"/>
  <c r="AR35" i="18"/>
  <c r="AQ35" i="18"/>
  <c r="AP35" i="18"/>
  <c r="AO35" i="18"/>
  <c r="AN35" i="18"/>
  <c r="L35" i="18"/>
  <c r="N35" i="18" s="1"/>
  <c r="E35" i="18"/>
  <c r="G35" i="18" s="1"/>
  <c r="AV34" i="18"/>
  <c r="AT34" i="18"/>
  <c r="AR34" i="18"/>
  <c r="AQ34" i="18"/>
  <c r="AP34" i="18"/>
  <c r="AO34" i="18"/>
  <c r="AN34" i="18"/>
  <c r="L34" i="18"/>
  <c r="N34" i="18" s="1"/>
  <c r="E34" i="18"/>
  <c r="U34" i="18" s="1"/>
  <c r="AV33" i="18"/>
  <c r="AT33" i="18"/>
  <c r="AR33" i="18"/>
  <c r="AQ33" i="18"/>
  <c r="AP33" i="18"/>
  <c r="AO33" i="18"/>
  <c r="AN33" i="18"/>
  <c r="U33" i="18"/>
  <c r="L33" i="18"/>
  <c r="N33" i="18" s="1"/>
  <c r="E33" i="18"/>
  <c r="G33" i="18" s="1"/>
  <c r="AV32" i="18"/>
  <c r="AT32" i="18"/>
  <c r="AR32" i="18"/>
  <c r="AQ32" i="18"/>
  <c r="AP32" i="18"/>
  <c r="AO32" i="18"/>
  <c r="AN32" i="18"/>
  <c r="L32" i="18"/>
  <c r="N32" i="18" s="1"/>
  <c r="E32" i="18"/>
  <c r="AV31" i="18"/>
  <c r="AT31" i="18"/>
  <c r="AR31" i="18"/>
  <c r="AQ31" i="18"/>
  <c r="AP31" i="18"/>
  <c r="AO31" i="18"/>
  <c r="AN31" i="18"/>
  <c r="L31" i="18"/>
  <c r="N31" i="18" s="1"/>
  <c r="E31" i="18"/>
  <c r="G31" i="18" s="1"/>
  <c r="AV30" i="18"/>
  <c r="AT30" i="18"/>
  <c r="AR30" i="18"/>
  <c r="AQ30" i="18"/>
  <c r="AP30" i="18"/>
  <c r="AO30" i="18"/>
  <c r="AN30" i="18"/>
  <c r="L30" i="18"/>
  <c r="N30" i="18" s="1"/>
  <c r="E30" i="18"/>
  <c r="AV29" i="18"/>
  <c r="AT29" i="18"/>
  <c r="AR29" i="18"/>
  <c r="AQ29" i="18"/>
  <c r="AP29" i="18"/>
  <c r="AO29" i="18"/>
  <c r="AN29" i="18"/>
  <c r="L29" i="18"/>
  <c r="E29" i="18"/>
  <c r="G29" i="18" s="1"/>
  <c r="AV28" i="18"/>
  <c r="AT28" i="18"/>
  <c r="AR28" i="18"/>
  <c r="AQ28" i="18"/>
  <c r="AP28" i="18"/>
  <c r="AO28" i="18"/>
  <c r="AN28" i="18"/>
  <c r="U28" i="18"/>
  <c r="L28" i="18"/>
  <c r="N28" i="18" s="1"/>
  <c r="E28" i="18"/>
  <c r="G28" i="18" s="1"/>
  <c r="AV27" i="18"/>
  <c r="AT27" i="18"/>
  <c r="AR27" i="18"/>
  <c r="AQ27" i="18"/>
  <c r="AP27" i="18"/>
  <c r="AO27" i="18"/>
  <c r="AN27" i="18"/>
  <c r="U27" i="18"/>
  <c r="L27" i="18"/>
  <c r="N27" i="18" s="1"/>
  <c r="E27" i="18"/>
  <c r="G27" i="18" s="1"/>
  <c r="AV26" i="18"/>
  <c r="AT26" i="18"/>
  <c r="AR26" i="18"/>
  <c r="AQ26" i="18"/>
  <c r="AP26" i="18"/>
  <c r="AO26" i="18"/>
  <c r="AN26" i="18"/>
  <c r="L26" i="18"/>
  <c r="N26" i="18" s="1"/>
  <c r="G26" i="18"/>
  <c r="E26" i="18"/>
  <c r="AV25" i="18"/>
  <c r="AT25" i="18"/>
  <c r="AR25" i="18"/>
  <c r="AQ25" i="18"/>
  <c r="AP25" i="18"/>
  <c r="AO25" i="18"/>
  <c r="AN25" i="18"/>
  <c r="N25" i="18"/>
  <c r="L25" i="18"/>
  <c r="E25" i="18"/>
  <c r="G25" i="18" s="1"/>
  <c r="AV24" i="18"/>
  <c r="AT24" i="18"/>
  <c r="AR24" i="18"/>
  <c r="AQ24" i="18"/>
  <c r="AP24" i="18"/>
  <c r="AO24" i="18"/>
  <c r="AN24" i="18"/>
  <c r="L24" i="18"/>
  <c r="N24" i="18" s="1"/>
  <c r="E24" i="18"/>
  <c r="U24" i="18" s="1"/>
  <c r="AV23" i="18"/>
  <c r="AT23" i="18"/>
  <c r="AR23" i="18"/>
  <c r="AQ23" i="18"/>
  <c r="AP23" i="18"/>
  <c r="AO23" i="18"/>
  <c r="AN23" i="18"/>
  <c r="L23" i="18"/>
  <c r="N23" i="18" s="1"/>
  <c r="E23" i="18"/>
  <c r="G23" i="18" s="1"/>
  <c r="AV22" i="18"/>
  <c r="AT22" i="18"/>
  <c r="AR22" i="18"/>
  <c r="AQ22" i="18"/>
  <c r="AP22" i="18"/>
  <c r="AO22" i="18"/>
  <c r="AN22" i="18"/>
  <c r="L22" i="18"/>
  <c r="N22" i="18" s="1"/>
  <c r="E22" i="18"/>
  <c r="G22" i="18" s="1"/>
  <c r="AV21" i="18"/>
  <c r="AT21" i="18"/>
  <c r="AR21" i="18"/>
  <c r="AQ21" i="18"/>
  <c r="AP21" i="18"/>
  <c r="AO21" i="18"/>
  <c r="AN21" i="18"/>
  <c r="N21" i="18"/>
  <c r="L21" i="18"/>
  <c r="E21" i="18"/>
  <c r="U21" i="18" s="1"/>
  <c r="AV20" i="18"/>
  <c r="AT20" i="18"/>
  <c r="AR20" i="18"/>
  <c r="AQ20" i="18"/>
  <c r="AP20" i="18"/>
  <c r="AO20" i="18"/>
  <c r="AN20" i="18"/>
  <c r="N20" i="18"/>
  <c r="L20" i="18"/>
  <c r="E20" i="18"/>
  <c r="G20" i="18" s="1"/>
  <c r="AV19" i="18"/>
  <c r="AT19" i="18"/>
  <c r="AR19" i="18"/>
  <c r="AQ19" i="18"/>
  <c r="AP19" i="18"/>
  <c r="AO19" i="18"/>
  <c r="AN19" i="18"/>
  <c r="U19" i="18"/>
  <c r="L19" i="18"/>
  <c r="N19" i="18" s="1"/>
  <c r="G19" i="18"/>
  <c r="E19" i="18"/>
  <c r="AV18" i="18"/>
  <c r="AT18" i="18"/>
  <c r="AR18" i="18"/>
  <c r="AQ18" i="18"/>
  <c r="AP18" i="18"/>
  <c r="AO18" i="18"/>
  <c r="AN18" i="18"/>
  <c r="L18" i="18"/>
  <c r="N18" i="18" s="1"/>
  <c r="G18" i="18"/>
  <c r="E18" i="18"/>
  <c r="AV17" i="18"/>
  <c r="AT17" i="18"/>
  <c r="AR17" i="18"/>
  <c r="AQ17" i="18"/>
  <c r="AP17" i="18"/>
  <c r="AO17" i="18"/>
  <c r="AN17" i="18"/>
  <c r="U17" i="18"/>
  <c r="N17" i="18"/>
  <c r="L17" i="18"/>
  <c r="E17" i="18"/>
  <c r="G17" i="18" s="1"/>
  <c r="AV16" i="18"/>
  <c r="AT16" i="18"/>
  <c r="AR16" i="18"/>
  <c r="AQ16" i="18"/>
  <c r="AP16" i="18"/>
  <c r="AO16" i="18"/>
  <c r="AN16" i="18"/>
  <c r="L16" i="18"/>
  <c r="N16" i="18" s="1"/>
  <c r="G16" i="18"/>
  <c r="E16" i="18"/>
  <c r="U16" i="18" s="1"/>
  <c r="AV15" i="18"/>
  <c r="AT15" i="18"/>
  <c r="AR15" i="18"/>
  <c r="AQ15" i="18"/>
  <c r="AP15" i="18"/>
  <c r="AO15" i="18"/>
  <c r="AN15" i="18"/>
  <c r="L15" i="18"/>
  <c r="N15" i="18" s="1"/>
  <c r="E15" i="18"/>
  <c r="G15" i="18" s="1"/>
  <c r="AV14" i="18"/>
  <c r="AT14" i="18"/>
  <c r="AR14" i="18"/>
  <c r="AQ14" i="18"/>
  <c r="AP14" i="18"/>
  <c r="AO14" i="18"/>
  <c r="AN14" i="18"/>
  <c r="L14" i="18"/>
  <c r="N14" i="18" s="1"/>
  <c r="E14" i="18"/>
  <c r="G14" i="18" s="1"/>
  <c r="AV13" i="18"/>
  <c r="AT13" i="18"/>
  <c r="AR13" i="18"/>
  <c r="AQ13" i="18"/>
  <c r="AP13" i="18"/>
  <c r="AO13" i="18"/>
  <c r="AN13" i="18"/>
  <c r="N13" i="18"/>
  <c r="L13" i="18"/>
  <c r="E13" i="18"/>
  <c r="U13" i="18" s="1"/>
  <c r="AV12" i="18"/>
  <c r="AT12" i="18"/>
  <c r="AR12" i="18"/>
  <c r="AQ12" i="18"/>
  <c r="AP12" i="18"/>
  <c r="AO12" i="18"/>
  <c r="AN12" i="18"/>
  <c r="U12" i="18"/>
  <c r="N12" i="18"/>
  <c r="L12" i="18"/>
  <c r="E12" i="18"/>
  <c r="G12" i="18" s="1"/>
  <c r="AV11" i="18"/>
  <c r="AT11" i="18"/>
  <c r="AR11" i="18"/>
  <c r="AQ11" i="18"/>
  <c r="AP11" i="18"/>
  <c r="AO11" i="18"/>
  <c r="AN11" i="18"/>
  <c r="U11" i="18"/>
  <c r="L11" i="18"/>
  <c r="N11" i="18" s="1"/>
  <c r="G11" i="18"/>
  <c r="E11" i="18"/>
  <c r="AV10" i="18"/>
  <c r="AT10" i="18"/>
  <c r="AR10" i="18"/>
  <c r="AQ10" i="18"/>
  <c r="AP10" i="18"/>
  <c r="AO10" i="18"/>
  <c r="AN10" i="18"/>
  <c r="L10" i="18"/>
  <c r="N10" i="18" s="1"/>
  <c r="G10" i="18"/>
  <c r="E10" i="18"/>
  <c r="AV9" i="18"/>
  <c r="AT9" i="18"/>
  <c r="AR9" i="18"/>
  <c r="AQ9" i="18"/>
  <c r="AP9" i="18"/>
  <c r="AO9" i="18"/>
  <c r="AN9" i="18"/>
  <c r="N9" i="18"/>
  <c r="L9" i="18"/>
  <c r="E9" i="18"/>
  <c r="G9" i="18" s="1"/>
  <c r="AV8" i="18"/>
  <c r="AT8" i="18"/>
  <c r="AR8" i="18"/>
  <c r="AQ8" i="18"/>
  <c r="AP8" i="18"/>
  <c r="AO8" i="18"/>
  <c r="AN8" i="18"/>
  <c r="U8" i="18"/>
  <c r="N8" i="18"/>
  <c r="L8" i="18"/>
  <c r="G8" i="18"/>
  <c r="E8" i="18"/>
  <c r="AV7" i="18"/>
  <c r="AT7" i="18"/>
  <c r="AR7" i="18"/>
  <c r="AQ7" i="18"/>
  <c r="AP7" i="18"/>
  <c r="AO7" i="18"/>
  <c r="AN7" i="18"/>
  <c r="U7" i="18"/>
  <c r="L7" i="18"/>
  <c r="N7" i="18" s="1"/>
  <c r="E7" i="18"/>
  <c r="G7" i="18" s="1"/>
  <c r="AV6" i="18"/>
  <c r="AT6" i="18"/>
  <c r="AR6" i="18"/>
  <c r="AQ6" i="18"/>
  <c r="AP6" i="18"/>
  <c r="AO6" i="18"/>
  <c r="AN6" i="18"/>
  <c r="L6" i="18"/>
  <c r="N6" i="18" s="1"/>
  <c r="E6" i="18"/>
  <c r="G6" i="18" s="1"/>
  <c r="AV5" i="18"/>
  <c r="AT5" i="18"/>
  <c r="AR5" i="18"/>
  <c r="AQ5" i="18"/>
  <c r="AP5" i="18"/>
  <c r="AO5" i="18"/>
  <c r="AN5" i="18"/>
  <c r="N5" i="18"/>
  <c r="L5" i="18"/>
  <c r="E5" i="18"/>
  <c r="U5" i="18" s="1"/>
  <c r="AV4" i="18"/>
  <c r="AT4" i="18"/>
  <c r="AR4" i="18"/>
  <c r="AQ4" i="18"/>
  <c r="AP4" i="18"/>
  <c r="AO4" i="18"/>
  <c r="AN4" i="18"/>
  <c r="N4" i="18"/>
  <c r="L4" i="18"/>
  <c r="E4" i="18"/>
  <c r="U4" i="18" s="1"/>
  <c r="AV3" i="18"/>
  <c r="AT3" i="18"/>
  <c r="AR3" i="18"/>
  <c r="AQ3" i="18"/>
  <c r="AP3" i="18"/>
  <c r="AO3" i="18"/>
  <c r="AN3" i="18"/>
  <c r="AA3" i="18"/>
  <c r="U3" i="18"/>
  <c r="W3" i="18" s="1"/>
  <c r="N3" i="18"/>
  <c r="L3" i="18"/>
  <c r="M3" i="18" s="1"/>
  <c r="G3" i="18"/>
  <c r="F3" i="18"/>
  <c r="E3" i="18"/>
  <c r="A3" i="18"/>
  <c r="AV112" i="17"/>
  <c r="AT112" i="17"/>
  <c r="AR112" i="17"/>
  <c r="AQ112" i="17"/>
  <c r="AP112" i="17"/>
  <c r="AO112" i="17"/>
  <c r="AN112" i="17"/>
  <c r="U112" i="17"/>
  <c r="L112" i="17"/>
  <c r="N112" i="17" s="1"/>
  <c r="G112" i="17"/>
  <c r="E112" i="17"/>
  <c r="AV111" i="17"/>
  <c r="AT111" i="17"/>
  <c r="AR111" i="17"/>
  <c r="AQ111" i="17"/>
  <c r="AP111" i="17"/>
  <c r="AO111" i="17"/>
  <c r="AN111" i="17"/>
  <c r="L111" i="17"/>
  <c r="N111" i="17" s="1"/>
  <c r="E111" i="17"/>
  <c r="AV110" i="17"/>
  <c r="AT110" i="17"/>
  <c r="AR110" i="17"/>
  <c r="AQ110" i="17"/>
  <c r="AP110" i="17"/>
  <c r="AO110" i="17"/>
  <c r="AN110" i="17"/>
  <c r="L110" i="17"/>
  <c r="N110" i="17" s="1"/>
  <c r="G110" i="17"/>
  <c r="E110" i="17"/>
  <c r="AV109" i="17"/>
  <c r="AT109" i="17"/>
  <c r="AR109" i="17"/>
  <c r="AQ109" i="17"/>
  <c r="AP109" i="17"/>
  <c r="AO109" i="17"/>
  <c r="AN109" i="17"/>
  <c r="L109" i="17"/>
  <c r="N109" i="17" s="1"/>
  <c r="E109" i="17"/>
  <c r="AV108" i="17"/>
  <c r="AT108" i="17"/>
  <c r="AR108" i="17"/>
  <c r="AQ108" i="17"/>
  <c r="AP108" i="17"/>
  <c r="AO108" i="17"/>
  <c r="AN108" i="17"/>
  <c r="N108" i="17"/>
  <c r="L108" i="17"/>
  <c r="G108" i="17"/>
  <c r="E108" i="17"/>
  <c r="AV107" i="17"/>
  <c r="AT107" i="17"/>
  <c r="AR107" i="17"/>
  <c r="AQ107" i="17"/>
  <c r="AP107" i="17"/>
  <c r="AO107" i="17"/>
  <c r="AN107" i="17"/>
  <c r="N107" i="17"/>
  <c r="L107" i="17"/>
  <c r="E107" i="17"/>
  <c r="AV106" i="17"/>
  <c r="AT106" i="17"/>
  <c r="AR106" i="17"/>
  <c r="AQ106" i="17"/>
  <c r="AP106" i="17"/>
  <c r="AO106" i="17"/>
  <c r="AN106" i="17"/>
  <c r="N106" i="17"/>
  <c r="L106" i="17"/>
  <c r="G106" i="17"/>
  <c r="E106" i="17"/>
  <c r="U106" i="17" s="1"/>
  <c r="AV105" i="17"/>
  <c r="AT105" i="17"/>
  <c r="AR105" i="17"/>
  <c r="AQ105" i="17"/>
  <c r="AP105" i="17"/>
  <c r="AO105" i="17"/>
  <c r="AN105" i="17"/>
  <c r="L105" i="17"/>
  <c r="N105" i="17" s="1"/>
  <c r="G105" i="17"/>
  <c r="E105" i="17"/>
  <c r="AV104" i="17"/>
  <c r="AT104" i="17"/>
  <c r="AR104" i="17"/>
  <c r="AQ104" i="17"/>
  <c r="AP104" i="17"/>
  <c r="AO104" i="17"/>
  <c r="AN104" i="17"/>
  <c r="L104" i="17"/>
  <c r="N104" i="17" s="1"/>
  <c r="E104" i="17"/>
  <c r="AV103" i="17"/>
  <c r="AT103" i="17"/>
  <c r="AR103" i="17"/>
  <c r="AQ103" i="17"/>
  <c r="AP103" i="17"/>
  <c r="AO103" i="17"/>
  <c r="AN103" i="17"/>
  <c r="L103" i="17"/>
  <c r="N103" i="17" s="1"/>
  <c r="E103" i="17"/>
  <c r="G103" i="17" s="1"/>
  <c r="AV102" i="17"/>
  <c r="AT102" i="17"/>
  <c r="AR102" i="17"/>
  <c r="AQ102" i="17"/>
  <c r="AP102" i="17"/>
  <c r="AO102" i="17"/>
  <c r="AN102" i="17"/>
  <c r="L102" i="17"/>
  <c r="N102" i="17" s="1"/>
  <c r="E102" i="17"/>
  <c r="AV101" i="17"/>
  <c r="AT101" i="17"/>
  <c r="AR101" i="17"/>
  <c r="AQ101" i="17"/>
  <c r="AP101" i="17"/>
  <c r="AO101" i="17"/>
  <c r="AN101" i="17"/>
  <c r="L101" i="17"/>
  <c r="N101" i="17" s="1"/>
  <c r="E101" i="17"/>
  <c r="AV100" i="17"/>
  <c r="AT100" i="17"/>
  <c r="AR100" i="17"/>
  <c r="AQ100" i="17"/>
  <c r="AP100" i="17"/>
  <c r="AO100" i="17"/>
  <c r="AN100" i="17"/>
  <c r="N100" i="17"/>
  <c r="L100" i="17"/>
  <c r="G100" i="17"/>
  <c r="E100" i="17"/>
  <c r="AV99" i="17"/>
  <c r="AT99" i="17"/>
  <c r="AR99" i="17"/>
  <c r="AQ99" i="17"/>
  <c r="AP99" i="17"/>
  <c r="AO99" i="17"/>
  <c r="AN99" i="17"/>
  <c r="N99" i="17"/>
  <c r="L99" i="17"/>
  <c r="E99" i="17"/>
  <c r="AV98" i="17"/>
  <c r="AT98" i="17"/>
  <c r="AR98" i="17"/>
  <c r="AQ98" i="17"/>
  <c r="AP98" i="17"/>
  <c r="AO98" i="17"/>
  <c r="AN98" i="17"/>
  <c r="N98" i="17"/>
  <c r="L98" i="17"/>
  <c r="G98" i="17"/>
  <c r="E98" i="17"/>
  <c r="AV97" i="17"/>
  <c r="AT97" i="17"/>
  <c r="AR97" i="17"/>
  <c r="AQ97" i="17"/>
  <c r="AP97" i="17"/>
  <c r="AO97" i="17"/>
  <c r="AN97" i="17"/>
  <c r="L97" i="17"/>
  <c r="N97" i="17" s="1"/>
  <c r="G97" i="17"/>
  <c r="E97" i="17"/>
  <c r="AV96" i="17"/>
  <c r="AT96" i="17"/>
  <c r="AR96" i="17"/>
  <c r="AQ96" i="17"/>
  <c r="AP96" i="17"/>
  <c r="AO96" i="17"/>
  <c r="AN96" i="17"/>
  <c r="L96" i="17"/>
  <c r="N96" i="17" s="1"/>
  <c r="E96" i="17"/>
  <c r="AV95" i="17"/>
  <c r="AT95" i="17"/>
  <c r="AR95" i="17"/>
  <c r="AQ95" i="17"/>
  <c r="AP95" i="17"/>
  <c r="AO95" i="17"/>
  <c r="AN95" i="17"/>
  <c r="N95" i="17"/>
  <c r="L95" i="17"/>
  <c r="E95" i="17"/>
  <c r="G95" i="17" s="1"/>
  <c r="AV94" i="17"/>
  <c r="AT94" i="17"/>
  <c r="AR94" i="17"/>
  <c r="AQ94" i="17"/>
  <c r="AP94" i="17"/>
  <c r="AO94" i="17"/>
  <c r="AN94" i="17"/>
  <c r="L94" i="17"/>
  <c r="N94" i="17" s="1"/>
  <c r="E94" i="17"/>
  <c r="G94" i="17" s="1"/>
  <c r="AV93" i="17"/>
  <c r="AT93" i="17"/>
  <c r="AR93" i="17"/>
  <c r="AQ93" i="17"/>
  <c r="AP93" i="17"/>
  <c r="AO93" i="17"/>
  <c r="AN93" i="17"/>
  <c r="L93" i="17"/>
  <c r="N93" i="17" s="1"/>
  <c r="G93" i="17"/>
  <c r="E93" i="17"/>
  <c r="AV92" i="17"/>
  <c r="AT92" i="17"/>
  <c r="AR92" i="17"/>
  <c r="AQ92" i="17"/>
  <c r="AP92" i="17"/>
  <c r="AO92" i="17"/>
  <c r="AN92" i="17"/>
  <c r="L92" i="17"/>
  <c r="N92" i="17" s="1"/>
  <c r="E92" i="17"/>
  <c r="G92" i="17" s="1"/>
  <c r="AV91" i="17"/>
  <c r="AT91" i="17"/>
  <c r="AR91" i="17"/>
  <c r="AQ91" i="17"/>
  <c r="AP91" i="17"/>
  <c r="AO91" i="17"/>
  <c r="AN91" i="17"/>
  <c r="L91" i="17"/>
  <c r="N91" i="17" s="1"/>
  <c r="E91" i="17"/>
  <c r="G91" i="17" s="1"/>
  <c r="AV90" i="17"/>
  <c r="AT90" i="17"/>
  <c r="AR90" i="17"/>
  <c r="AQ90" i="17"/>
  <c r="AP90" i="17"/>
  <c r="AO90" i="17"/>
  <c r="AN90" i="17"/>
  <c r="N90" i="17"/>
  <c r="L90" i="17"/>
  <c r="E90" i="17"/>
  <c r="AV89" i="17"/>
  <c r="AT89" i="17"/>
  <c r="AR89" i="17"/>
  <c r="AQ89" i="17"/>
  <c r="AP89" i="17"/>
  <c r="AO89" i="17"/>
  <c r="AN89" i="17"/>
  <c r="N89" i="17"/>
  <c r="L89" i="17"/>
  <c r="E89" i="17"/>
  <c r="AV88" i="17"/>
  <c r="AT88" i="17"/>
  <c r="AR88" i="17"/>
  <c r="AQ88" i="17"/>
  <c r="AP88" i="17"/>
  <c r="AO88" i="17"/>
  <c r="AN88" i="17"/>
  <c r="L88" i="17"/>
  <c r="N88" i="17" s="1"/>
  <c r="E88" i="17"/>
  <c r="AV87" i="17"/>
  <c r="AT87" i="17"/>
  <c r="AR87" i="17"/>
  <c r="AQ87" i="17"/>
  <c r="AP87" i="17"/>
  <c r="AO87" i="17"/>
  <c r="AN87" i="17"/>
  <c r="L87" i="17"/>
  <c r="N87" i="17" s="1"/>
  <c r="G87" i="17"/>
  <c r="E87" i="17"/>
  <c r="AV86" i="17"/>
  <c r="AT86" i="17"/>
  <c r="AR86" i="17"/>
  <c r="AQ86" i="17"/>
  <c r="AP86" i="17"/>
  <c r="AO86" i="17"/>
  <c r="AN86" i="17"/>
  <c r="L86" i="17"/>
  <c r="N86" i="17" s="1"/>
  <c r="E86" i="17"/>
  <c r="AV85" i="17"/>
  <c r="AT85" i="17"/>
  <c r="AR85" i="17"/>
  <c r="AQ85" i="17"/>
  <c r="AP85" i="17"/>
  <c r="AO85" i="17"/>
  <c r="AN85" i="17"/>
  <c r="L85" i="17"/>
  <c r="U85" i="17" s="1"/>
  <c r="E85" i="17"/>
  <c r="G85" i="17" s="1"/>
  <c r="AV84" i="17"/>
  <c r="AT84" i="17"/>
  <c r="AR84" i="17"/>
  <c r="AQ84" i="17"/>
  <c r="AP84" i="17"/>
  <c r="AO84" i="17"/>
  <c r="AN84" i="17"/>
  <c r="L84" i="17"/>
  <c r="G84" i="17"/>
  <c r="E84" i="17"/>
  <c r="AV83" i="17"/>
  <c r="AT83" i="17"/>
  <c r="AR83" i="17"/>
  <c r="AQ83" i="17"/>
  <c r="AP83" i="17"/>
  <c r="AO83" i="17"/>
  <c r="AN83" i="17"/>
  <c r="L83" i="17"/>
  <c r="N83" i="17" s="1"/>
  <c r="G83" i="17"/>
  <c r="E83" i="17"/>
  <c r="AV82" i="17"/>
  <c r="AT82" i="17"/>
  <c r="AR82" i="17"/>
  <c r="AQ82" i="17"/>
  <c r="AP82" i="17"/>
  <c r="AO82" i="17"/>
  <c r="AN82" i="17"/>
  <c r="N82" i="17"/>
  <c r="L82" i="17"/>
  <c r="E82" i="17"/>
  <c r="G82" i="17" s="1"/>
  <c r="AV81" i="17"/>
  <c r="AT81" i="17"/>
  <c r="AR81" i="17"/>
  <c r="AQ81" i="17"/>
  <c r="AP81" i="17"/>
  <c r="AO81" i="17"/>
  <c r="AN81" i="17"/>
  <c r="L81" i="17"/>
  <c r="N81" i="17" s="1"/>
  <c r="E81" i="17"/>
  <c r="U81" i="17" s="1"/>
  <c r="AV80" i="17"/>
  <c r="AT80" i="17"/>
  <c r="AR80" i="17"/>
  <c r="AQ80" i="17"/>
  <c r="AP80" i="17"/>
  <c r="AO80" i="17"/>
  <c r="AN80" i="17"/>
  <c r="N80" i="17"/>
  <c r="L80" i="17"/>
  <c r="G80" i="17"/>
  <c r="E80" i="17"/>
  <c r="AV79" i="17"/>
  <c r="AT79" i="17"/>
  <c r="AR79" i="17"/>
  <c r="AQ79" i="17"/>
  <c r="AP79" i="17"/>
  <c r="AO79" i="17"/>
  <c r="AN79" i="17"/>
  <c r="L79" i="17"/>
  <c r="N79" i="17" s="1"/>
  <c r="E79" i="17"/>
  <c r="AV78" i="17"/>
  <c r="AT78" i="17"/>
  <c r="AR78" i="17"/>
  <c r="AQ78" i="17"/>
  <c r="AP78" i="17"/>
  <c r="AO78" i="17"/>
  <c r="AN78" i="17"/>
  <c r="L78" i="17"/>
  <c r="N78" i="17" s="1"/>
  <c r="E78" i="17"/>
  <c r="AV77" i="17"/>
  <c r="AT77" i="17"/>
  <c r="AR77" i="17"/>
  <c r="AQ77" i="17"/>
  <c r="AP77" i="17"/>
  <c r="AO77" i="17"/>
  <c r="AN77" i="17"/>
  <c r="N77" i="17"/>
  <c r="L77" i="17"/>
  <c r="E77" i="17"/>
  <c r="AV76" i="17"/>
  <c r="AT76" i="17"/>
  <c r="AR76" i="17"/>
  <c r="AQ76" i="17"/>
  <c r="AP76" i="17"/>
  <c r="AO76" i="17"/>
  <c r="AN76" i="17"/>
  <c r="U76" i="17"/>
  <c r="L76" i="17"/>
  <c r="N76" i="17" s="1"/>
  <c r="E76" i="17"/>
  <c r="G76" i="17" s="1"/>
  <c r="AV75" i="17"/>
  <c r="AT75" i="17"/>
  <c r="AR75" i="17"/>
  <c r="AQ75" i="17"/>
  <c r="AP75" i="17"/>
  <c r="AO75" i="17"/>
  <c r="AN75" i="17"/>
  <c r="N75" i="17"/>
  <c r="L75" i="17"/>
  <c r="G75" i="17"/>
  <c r="E75" i="17"/>
  <c r="AV74" i="17"/>
  <c r="AT74" i="17"/>
  <c r="AR74" i="17"/>
  <c r="AQ74" i="17"/>
  <c r="AP74" i="17"/>
  <c r="AO74" i="17"/>
  <c r="AN74" i="17"/>
  <c r="L74" i="17"/>
  <c r="N74" i="17" s="1"/>
  <c r="E74" i="17"/>
  <c r="G74" i="17" s="1"/>
  <c r="AV73" i="17"/>
  <c r="AT73" i="17"/>
  <c r="AR73" i="17"/>
  <c r="AQ73" i="17"/>
  <c r="AP73" i="17"/>
  <c r="AO73" i="17"/>
  <c r="AN73" i="17"/>
  <c r="L73" i="17"/>
  <c r="N73" i="17" s="1"/>
  <c r="E73" i="17"/>
  <c r="G73" i="17" s="1"/>
  <c r="AV72" i="17"/>
  <c r="AT72" i="17"/>
  <c r="AR72" i="17"/>
  <c r="AQ72" i="17"/>
  <c r="AP72" i="17"/>
  <c r="AO72" i="17"/>
  <c r="AN72" i="17"/>
  <c r="N72" i="17"/>
  <c r="L72" i="17"/>
  <c r="E72" i="17"/>
  <c r="G72" i="17" s="1"/>
  <c r="AV71" i="17"/>
  <c r="AT71" i="17"/>
  <c r="AR71" i="17"/>
  <c r="AQ71" i="17"/>
  <c r="AP71" i="17"/>
  <c r="AO71" i="17"/>
  <c r="AN71" i="17"/>
  <c r="U71" i="17"/>
  <c r="L71" i="17"/>
  <c r="N71" i="17" s="1"/>
  <c r="G71" i="17"/>
  <c r="E71" i="17"/>
  <c r="AV70" i="17"/>
  <c r="AT70" i="17"/>
  <c r="AR70" i="17"/>
  <c r="AQ70" i="17"/>
  <c r="AP70" i="17"/>
  <c r="AO70" i="17"/>
  <c r="AN70" i="17"/>
  <c r="L70" i="17"/>
  <c r="N70" i="17" s="1"/>
  <c r="G70" i="17"/>
  <c r="E70" i="17"/>
  <c r="AV69" i="17"/>
  <c r="AT69" i="17"/>
  <c r="AR69" i="17"/>
  <c r="AQ69" i="17"/>
  <c r="AP69" i="17"/>
  <c r="AO69" i="17"/>
  <c r="AN69" i="17"/>
  <c r="L69" i="17"/>
  <c r="N69" i="17" s="1"/>
  <c r="E69" i="17"/>
  <c r="AV68" i="17"/>
  <c r="AT68" i="17"/>
  <c r="AR68" i="17"/>
  <c r="AQ68" i="17"/>
  <c r="AP68" i="17"/>
  <c r="AO68" i="17"/>
  <c r="AN68" i="17"/>
  <c r="L68" i="17"/>
  <c r="G68" i="17"/>
  <c r="E68" i="17"/>
  <c r="AV67" i="17"/>
  <c r="AT67" i="17"/>
  <c r="AR67" i="17"/>
  <c r="AQ67" i="17"/>
  <c r="AP67" i="17"/>
  <c r="AO67" i="17"/>
  <c r="AN67" i="17"/>
  <c r="U67" i="17"/>
  <c r="L67" i="17"/>
  <c r="N67" i="17" s="1"/>
  <c r="G67" i="17"/>
  <c r="E67" i="17"/>
  <c r="AV66" i="17"/>
  <c r="AT66" i="17"/>
  <c r="AR66" i="17"/>
  <c r="AQ66" i="17"/>
  <c r="AP66" i="17"/>
  <c r="AO66" i="17"/>
  <c r="AN66" i="17"/>
  <c r="N66" i="17"/>
  <c r="L66" i="17"/>
  <c r="G66" i="17"/>
  <c r="E66" i="17"/>
  <c r="AV65" i="17"/>
  <c r="AT65" i="17"/>
  <c r="AR65" i="17"/>
  <c r="AQ65" i="17"/>
  <c r="AP65" i="17"/>
  <c r="AO65" i="17"/>
  <c r="AN65" i="17"/>
  <c r="L65" i="17"/>
  <c r="E65" i="17"/>
  <c r="G65" i="17" s="1"/>
  <c r="AV64" i="17"/>
  <c r="AT64" i="17"/>
  <c r="AR64" i="17"/>
  <c r="AQ64" i="17"/>
  <c r="AP64" i="17"/>
  <c r="AO64" i="17"/>
  <c r="AN64" i="17"/>
  <c r="L64" i="17"/>
  <c r="N64" i="17" s="1"/>
  <c r="E64" i="17"/>
  <c r="AV63" i="17"/>
  <c r="AT63" i="17"/>
  <c r="AR63" i="17"/>
  <c r="AQ63" i="17"/>
  <c r="AP63" i="17"/>
  <c r="AO63" i="17"/>
  <c r="AN63" i="17"/>
  <c r="L63" i="17"/>
  <c r="U63" i="17" s="1"/>
  <c r="E63" i="17"/>
  <c r="G63" i="17" s="1"/>
  <c r="AV62" i="17"/>
  <c r="AT62" i="17"/>
  <c r="AR62" i="17"/>
  <c r="AQ62" i="17"/>
  <c r="AP62" i="17"/>
  <c r="AO62" i="17"/>
  <c r="AN62" i="17"/>
  <c r="L62" i="17"/>
  <c r="N62" i="17" s="1"/>
  <c r="E62" i="17"/>
  <c r="G62" i="17" s="1"/>
  <c r="AV61" i="17"/>
  <c r="AT61" i="17"/>
  <c r="AR61" i="17"/>
  <c r="AQ61" i="17"/>
  <c r="AP61" i="17"/>
  <c r="AO61" i="17"/>
  <c r="AN61" i="17"/>
  <c r="L61" i="17"/>
  <c r="N61" i="17" s="1"/>
  <c r="E61" i="17"/>
  <c r="AV60" i="17"/>
  <c r="AT60" i="17"/>
  <c r="AR60" i="17"/>
  <c r="AQ60" i="17"/>
  <c r="AP60" i="17"/>
  <c r="AO60" i="17"/>
  <c r="AN60" i="17"/>
  <c r="L60" i="17"/>
  <c r="N60" i="17" s="1"/>
  <c r="E60" i="17"/>
  <c r="AV59" i="17"/>
  <c r="AT59" i="17"/>
  <c r="AR59" i="17"/>
  <c r="AQ59" i="17"/>
  <c r="AP59" i="17"/>
  <c r="AO59" i="17"/>
  <c r="AN59" i="17"/>
  <c r="N59" i="17"/>
  <c r="L59" i="17"/>
  <c r="G59" i="17"/>
  <c r="E59" i="17"/>
  <c r="U59" i="17" s="1"/>
  <c r="AV58" i="17"/>
  <c r="AT58" i="17"/>
  <c r="AR58" i="17"/>
  <c r="AQ58" i="17"/>
  <c r="AP58" i="17"/>
  <c r="AO58" i="17"/>
  <c r="AN58" i="17"/>
  <c r="N58" i="17"/>
  <c r="L58" i="17"/>
  <c r="U58" i="17" s="1"/>
  <c r="E58" i="17"/>
  <c r="G58" i="17" s="1"/>
  <c r="AV57" i="17"/>
  <c r="AT57" i="17"/>
  <c r="AR57" i="17"/>
  <c r="AQ57" i="17"/>
  <c r="AP57" i="17"/>
  <c r="AO57" i="17"/>
  <c r="AN57" i="17"/>
  <c r="L57" i="17"/>
  <c r="N57" i="17" s="1"/>
  <c r="E57" i="17"/>
  <c r="AV56" i="17"/>
  <c r="AT56" i="17"/>
  <c r="AR56" i="17"/>
  <c r="AQ56" i="17"/>
  <c r="AP56" i="17"/>
  <c r="AO56" i="17"/>
  <c r="AN56" i="17"/>
  <c r="L56" i="17"/>
  <c r="N56" i="17" s="1"/>
  <c r="E56" i="17"/>
  <c r="G56" i="17" s="1"/>
  <c r="AV55" i="17"/>
  <c r="AT55" i="17"/>
  <c r="AR55" i="17"/>
  <c r="AQ55" i="17"/>
  <c r="AP55" i="17"/>
  <c r="AO55" i="17"/>
  <c r="AN55" i="17"/>
  <c r="L55" i="17"/>
  <c r="E55" i="17"/>
  <c r="G55" i="17" s="1"/>
  <c r="AV54" i="17"/>
  <c r="AT54" i="17"/>
  <c r="AR54" i="17"/>
  <c r="AQ54" i="17"/>
  <c r="AP54" i="17"/>
  <c r="AO54" i="17"/>
  <c r="AN54" i="17"/>
  <c r="N54" i="17"/>
  <c r="L54" i="17"/>
  <c r="E54" i="17"/>
  <c r="AV53" i="17"/>
  <c r="AT53" i="17"/>
  <c r="AR53" i="17"/>
  <c r="AQ53" i="17"/>
  <c r="AP53" i="17"/>
  <c r="AO53" i="17"/>
  <c r="AN53" i="17"/>
  <c r="L53" i="17"/>
  <c r="N53" i="17" s="1"/>
  <c r="G53" i="17"/>
  <c r="E53" i="17"/>
  <c r="AV52" i="17"/>
  <c r="AT52" i="17"/>
  <c r="AR52" i="17"/>
  <c r="AQ52" i="17"/>
  <c r="AP52" i="17"/>
  <c r="AO52" i="17"/>
  <c r="AN52" i="17"/>
  <c r="N52" i="17"/>
  <c r="L52" i="17"/>
  <c r="G52" i="17"/>
  <c r="E52" i="17"/>
  <c r="AV51" i="17"/>
  <c r="AT51" i="17"/>
  <c r="AR51" i="17"/>
  <c r="AQ51" i="17"/>
  <c r="AP51" i="17"/>
  <c r="AO51" i="17"/>
  <c r="AN51" i="17"/>
  <c r="L51" i="17"/>
  <c r="N51" i="17" s="1"/>
  <c r="E51" i="17"/>
  <c r="BB50" i="17"/>
  <c r="AV50" i="17"/>
  <c r="AT50" i="17"/>
  <c r="AR50" i="17"/>
  <c r="AQ50" i="17"/>
  <c r="AP50" i="17"/>
  <c r="AO50" i="17"/>
  <c r="AN50" i="17"/>
  <c r="L50" i="17"/>
  <c r="N50" i="17" s="1"/>
  <c r="E50" i="17"/>
  <c r="BD49" i="17"/>
  <c r="AV49" i="17"/>
  <c r="AT49" i="17"/>
  <c r="AR49" i="17"/>
  <c r="AQ49" i="17"/>
  <c r="AP49" i="17"/>
  <c r="AO49" i="17"/>
  <c r="AN49" i="17"/>
  <c r="L49" i="17"/>
  <c r="N49" i="17" s="1"/>
  <c r="G49" i="17"/>
  <c r="E49" i="17"/>
  <c r="AV48" i="17"/>
  <c r="AT48" i="17"/>
  <c r="AR48" i="17"/>
  <c r="AQ48" i="17"/>
  <c r="AP48" i="17"/>
  <c r="AO48" i="17"/>
  <c r="AN48" i="17"/>
  <c r="L48" i="17"/>
  <c r="N48" i="17" s="1"/>
  <c r="G48" i="17"/>
  <c r="E48" i="17"/>
  <c r="BB47" i="17"/>
  <c r="AV47" i="17"/>
  <c r="AT47" i="17"/>
  <c r="AR47" i="17"/>
  <c r="AQ47" i="17"/>
  <c r="AP47" i="17"/>
  <c r="AO47" i="17"/>
  <c r="AN47" i="17"/>
  <c r="L47" i="17"/>
  <c r="N47" i="17" s="1"/>
  <c r="E47" i="17"/>
  <c r="G47" i="17" s="1"/>
  <c r="BB46" i="17"/>
  <c r="AV46" i="17"/>
  <c r="AT46" i="17"/>
  <c r="AR46" i="17"/>
  <c r="AQ46" i="17"/>
  <c r="AP46" i="17"/>
  <c r="AO46" i="17"/>
  <c r="AN46" i="17"/>
  <c r="N46" i="17"/>
  <c r="L46" i="17"/>
  <c r="E46" i="17"/>
  <c r="G46" i="17" s="1"/>
  <c r="AV45" i="17"/>
  <c r="AT45" i="17"/>
  <c r="AR45" i="17"/>
  <c r="AQ45" i="17"/>
  <c r="AP45" i="17"/>
  <c r="AO45" i="17"/>
  <c r="AN45" i="17"/>
  <c r="L45" i="17"/>
  <c r="N45" i="17" s="1"/>
  <c r="E45" i="17"/>
  <c r="AV44" i="17"/>
  <c r="AT44" i="17"/>
  <c r="AR44" i="17"/>
  <c r="AQ44" i="17"/>
  <c r="AP44" i="17"/>
  <c r="AO44" i="17"/>
  <c r="AN44" i="17"/>
  <c r="N44" i="17"/>
  <c r="L44" i="17"/>
  <c r="E44" i="17"/>
  <c r="AV43" i="17"/>
  <c r="AT43" i="17"/>
  <c r="AR43" i="17"/>
  <c r="AQ43" i="17"/>
  <c r="AP43" i="17"/>
  <c r="AO43" i="17"/>
  <c r="AN43" i="17"/>
  <c r="N43" i="17"/>
  <c r="L43" i="17"/>
  <c r="E43" i="17"/>
  <c r="AV42" i="17"/>
  <c r="AT42" i="17"/>
  <c r="AR42" i="17"/>
  <c r="AQ42" i="17"/>
  <c r="AP42" i="17"/>
  <c r="AO42" i="17"/>
  <c r="AN42" i="17"/>
  <c r="L42" i="17"/>
  <c r="N42" i="17" s="1"/>
  <c r="G42" i="17"/>
  <c r="E42" i="17"/>
  <c r="AV41" i="17"/>
  <c r="AT41" i="17"/>
  <c r="AR41" i="17"/>
  <c r="AQ41" i="17"/>
  <c r="AP41" i="17"/>
  <c r="AO41" i="17"/>
  <c r="AN41" i="17"/>
  <c r="L41" i="17"/>
  <c r="N41" i="17" s="1"/>
  <c r="E41" i="17"/>
  <c r="AV40" i="17"/>
  <c r="AT40" i="17"/>
  <c r="AR40" i="17"/>
  <c r="AQ40" i="17"/>
  <c r="AP40" i="17"/>
  <c r="AO40" i="17"/>
  <c r="AN40" i="17"/>
  <c r="L40" i="17"/>
  <c r="N40" i="17" s="1"/>
  <c r="E40" i="17"/>
  <c r="G40" i="17" s="1"/>
  <c r="AV39" i="17"/>
  <c r="AT39" i="17"/>
  <c r="AR39" i="17"/>
  <c r="AQ39" i="17"/>
  <c r="AP39" i="17"/>
  <c r="AO39" i="17"/>
  <c r="AN39" i="17"/>
  <c r="N39" i="17"/>
  <c r="L39" i="17"/>
  <c r="E39" i="17"/>
  <c r="AV38" i="17"/>
  <c r="AT38" i="17"/>
  <c r="AR38" i="17"/>
  <c r="AQ38" i="17"/>
  <c r="AP38" i="17"/>
  <c r="AO38" i="17"/>
  <c r="AN38" i="17"/>
  <c r="N38" i="17"/>
  <c r="L38" i="17"/>
  <c r="E38" i="17"/>
  <c r="G38" i="17" s="1"/>
  <c r="AV37" i="17"/>
  <c r="AT37" i="17"/>
  <c r="AR37" i="17"/>
  <c r="AQ37" i="17"/>
  <c r="AP37" i="17"/>
  <c r="AO37" i="17"/>
  <c r="AN37" i="17"/>
  <c r="L37" i="17"/>
  <c r="N37" i="17" s="1"/>
  <c r="E37" i="17"/>
  <c r="AV36" i="17"/>
  <c r="AT36" i="17"/>
  <c r="AR36" i="17"/>
  <c r="AQ36" i="17"/>
  <c r="AP36" i="17"/>
  <c r="AO36" i="17"/>
  <c r="AN36" i="17"/>
  <c r="L36" i="17"/>
  <c r="N36" i="17" s="1"/>
  <c r="E36" i="17"/>
  <c r="G36" i="17" s="1"/>
  <c r="AV35" i="17"/>
  <c r="AT35" i="17"/>
  <c r="AR35" i="17"/>
  <c r="AQ35" i="17"/>
  <c r="AP35" i="17"/>
  <c r="AO35" i="17"/>
  <c r="AN35" i="17"/>
  <c r="N35" i="17"/>
  <c r="L35" i="17"/>
  <c r="E35" i="17"/>
  <c r="AV34" i="17"/>
  <c r="AT34" i="17"/>
  <c r="AR34" i="17"/>
  <c r="AQ34" i="17"/>
  <c r="AP34" i="17"/>
  <c r="AO34" i="17"/>
  <c r="AN34" i="17"/>
  <c r="N34" i="17"/>
  <c r="L34" i="17"/>
  <c r="G34" i="17"/>
  <c r="E34" i="17"/>
  <c r="AV33" i="17"/>
  <c r="AT33" i="17"/>
  <c r="AR33" i="17"/>
  <c r="AQ33" i="17"/>
  <c r="AP33" i="17"/>
  <c r="AO33" i="17"/>
  <c r="AN33" i="17"/>
  <c r="L33" i="17"/>
  <c r="N33" i="17" s="1"/>
  <c r="E33" i="17"/>
  <c r="G33" i="17" s="1"/>
  <c r="AV32" i="17"/>
  <c r="AT32" i="17"/>
  <c r="AR32" i="17"/>
  <c r="AQ32" i="17"/>
  <c r="AP32" i="17"/>
  <c r="AO32" i="17"/>
  <c r="AN32" i="17"/>
  <c r="L32" i="17"/>
  <c r="N32" i="17" s="1"/>
  <c r="E32" i="17"/>
  <c r="AV31" i="17"/>
  <c r="AT31" i="17"/>
  <c r="AR31" i="17"/>
  <c r="AQ31" i="17"/>
  <c r="AP31" i="17"/>
  <c r="AO31" i="17"/>
  <c r="AN31" i="17"/>
  <c r="L31" i="17"/>
  <c r="N31" i="17" s="1"/>
  <c r="G31" i="17"/>
  <c r="E31" i="17"/>
  <c r="AV30" i="17"/>
  <c r="AT30" i="17"/>
  <c r="AR30" i="17"/>
  <c r="AQ30" i="17"/>
  <c r="AP30" i="17"/>
  <c r="AO30" i="17"/>
  <c r="AN30" i="17"/>
  <c r="N30" i="17"/>
  <c r="L30" i="17"/>
  <c r="E30" i="17"/>
  <c r="G30" i="17" s="1"/>
  <c r="AV29" i="17"/>
  <c r="AT29" i="17"/>
  <c r="AR29" i="17"/>
  <c r="AQ29" i="17"/>
  <c r="AP29" i="17"/>
  <c r="AO29" i="17"/>
  <c r="AN29" i="17"/>
  <c r="L29" i="17"/>
  <c r="N29" i="17" s="1"/>
  <c r="E29" i="17"/>
  <c r="G29" i="17" s="1"/>
  <c r="AV28" i="17"/>
  <c r="AT28" i="17"/>
  <c r="AR28" i="17"/>
  <c r="AQ28" i="17"/>
  <c r="AP28" i="17"/>
  <c r="AO28" i="17"/>
  <c r="AN28" i="17"/>
  <c r="L28" i="17"/>
  <c r="N28" i="17" s="1"/>
  <c r="E28" i="17"/>
  <c r="G28" i="17" s="1"/>
  <c r="AV27" i="17"/>
  <c r="AT27" i="17"/>
  <c r="AR27" i="17"/>
  <c r="AQ27" i="17"/>
  <c r="AP27" i="17"/>
  <c r="AO27" i="17"/>
  <c r="AN27" i="17"/>
  <c r="L27" i="17"/>
  <c r="N27" i="17" s="1"/>
  <c r="E27" i="17"/>
  <c r="G27" i="17" s="1"/>
  <c r="AV26" i="17"/>
  <c r="AT26" i="17"/>
  <c r="AR26" i="17"/>
  <c r="AQ26" i="17"/>
  <c r="AP26" i="17"/>
  <c r="AO26" i="17"/>
  <c r="AN26" i="17"/>
  <c r="L26" i="17"/>
  <c r="N26" i="17" s="1"/>
  <c r="E26" i="17"/>
  <c r="G26" i="17" s="1"/>
  <c r="AV25" i="17"/>
  <c r="AT25" i="17"/>
  <c r="AR25" i="17"/>
  <c r="AQ25" i="17"/>
  <c r="AP25" i="17"/>
  <c r="AO25" i="17"/>
  <c r="AN25" i="17"/>
  <c r="L25" i="17"/>
  <c r="N25" i="17" s="1"/>
  <c r="E25" i="17"/>
  <c r="G25" i="17" s="1"/>
  <c r="AV24" i="17"/>
  <c r="AT24" i="17"/>
  <c r="AR24" i="17"/>
  <c r="AQ24" i="17"/>
  <c r="AP24" i="17"/>
  <c r="AO24" i="17"/>
  <c r="AN24" i="17"/>
  <c r="L24" i="17"/>
  <c r="N24" i="17" s="1"/>
  <c r="E24" i="17"/>
  <c r="G24" i="17" s="1"/>
  <c r="AV23" i="17"/>
  <c r="AT23" i="17"/>
  <c r="AR23" i="17"/>
  <c r="AQ23" i="17"/>
  <c r="AP23" i="17"/>
  <c r="AO23" i="17"/>
  <c r="AN23" i="17"/>
  <c r="L23" i="17"/>
  <c r="E23" i="17"/>
  <c r="G23" i="17" s="1"/>
  <c r="AV22" i="17"/>
  <c r="AT22" i="17"/>
  <c r="AR22" i="17"/>
  <c r="AQ22" i="17"/>
  <c r="AP22" i="17"/>
  <c r="AO22" i="17"/>
  <c r="AN22" i="17"/>
  <c r="L22" i="17"/>
  <c r="E22" i="17"/>
  <c r="G22" i="17" s="1"/>
  <c r="AV21" i="17"/>
  <c r="AT21" i="17"/>
  <c r="AR21" i="17"/>
  <c r="AQ21" i="17"/>
  <c r="AP21" i="17"/>
  <c r="AO21" i="17"/>
  <c r="AN21" i="17"/>
  <c r="L21" i="17"/>
  <c r="N21" i="17" s="1"/>
  <c r="E21" i="17"/>
  <c r="AV20" i="17"/>
  <c r="AT20" i="17"/>
  <c r="AR20" i="17"/>
  <c r="AQ20" i="17"/>
  <c r="AP20" i="17"/>
  <c r="AO20" i="17"/>
  <c r="AN20" i="17"/>
  <c r="L20" i="17"/>
  <c r="N20" i="17" s="1"/>
  <c r="E20" i="17"/>
  <c r="G20" i="17" s="1"/>
  <c r="AV19" i="17"/>
  <c r="AT19" i="17"/>
  <c r="AR19" i="17"/>
  <c r="AQ19" i="17"/>
  <c r="AP19" i="17"/>
  <c r="AO19" i="17"/>
  <c r="AN19" i="17"/>
  <c r="L19" i="17"/>
  <c r="N19" i="17" s="1"/>
  <c r="G19" i="17"/>
  <c r="E19" i="17"/>
  <c r="AV18" i="17"/>
  <c r="AT18" i="17"/>
  <c r="AR18" i="17"/>
  <c r="AQ18" i="17"/>
  <c r="AP18" i="17"/>
  <c r="AO18" i="17"/>
  <c r="AN18" i="17"/>
  <c r="L18" i="17"/>
  <c r="N18" i="17" s="1"/>
  <c r="E18" i="17"/>
  <c r="G18" i="17" s="1"/>
  <c r="AV17" i="17"/>
  <c r="AT17" i="17"/>
  <c r="AR17" i="17"/>
  <c r="AQ17" i="17"/>
  <c r="AP17" i="17"/>
  <c r="AO17" i="17"/>
  <c r="AN17" i="17"/>
  <c r="L17" i="17"/>
  <c r="N17" i="17" s="1"/>
  <c r="E17" i="17"/>
  <c r="G17" i="17" s="1"/>
  <c r="AV16" i="17"/>
  <c r="AT16" i="17"/>
  <c r="AR16" i="17"/>
  <c r="AQ16" i="17"/>
  <c r="AP16" i="17"/>
  <c r="AO16" i="17"/>
  <c r="AN16" i="17"/>
  <c r="L16" i="17"/>
  <c r="N16" i="17" s="1"/>
  <c r="E16" i="17"/>
  <c r="G16" i="17" s="1"/>
  <c r="AV15" i="17"/>
  <c r="AT15" i="17"/>
  <c r="AR15" i="17"/>
  <c r="AQ15" i="17"/>
  <c r="AP15" i="17"/>
  <c r="AO15" i="17"/>
  <c r="AN15" i="17"/>
  <c r="N15" i="17"/>
  <c r="L15" i="17"/>
  <c r="E15" i="17"/>
  <c r="G15" i="17" s="1"/>
  <c r="AV14" i="17"/>
  <c r="AT14" i="17"/>
  <c r="AR14" i="17"/>
  <c r="AQ14" i="17"/>
  <c r="AP14" i="17"/>
  <c r="AO14" i="17"/>
  <c r="AN14" i="17"/>
  <c r="L14" i="17"/>
  <c r="N14" i="17" s="1"/>
  <c r="G14" i="17"/>
  <c r="E14" i="17"/>
  <c r="U14" i="17" s="1"/>
  <c r="AV13" i="17"/>
  <c r="AT13" i="17"/>
  <c r="AR13" i="17"/>
  <c r="AQ13" i="17"/>
  <c r="AP13" i="17"/>
  <c r="AO13" i="17"/>
  <c r="AN13" i="17"/>
  <c r="L13" i="17"/>
  <c r="N13" i="17" s="1"/>
  <c r="G13" i="17"/>
  <c r="E13" i="17"/>
  <c r="AV12" i="17"/>
  <c r="AT12" i="17"/>
  <c r="AR12" i="17"/>
  <c r="AQ12" i="17"/>
  <c r="AP12" i="17"/>
  <c r="AO12" i="17"/>
  <c r="AN12" i="17"/>
  <c r="L12" i="17"/>
  <c r="N12" i="17" s="1"/>
  <c r="E12" i="17"/>
  <c r="AV11" i="17"/>
  <c r="AT11" i="17"/>
  <c r="AR11" i="17"/>
  <c r="AQ11" i="17"/>
  <c r="AP11" i="17"/>
  <c r="AO11" i="17"/>
  <c r="AN11" i="17"/>
  <c r="L11" i="17"/>
  <c r="N11" i="17" s="1"/>
  <c r="E11" i="17"/>
  <c r="G11" i="17" s="1"/>
  <c r="AV10" i="17"/>
  <c r="AT10" i="17"/>
  <c r="AR10" i="17"/>
  <c r="AQ10" i="17"/>
  <c r="AP10" i="17"/>
  <c r="AO10" i="17"/>
  <c r="AN10" i="17"/>
  <c r="L10" i="17"/>
  <c r="N10" i="17" s="1"/>
  <c r="E10" i="17"/>
  <c r="G10" i="17" s="1"/>
  <c r="AV9" i="17"/>
  <c r="AT9" i="17"/>
  <c r="AR9" i="17"/>
  <c r="AQ9" i="17"/>
  <c r="AP9" i="17"/>
  <c r="AO9" i="17"/>
  <c r="AN9" i="17"/>
  <c r="L9" i="17"/>
  <c r="N9" i="17" s="1"/>
  <c r="G9" i="17"/>
  <c r="E9" i="17"/>
  <c r="AV8" i="17"/>
  <c r="AT8" i="17"/>
  <c r="AR8" i="17"/>
  <c r="AQ8" i="17"/>
  <c r="AP8" i="17"/>
  <c r="AO8" i="17"/>
  <c r="AN8" i="17"/>
  <c r="L8" i="17"/>
  <c r="N8" i="17" s="1"/>
  <c r="E8" i="17"/>
  <c r="U8" i="17" s="1"/>
  <c r="AV7" i="17"/>
  <c r="AT7" i="17"/>
  <c r="AR7" i="17"/>
  <c r="AQ7" i="17"/>
  <c r="AP7" i="17"/>
  <c r="AO7" i="17"/>
  <c r="AN7" i="17"/>
  <c r="L7" i="17"/>
  <c r="N7" i="17" s="1"/>
  <c r="E7" i="17"/>
  <c r="G7" i="17" s="1"/>
  <c r="AV6" i="17"/>
  <c r="AT6" i="17"/>
  <c r="AR6" i="17"/>
  <c r="AQ6" i="17"/>
  <c r="AP6" i="17"/>
  <c r="AO6" i="17"/>
  <c r="AN6" i="17"/>
  <c r="L6" i="17"/>
  <c r="G6" i="17"/>
  <c r="E6" i="17"/>
  <c r="AV5" i="17"/>
  <c r="AT5" i="17"/>
  <c r="AR5" i="17"/>
  <c r="AQ5" i="17"/>
  <c r="AP5" i="17"/>
  <c r="AO5" i="17"/>
  <c r="AN5" i="17"/>
  <c r="L5" i="17"/>
  <c r="N5" i="17" s="1"/>
  <c r="E5" i="17"/>
  <c r="G5" i="17" s="1"/>
  <c r="AV4" i="17"/>
  <c r="AT4" i="17"/>
  <c r="AR4" i="17"/>
  <c r="AQ4" i="17"/>
  <c r="AP4" i="17"/>
  <c r="AO4" i="17"/>
  <c r="AN4" i="17"/>
  <c r="L4" i="17"/>
  <c r="N4" i="17" s="1"/>
  <c r="E4" i="17"/>
  <c r="G4" i="17" s="1"/>
  <c r="AV3" i="17"/>
  <c r="AT3" i="17"/>
  <c r="AR3" i="17"/>
  <c r="AQ3" i="17"/>
  <c r="AP3" i="17"/>
  <c r="AO3" i="17"/>
  <c r="AN3" i="17"/>
  <c r="AA3" i="17"/>
  <c r="N3" i="17"/>
  <c r="L3" i="17"/>
  <c r="M3" i="17" s="1"/>
  <c r="F3" i="17"/>
  <c r="E3" i="17"/>
  <c r="A3" i="17"/>
  <c r="AV112" i="15"/>
  <c r="AT112" i="15"/>
  <c r="AR112" i="15"/>
  <c r="AQ112" i="15"/>
  <c r="AP112" i="15"/>
  <c r="AO112" i="15"/>
  <c r="AN112" i="15"/>
  <c r="L112" i="15"/>
  <c r="E112" i="15"/>
  <c r="G112" i="15" s="1"/>
  <c r="AV111" i="15"/>
  <c r="AT111" i="15"/>
  <c r="AR111" i="15"/>
  <c r="AQ111" i="15"/>
  <c r="AP111" i="15"/>
  <c r="AO111" i="15"/>
  <c r="AN111" i="15"/>
  <c r="L111" i="15"/>
  <c r="N111" i="15" s="1"/>
  <c r="E111" i="15"/>
  <c r="AV110" i="15"/>
  <c r="AT110" i="15"/>
  <c r="AR110" i="15"/>
  <c r="AQ110" i="15"/>
  <c r="AP110" i="15"/>
  <c r="AO110" i="15"/>
  <c r="AN110" i="15"/>
  <c r="L110" i="15"/>
  <c r="N110" i="15" s="1"/>
  <c r="E110" i="15"/>
  <c r="G110" i="15" s="1"/>
  <c r="AV109" i="15"/>
  <c r="AT109" i="15"/>
  <c r="AR109" i="15"/>
  <c r="AQ109" i="15"/>
  <c r="AP109" i="15"/>
  <c r="AO109" i="15"/>
  <c r="AN109" i="15"/>
  <c r="L109" i="15"/>
  <c r="E109" i="15"/>
  <c r="G109" i="15" s="1"/>
  <c r="AV108" i="15"/>
  <c r="AT108" i="15"/>
  <c r="AR108" i="15"/>
  <c r="AQ108" i="15"/>
  <c r="AP108" i="15"/>
  <c r="AO108" i="15"/>
  <c r="AN108" i="15"/>
  <c r="L108" i="15"/>
  <c r="N108" i="15" s="1"/>
  <c r="E108" i="15"/>
  <c r="G108" i="15" s="1"/>
  <c r="AV107" i="15"/>
  <c r="AT107" i="15"/>
  <c r="AR107" i="15"/>
  <c r="AQ107" i="15"/>
  <c r="AP107" i="15"/>
  <c r="AO107" i="15"/>
  <c r="AN107" i="15"/>
  <c r="L107" i="15"/>
  <c r="N107" i="15" s="1"/>
  <c r="E107" i="15"/>
  <c r="AV106" i="15"/>
  <c r="AT106" i="15"/>
  <c r="AR106" i="15"/>
  <c r="AQ106" i="15"/>
  <c r="AP106" i="15"/>
  <c r="AO106" i="15"/>
  <c r="AN106" i="15"/>
  <c r="L106" i="15"/>
  <c r="N106" i="15" s="1"/>
  <c r="E106" i="15"/>
  <c r="AV105" i="15"/>
  <c r="AT105" i="15"/>
  <c r="AR105" i="15"/>
  <c r="AQ105" i="15"/>
  <c r="AP105" i="15"/>
  <c r="AO105" i="15"/>
  <c r="AN105" i="15"/>
  <c r="L105" i="15"/>
  <c r="N105" i="15" s="1"/>
  <c r="E105" i="15"/>
  <c r="G105" i="15" s="1"/>
  <c r="AV104" i="15"/>
  <c r="AT104" i="15"/>
  <c r="AR104" i="15"/>
  <c r="AQ104" i="15"/>
  <c r="AP104" i="15"/>
  <c r="AO104" i="15"/>
  <c r="AN104" i="15"/>
  <c r="L104" i="15"/>
  <c r="N104" i="15" s="1"/>
  <c r="E104" i="15"/>
  <c r="G104" i="15" s="1"/>
  <c r="AV103" i="15"/>
  <c r="AT103" i="15"/>
  <c r="AR103" i="15"/>
  <c r="AQ103" i="15"/>
  <c r="AP103" i="15"/>
  <c r="AO103" i="15"/>
  <c r="AN103" i="15"/>
  <c r="L103" i="15"/>
  <c r="N103" i="15" s="1"/>
  <c r="E103" i="15"/>
  <c r="AV102" i="15"/>
  <c r="AT102" i="15"/>
  <c r="AR102" i="15"/>
  <c r="AQ102" i="15"/>
  <c r="AP102" i="15"/>
  <c r="AO102" i="15"/>
  <c r="AN102" i="15"/>
  <c r="L102" i="15"/>
  <c r="N102" i="15" s="1"/>
  <c r="E102" i="15"/>
  <c r="G102" i="15" s="1"/>
  <c r="AV101" i="15"/>
  <c r="AT101" i="15"/>
  <c r="AR101" i="15"/>
  <c r="AQ101" i="15"/>
  <c r="AP101" i="15"/>
  <c r="AO101" i="15"/>
  <c r="AN101" i="15"/>
  <c r="L101" i="15"/>
  <c r="N101" i="15" s="1"/>
  <c r="E101" i="15"/>
  <c r="U101" i="15" s="1"/>
  <c r="AV100" i="15"/>
  <c r="AT100" i="15"/>
  <c r="AR100" i="15"/>
  <c r="AQ100" i="15"/>
  <c r="AP100" i="15"/>
  <c r="AO100" i="15"/>
  <c r="AN100" i="15"/>
  <c r="L100" i="15"/>
  <c r="N100" i="15" s="1"/>
  <c r="E100" i="15"/>
  <c r="G100" i="15" s="1"/>
  <c r="AV99" i="15"/>
  <c r="AT99" i="15"/>
  <c r="AR99" i="15"/>
  <c r="AQ99" i="15"/>
  <c r="AP99" i="15"/>
  <c r="AO99" i="15"/>
  <c r="AN99" i="15"/>
  <c r="L99" i="15"/>
  <c r="N99" i="15" s="1"/>
  <c r="E99" i="15"/>
  <c r="AV98" i="15"/>
  <c r="AT98" i="15"/>
  <c r="AR98" i="15"/>
  <c r="AQ98" i="15"/>
  <c r="AP98" i="15"/>
  <c r="AO98" i="15"/>
  <c r="AN98" i="15"/>
  <c r="L98" i="15"/>
  <c r="N98" i="15" s="1"/>
  <c r="E98" i="15"/>
  <c r="AV97" i="15"/>
  <c r="AT97" i="15"/>
  <c r="AR97" i="15"/>
  <c r="AQ97" i="15"/>
  <c r="AP97" i="15"/>
  <c r="AO97" i="15"/>
  <c r="AN97" i="15"/>
  <c r="L97" i="15"/>
  <c r="N97" i="15" s="1"/>
  <c r="E97" i="15"/>
  <c r="G97" i="15" s="1"/>
  <c r="AV96" i="15"/>
  <c r="AT96" i="15"/>
  <c r="AR96" i="15"/>
  <c r="AQ96" i="15"/>
  <c r="AP96" i="15"/>
  <c r="AO96" i="15"/>
  <c r="AN96" i="15"/>
  <c r="L96" i="15"/>
  <c r="N96" i="15" s="1"/>
  <c r="E96" i="15"/>
  <c r="G96" i="15" s="1"/>
  <c r="AV95" i="15"/>
  <c r="AT95" i="15"/>
  <c r="AR95" i="15"/>
  <c r="AQ95" i="15"/>
  <c r="AP95" i="15"/>
  <c r="AO95" i="15"/>
  <c r="AN95" i="15"/>
  <c r="L95" i="15"/>
  <c r="N95" i="15" s="1"/>
  <c r="E95" i="15"/>
  <c r="AV94" i="15"/>
  <c r="AT94" i="15"/>
  <c r="AR94" i="15"/>
  <c r="AQ94" i="15"/>
  <c r="AP94" i="15"/>
  <c r="AO94" i="15"/>
  <c r="AN94" i="15"/>
  <c r="L94" i="15"/>
  <c r="N94" i="15" s="1"/>
  <c r="E94" i="15"/>
  <c r="G94" i="15" s="1"/>
  <c r="AV93" i="15"/>
  <c r="AT93" i="15"/>
  <c r="AR93" i="15"/>
  <c r="AQ93" i="15"/>
  <c r="AP93" i="15"/>
  <c r="AO93" i="15"/>
  <c r="AN93" i="15"/>
  <c r="L93" i="15"/>
  <c r="N93" i="15" s="1"/>
  <c r="E93" i="15"/>
  <c r="G93" i="15" s="1"/>
  <c r="AV92" i="15"/>
  <c r="AT92" i="15"/>
  <c r="AR92" i="15"/>
  <c r="AQ92" i="15"/>
  <c r="AP92" i="15"/>
  <c r="AO92" i="15"/>
  <c r="AN92" i="15"/>
  <c r="L92" i="15"/>
  <c r="N92" i="15" s="1"/>
  <c r="E92" i="15"/>
  <c r="G92" i="15" s="1"/>
  <c r="AV91" i="15"/>
  <c r="AT91" i="15"/>
  <c r="AR91" i="15"/>
  <c r="AQ91" i="15"/>
  <c r="AP91" i="15"/>
  <c r="AO91" i="15"/>
  <c r="AN91" i="15"/>
  <c r="L91" i="15"/>
  <c r="N91" i="15" s="1"/>
  <c r="E91" i="15"/>
  <c r="AV90" i="15"/>
  <c r="AT90" i="15"/>
  <c r="AR90" i="15"/>
  <c r="AQ90" i="15"/>
  <c r="AP90" i="15"/>
  <c r="AO90" i="15"/>
  <c r="AN90" i="15"/>
  <c r="L90" i="15"/>
  <c r="N90" i="15" s="1"/>
  <c r="E90" i="15"/>
  <c r="G90" i="15" s="1"/>
  <c r="AV89" i="15"/>
  <c r="AT89" i="15"/>
  <c r="AR89" i="15"/>
  <c r="AQ89" i="15"/>
  <c r="AP89" i="15"/>
  <c r="AO89" i="15"/>
  <c r="AN89" i="15"/>
  <c r="L89" i="15"/>
  <c r="N89" i="15" s="1"/>
  <c r="E89" i="15"/>
  <c r="G89" i="15" s="1"/>
  <c r="AV88" i="15"/>
  <c r="AT88" i="15"/>
  <c r="AR88" i="15"/>
  <c r="AQ88" i="15"/>
  <c r="AP88" i="15"/>
  <c r="AO88" i="15"/>
  <c r="AN88" i="15"/>
  <c r="L88" i="15"/>
  <c r="N88" i="15" s="1"/>
  <c r="E88" i="15"/>
  <c r="U88" i="15" s="1"/>
  <c r="AV87" i="15"/>
  <c r="AT87" i="15"/>
  <c r="AR87" i="15"/>
  <c r="AQ87" i="15"/>
  <c r="AP87" i="15"/>
  <c r="AO87" i="15"/>
  <c r="AN87" i="15"/>
  <c r="L87" i="15"/>
  <c r="N87" i="15" s="1"/>
  <c r="E87" i="15"/>
  <c r="G87" i="15" s="1"/>
  <c r="AV86" i="15"/>
  <c r="AT86" i="15"/>
  <c r="AR86" i="15"/>
  <c r="AQ86" i="15"/>
  <c r="AP86" i="15"/>
  <c r="AO86" i="15"/>
  <c r="AN86" i="15"/>
  <c r="L86" i="15"/>
  <c r="N86" i="15" s="1"/>
  <c r="E86" i="15"/>
  <c r="G86" i="15" s="1"/>
  <c r="AV85" i="15"/>
  <c r="AT85" i="15"/>
  <c r="AR85" i="15"/>
  <c r="AQ85" i="15"/>
  <c r="AP85" i="15"/>
  <c r="AO85" i="15"/>
  <c r="AN85" i="15"/>
  <c r="L85" i="15"/>
  <c r="N85" i="15" s="1"/>
  <c r="E85" i="15"/>
  <c r="G85" i="15" s="1"/>
  <c r="AV84" i="15"/>
  <c r="AT84" i="15"/>
  <c r="AR84" i="15"/>
  <c r="AQ84" i="15"/>
  <c r="AP84" i="15"/>
  <c r="AO84" i="15"/>
  <c r="AN84" i="15"/>
  <c r="L84" i="15"/>
  <c r="N84" i="15" s="1"/>
  <c r="E84" i="15"/>
  <c r="AV83" i="15"/>
  <c r="AT83" i="15"/>
  <c r="AR83" i="15"/>
  <c r="AQ83" i="15"/>
  <c r="AP83" i="15"/>
  <c r="AO83" i="15"/>
  <c r="AN83" i="15"/>
  <c r="L83" i="15"/>
  <c r="N83" i="15" s="1"/>
  <c r="E83" i="15"/>
  <c r="G83" i="15" s="1"/>
  <c r="AV82" i="15"/>
  <c r="AT82" i="15"/>
  <c r="AR82" i="15"/>
  <c r="AQ82" i="15"/>
  <c r="AP82" i="15"/>
  <c r="AO82" i="15"/>
  <c r="AN82" i="15"/>
  <c r="L82" i="15"/>
  <c r="N82" i="15" s="1"/>
  <c r="E82" i="15"/>
  <c r="G82" i="15" s="1"/>
  <c r="AV81" i="15"/>
  <c r="AT81" i="15"/>
  <c r="AR81" i="15"/>
  <c r="AQ81" i="15"/>
  <c r="AP81" i="15"/>
  <c r="AO81" i="15"/>
  <c r="AN81" i="15"/>
  <c r="L81" i="15"/>
  <c r="N81" i="15" s="1"/>
  <c r="E81" i="15"/>
  <c r="G81" i="15" s="1"/>
  <c r="AV80" i="15"/>
  <c r="AT80" i="15"/>
  <c r="AR80" i="15"/>
  <c r="AQ80" i="15"/>
  <c r="AP80" i="15"/>
  <c r="AO80" i="15"/>
  <c r="AN80" i="15"/>
  <c r="L80" i="15"/>
  <c r="N80" i="15" s="1"/>
  <c r="E80" i="15"/>
  <c r="AV79" i="15"/>
  <c r="AT79" i="15"/>
  <c r="AR79" i="15"/>
  <c r="AQ79" i="15"/>
  <c r="AP79" i="15"/>
  <c r="AO79" i="15"/>
  <c r="AN79" i="15"/>
  <c r="L79" i="15"/>
  <c r="N79" i="15" s="1"/>
  <c r="E79" i="15"/>
  <c r="AV78" i="15"/>
  <c r="AT78" i="15"/>
  <c r="AR78" i="15"/>
  <c r="AQ78" i="15"/>
  <c r="AP78" i="15"/>
  <c r="AO78" i="15"/>
  <c r="AN78" i="15"/>
  <c r="L78" i="15"/>
  <c r="N78" i="15" s="1"/>
  <c r="E78" i="15"/>
  <c r="G78" i="15" s="1"/>
  <c r="AV77" i="15"/>
  <c r="AT77" i="15"/>
  <c r="AR77" i="15"/>
  <c r="AQ77" i="15"/>
  <c r="AP77" i="15"/>
  <c r="AO77" i="15"/>
  <c r="AN77" i="15"/>
  <c r="L77" i="15"/>
  <c r="N77" i="15" s="1"/>
  <c r="E77" i="15"/>
  <c r="G77" i="15" s="1"/>
  <c r="AV76" i="15"/>
  <c r="AT76" i="15"/>
  <c r="AR76" i="15"/>
  <c r="AQ76" i="15"/>
  <c r="AP76" i="15"/>
  <c r="AO76" i="15"/>
  <c r="AN76" i="15"/>
  <c r="L76" i="15"/>
  <c r="N76" i="15" s="1"/>
  <c r="E76" i="15"/>
  <c r="AV75" i="15"/>
  <c r="AT75" i="15"/>
  <c r="AR75" i="15"/>
  <c r="AQ75" i="15"/>
  <c r="AP75" i="15"/>
  <c r="AO75" i="15"/>
  <c r="AN75" i="15"/>
  <c r="L75" i="15"/>
  <c r="N75" i="15" s="1"/>
  <c r="E75" i="15"/>
  <c r="G75" i="15" s="1"/>
  <c r="AV74" i="15"/>
  <c r="AT74" i="15"/>
  <c r="AR74" i="15"/>
  <c r="AQ74" i="15"/>
  <c r="AP74" i="15"/>
  <c r="AO74" i="15"/>
  <c r="AN74" i="15"/>
  <c r="L74" i="15"/>
  <c r="E74" i="15"/>
  <c r="G74" i="15" s="1"/>
  <c r="AV73" i="15"/>
  <c r="AT73" i="15"/>
  <c r="AR73" i="15"/>
  <c r="AQ73" i="15"/>
  <c r="AP73" i="15"/>
  <c r="AO73" i="15"/>
  <c r="AN73" i="15"/>
  <c r="L73" i="15"/>
  <c r="N73" i="15" s="1"/>
  <c r="E73" i="15"/>
  <c r="G73" i="15" s="1"/>
  <c r="AV72" i="15"/>
  <c r="AT72" i="15"/>
  <c r="AR72" i="15"/>
  <c r="AQ72" i="15"/>
  <c r="AP72" i="15"/>
  <c r="AO72" i="15"/>
  <c r="AN72" i="15"/>
  <c r="L72" i="15"/>
  <c r="N72" i="15" s="1"/>
  <c r="E72" i="15"/>
  <c r="AV71" i="15"/>
  <c r="AT71" i="15"/>
  <c r="AR71" i="15"/>
  <c r="AQ71" i="15"/>
  <c r="AP71" i="15"/>
  <c r="AO71" i="15"/>
  <c r="AN71" i="15"/>
  <c r="N71" i="15"/>
  <c r="L71" i="15"/>
  <c r="E71" i="15"/>
  <c r="AV70" i="15"/>
  <c r="AT70" i="15"/>
  <c r="AR70" i="15"/>
  <c r="AQ70" i="15"/>
  <c r="AP70" i="15"/>
  <c r="AO70" i="15"/>
  <c r="AN70" i="15"/>
  <c r="L70" i="15"/>
  <c r="E70" i="15"/>
  <c r="G70" i="15" s="1"/>
  <c r="AV69" i="15"/>
  <c r="AT69" i="15"/>
  <c r="AR69" i="15"/>
  <c r="AQ69" i="15"/>
  <c r="AP69" i="15"/>
  <c r="AO69" i="15"/>
  <c r="AN69" i="15"/>
  <c r="L69" i="15"/>
  <c r="N69" i="15" s="1"/>
  <c r="E69" i="15"/>
  <c r="AV68" i="15"/>
  <c r="AT68" i="15"/>
  <c r="AR68" i="15"/>
  <c r="AQ68" i="15"/>
  <c r="AP68" i="15"/>
  <c r="AO68" i="15"/>
  <c r="AN68" i="15"/>
  <c r="L68" i="15"/>
  <c r="N68" i="15" s="1"/>
  <c r="E68" i="15"/>
  <c r="AV67" i="15"/>
  <c r="AT67" i="15"/>
  <c r="AR67" i="15"/>
  <c r="AQ67" i="15"/>
  <c r="AP67" i="15"/>
  <c r="AO67" i="15"/>
  <c r="AN67" i="15"/>
  <c r="L67" i="15"/>
  <c r="N67" i="15" s="1"/>
  <c r="E67" i="15"/>
  <c r="G67" i="15" s="1"/>
  <c r="AV66" i="15"/>
  <c r="AT66" i="15"/>
  <c r="AR66" i="15"/>
  <c r="AQ66" i="15"/>
  <c r="AP66" i="15"/>
  <c r="AO66" i="15"/>
  <c r="AN66" i="15"/>
  <c r="L66" i="15"/>
  <c r="E66" i="15"/>
  <c r="G66" i="15" s="1"/>
  <c r="AV65" i="15"/>
  <c r="AT65" i="15"/>
  <c r="AR65" i="15"/>
  <c r="AQ65" i="15"/>
  <c r="AP65" i="15"/>
  <c r="AO65" i="15"/>
  <c r="AN65" i="15"/>
  <c r="L65" i="15"/>
  <c r="N65" i="15" s="1"/>
  <c r="E65" i="15"/>
  <c r="G65" i="15" s="1"/>
  <c r="AV64" i="15"/>
  <c r="AT64" i="15"/>
  <c r="AR64" i="15"/>
  <c r="AQ64" i="15"/>
  <c r="AP64" i="15"/>
  <c r="AO64" i="15"/>
  <c r="AN64" i="15"/>
  <c r="L64" i="15"/>
  <c r="N64" i="15" s="1"/>
  <c r="E64" i="15"/>
  <c r="AV63" i="15"/>
  <c r="AT63" i="15"/>
  <c r="AR63" i="15"/>
  <c r="AQ63" i="15"/>
  <c r="AP63" i="15"/>
  <c r="AO63" i="15"/>
  <c r="AN63" i="15"/>
  <c r="L63" i="15"/>
  <c r="N63" i="15" s="1"/>
  <c r="E63" i="15"/>
  <c r="G63" i="15" s="1"/>
  <c r="AV62" i="15"/>
  <c r="AT62" i="15"/>
  <c r="AR62" i="15"/>
  <c r="AQ62" i="15"/>
  <c r="AP62" i="15"/>
  <c r="AO62" i="15"/>
  <c r="AN62" i="15"/>
  <c r="L62" i="15"/>
  <c r="E62" i="15"/>
  <c r="G62" i="15" s="1"/>
  <c r="AV61" i="15"/>
  <c r="AT61" i="15"/>
  <c r="AR61" i="15"/>
  <c r="AQ61" i="15"/>
  <c r="AP61" i="15"/>
  <c r="AO61" i="15"/>
  <c r="AN61" i="15"/>
  <c r="L61" i="15"/>
  <c r="N61" i="15" s="1"/>
  <c r="E61" i="15"/>
  <c r="G61" i="15" s="1"/>
  <c r="AV60" i="15"/>
  <c r="AT60" i="15"/>
  <c r="AR60" i="15"/>
  <c r="AQ60" i="15"/>
  <c r="AP60" i="15"/>
  <c r="AO60" i="15"/>
  <c r="AN60" i="15"/>
  <c r="L60" i="15"/>
  <c r="N60" i="15" s="1"/>
  <c r="E60" i="15"/>
  <c r="AV59" i="15"/>
  <c r="AT59" i="15"/>
  <c r="AR59" i="15"/>
  <c r="AQ59" i="15"/>
  <c r="AP59" i="15"/>
  <c r="AO59" i="15"/>
  <c r="AN59" i="15"/>
  <c r="L59" i="15"/>
  <c r="N59" i="15" s="1"/>
  <c r="E59" i="15"/>
  <c r="G59" i="15" s="1"/>
  <c r="AV58" i="15"/>
  <c r="AT58" i="15"/>
  <c r="AR58" i="15"/>
  <c r="AQ58" i="15"/>
  <c r="AP58" i="15"/>
  <c r="AO58" i="15"/>
  <c r="AN58" i="15"/>
  <c r="L58" i="15"/>
  <c r="E58" i="15"/>
  <c r="G58" i="15" s="1"/>
  <c r="AV57" i="15"/>
  <c r="AT57" i="15"/>
  <c r="AR57" i="15"/>
  <c r="AQ57" i="15"/>
  <c r="AP57" i="15"/>
  <c r="AO57" i="15"/>
  <c r="AN57" i="15"/>
  <c r="L57" i="15"/>
  <c r="N57" i="15" s="1"/>
  <c r="G57" i="15"/>
  <c r="E57" i="15"/>
  <c r="AV56" i="15"/>
  <c r="AT56" i="15"/>
  <c r="AR56" i="15"/>
  <c r="AQ56" i="15"/>
  <c r="AP56" i="15"/>
  <c r="AO56" i="15"/>
  <c r="AN56" i="15"/>
  <c r="L56" i="15"/>
  <c r="U56" i="15" s="1"/>
  <c r="E56" i="15"/>
  <c r="G56" i="15" s="1"/>
  <c r="AV55" i="15"/>
  <c r="AT55" i="15"/>
  <c r="AR55" i="15"/>
  <c r="AQ55" i="15"/>
  <c r="AP55" i="15"/>
  <c r="AO55" i="15"/>
  <c r="AN55" i="15"/>
  <c r="L55" i="15"/>
  <c r="N55" i="15" s="1"/>
  <c r="E55" i="15"/>
  <c r="G55" i="15" s="1"/>
  <c r="AV54" i="15"/>
  <c r="AT54" i="15"/>
  <c r="AR54" i="15"/>
  <c r="AQ54" i="15"/>
  <c r="AP54" i="15"/>
  <c r="AO54" i="15"/>
  <c r="AN54" i="15"/>
  <c r="L54" i="15"/>
  <c r="N54" i="15" s="1"/>
  <c r="E54" i="15"/>
  <c r="AV53" i="15"/>
  <c r="AT53" i="15"/>
  <c r="AR53" i="15"/>
  <c r="AQ53" i="15"/>
  <c r="AP53" i="15"/>
  <c r="AO53" i="15"/>
  <c r="AN53" i="15"/>
  <c r="L53" i="15"/>
  <c r="N53" i="15" s="1"/>
  <c r="E53" i="15"/>
  <c r="G53" i="15" s="1"/>
  <c r="AV52" i="15"/>
  <c r="AT52" i="15"/>
  <c r="AR52" i="15"/>
  <c r="AQ52" i="15"/>
  <c r="AP52" i="15"/>
  <c r="AO52" i="15"/>
  <c r="AN52" i="15"/>
  <c r="L52" i="15"/>
  <c r="N52" i="15" s="1"/>
  <c r="E52" i="15"/>
  <c r="G52" i="15" s="1"/>
  <c r="AV51" i="15"/>
  <c r="AT51" i="15"/>
  <c r="AR51" i="15"/>
  <c r="AQ51" i="15"/>
  <c r="AP51" i="15"/>
  <c r="AO51" i="15"/>
  <c r="AN51" i="15"/>
  <c r="L51" i="15"/>
  <c r="N51" i="15" s="1"/>
  <c r="E51" i="15"/>
  <c r="BB50" i="15"/>
  <c r="AV50" i="15"/>
  <c r="AT50" i="15"/>
  <c r="AR50" i="15"/>
  <c r="AQ50" i="15"/>
  <c r="AP50" i="15"/>
  <c r="AO50" i="15"/>
  <c r="AN50" i="15"/>
  <c r="L50" i="15"/>
  <c r="U50" i="15" s="1"/>
  <c r="E50" i="15"/>
  <c r="G50" i="15" s="1"/>
  <c r="BD49" i="15"/>
  <c r="AV49" i="15"/>
  <c r="AT49" i="15"/>
  <c r="AR49" i="15"/>
  <c r="AQ49" i="15"/>
  <c r="AP49" i="15"/>
  <c r="AO49" i="15"/>
  <c r="AN49" i="15"/>
  <c r="L49" i="15"/>
  <c r="N49" i="15" s="1"/>
  <c r="E49" i="15"/>
  <c r="G49" i="15" s="1"/>
  <c r="AV48" i="15"/>
  <c r="AT48" i="15"/>
  <c r="AR48" i="15"/>
  <c r="AQ48" i="15"/>
  <c r="AP48" i="15"/>
  <c r="AO48" i="15"/>
  <c r="AN48" i="15"/>
  <c r="L48" i="15"/>
  <c r="E48" i="15"/>
  <c r="G48" i="15" s="1"/>
  <c r="BB47" i="15"/>
  <c r="AV47" i="15"/>
  <c r="AT47" i="15"/>
  <c r="AR47" i="15"/>
  <c r="AQ47" i="15"/>
  <c r="AP47" i="15"/>
  <c r="AO47" i="15"/>
  <c r="AN47" i="15"/>
  <c r="L47" i="15"/>
  <c r="N47" i="15" s="1"/>
  <c r="E47" i="15"/>
  <c r="BB46" i="15"/>
  <c r="AV46" i="15"/>
  <c r="AT46" i="15"/>
  <c r="AR46" i="15"/>
  <c r="AQ46" i="15"/>
  <c r="AP46" i="15"/>
  <c r="AO46" i="15"/>
  <c r="AN46" i="15"/>
  <c r="L46" i="15"/>
  <c r="N46" i="15" s="1"/>
  <c r="E46" i="15"/>
  <c r="AV45" i="15"/>
  <c r="AT45" i="15"/>
  <c r="AR45" i="15"/>
  <c r="AQ45" i="15"/>
  <c r="AP45" i="15"/>
  <c r="AO45" i="15"/>
  <c r="AN45" i="15"/>
  <c r="N45" i="15"/>
  <c r="L45" i="15"/>
  <c r="E45" i="15"/>
  <c r="G45" i="15" s="1"/>
  <c r="AV44" i="15"/>
  <c r="AT44" i="15"/>
  <c r="AR44" i="15"/>
  <c r="AQ44" i="15"/>
  <c r="AP44" i="15"/>
  <c r="AO44" i="15"/>
  <c r="AN44" i="15"/>
  <c r="L44" i="15"/>
  <c r="N44" i="15" s="1"/>
  <c r="E44" i="15"/>
  <c r="AV43" i="15"/>
  <c r="AT43" i="15"/>
  <c r="AR43" i="15"/>
  <c r="AQ43" i="15"/>
  <c r="AP43" i="15"/>
  <c r="AO43" i="15"/>
  <c r="AN43" i="15"/>
  <c r="L43" i="15"/>
  <c r="E43" i="15"/>
  <c r="G43" i="15" s="1"/>
  <c r="AV42" i="15"/>
  <c r="AT42" i="15"/>
  <c r="AR42" i="15"/>
  <c r="AQ42" i="15"/>
  <c r="AP42" i="15"/>
  <c r="AO42" i="15"/>
  <c r="AN42" i="15"/>
  <c r="L42" i="15"/>
  <c r="N42" i="15" s="1"/>
  <c r="E42" i="15"/>
  <c r="G42" i="15" s="1"/>
  <c r="AV41" i="15"/>
  <c r="AT41" i="15"/>
  <c r="AR41" i="15"/>
  <c r="AQ41" i="15"/>
  <c r="AP41" i="15"/>
  <c r="AO41" i="15"/>
  <c r="AN41" i="15"/>
  <c r="L41" i="15"/>
  <c r="N41" i="15" s="1"/>
  <c r="E41" i="15"/>
  <c r="AV40" i="15"/>
  <c r="AT40" i="15"/>
  <c r="AR40" i="15"/>
  <c r="AQ40" i="15"/>
  <c r="AP40" i="15"/>
  <c r="AO40" i="15"/>
  <c r="AN40" i="15"/>
  <c r="L40" i="15"/>
  <c r="E40" i="15"/>
  <c r="G40" i="15" s="1"/>
  <c r="AV39" i="15"/>
  <c r="AT39" i="15"/>
  <c r="AR39" i="15"/>
  <c r="AQ39" i="15"/>
  <c r="AP39" i="15"/>
  <c r="AO39" i="15"/>
  <c r="AN39" i="15"/>
  <c r="L39" i="15"/>
  <c r="N39" i="15" s="1"/>
  <c r="E39" i="15"/>
  <c r="AV38" i="15"/>
  <c r="AT38" i="15"/>
  <c r="AR38" i="15"/>
  <c r="AQ38" i="15"/>
  <c r="AP38" i="15"/>
  <c r="AO38" i="15"/>
  <c r="AN38" i="15"/>
  <c r="L38" i="15"/>
  <c r="N38" i="15" s="1"/>
  <c r="E38" i="15"/>
  <c r="AV37" i="15"/>
  <c r="AT37" i="15"/>
  <c r="AR37" i="15"/>
  <c r="AQ37" i="15"/>
  <c r="AP37" i="15"/>
  <c r="AO37" i="15"/>
  <c r="AN37" i="15"/>
  <c r="L37" i="15"/>
  <c r="N37" i="15" s="1"/>
  <c r="E37" i="15"/>
  <c r="G37" i="15" s="1"/>
  <c r="AV36" i="15"/>
  <c r="AT36" i="15"/>
  <c r="AR36" i="15"/>
  <c r="AQ36" i="15"/>
  <c r="AP36" i="15"/>
  <c r="AO36" i="15"/>
  <c r="AN36" i="15"/>
  <c r="L36" i="15"/>
  <c r="N36" i="15" s="1"/>
  <c r="E36" i="15"/>
  <c r="G36" i="15" s="1"/>
  <c r="AV35" i="15"/>
  <c r="AT35" i="15"/>
  <c r="AR35" i="15"/>
  <c r="AQ35" i="15"/>
  <c r="AP35" i="15"/>
  <c r="AO35" i="15"/>
  <c r="AN35" i="15"/>
  <c r="L35" i="15"/>
  <c r="N35" i="15" s="1"/>
  <c r="E35" i="15"/>
  <c r="G35" i="15" s="1"/>
  <c r="AV34" i="15"/>
  <c r="AT34" i="15"/>
  <c r="AR34" i="15"/>
  <c r="AQ34" i="15"/>
  <c r="AP34" i="15"/>
  <c r="AO34" i="15"/>
  <c r="AN34" i="15"/>
  <c r="L34" i="15"/>
  <c r="N34" i="15" s="1"/>
  <c r="E34" i="15"/>
  <c r="AV33" i="15"/>
  <c r="AT33" i="15"/>
  <c r="AR33" i="15"/>
  <c r="AQ33" i="15"/>
  <c r="AP33" i="15"/>
  <c r="AO33" i="15"/>
  <c r="AN33" i="15"/>
  <c r="L33" i="15"/>
  <c r="N33" i="15" s="1"/>
  <c r="E33" i="15"/>
  <c r="G33" i="15" s="1"/>
  <c r="AV32" i="15"/>
  <c r="AT32" i="15"/>
  <c r="AR32" i="15"/>
  <c r="AQ32" i="15"/>
  <c r="AP32" i="15"/>
  <c r="AO32" i="15"/>
  <c r="AN32" i="15"/>
  <c r="L32" i="15"/>
  <c r="N32" i="15" s="1"/>
  <c r="E32" i="15"/>
  <c r="G32" i="15" s="1"/>
  <c r="AV31" i="15"/>
  <c r="AT31" i="15"/>
  <c r="AR31" i="15"/>
  <c r="AQ31" i="15"/>
  <c r="AP31" i="15"/>
  <c r="AO31" i="15"/>
  <c r="AN31" i="15"/>
  <c r="L31" i="15"/>
  <c r="N31" i="15" s="1"/>
  <c r="E31" i="15"/>
  <c r="G31" i="15" s="1"/>
  <c r="AV30" i="15"/>
  <c r="AT30" i="15"/>
  <c r="AR30" i="15"/>
  <c r="AQ30" i="15"/>
  <c r="AP30" i="15"/>
  <c r="AO30" i="15"/>
  <c r="AN30" i="15"/>
  <c r="L30" i="15"/>
  <c r="N30" i="15" s="1"/>
  <c r="E30" i="15"/>
  <c r="G30" i="15" s="1"/>
  <c r="AV29" i="15"/>
  <c r="AT29" i="15"/>
  <c r="AR29" i="15"/>
  <c r="AQ29" i="15"/>
  <c r="AP29" i="15"/>
  <c r="AO29" i="15"/>
  <c r="AN29" i="15"/>
  <c r="L29" i="15"/>
  <c r="N29" i="15" s="1"/>
  <c r="E29" i="15"/>
  <c r="AV28" i="15"/>
  <c r="AT28" i="15"/>
  <c r="AR28" i="15"/>
  <c r="AQ28" i="15"/>
  <c r="AP28" i="15"/>
  <c r="AO28" i="15"/>
  <c r="AN28" i="15"/>
  <c r="L28" i="15"/>
  <c r="E28" i="15"/>
  <c r="G28" i="15" s="1"/>
  <c r="AV27" i="15"/>
  <c r="AT27" i="15"/>
  <c r="AR27" i="15"/>
  <c r="AQ27" i="15"/>
  <c r="AP27" i="15"/>
  <c r="AO27" i="15"/>
  <c r="AN27" i="15"/>
  <c r="L27" i="15"/>
  <c r="N27" i="15" s="1"/>
  <c r="E27" i="15"/>
  <c r="G27" i="15" s="1"/>
  <c r="AV26" i="15"/>
  <c r="AT26" i="15"/>
  <c r="AR26" i="15"/>
  <c r="AQ26" i="15"/>
  <c r="AP26" i="15"/>
  <c r="AO26" i="15"/>
  <c r="AN26" i="15"/>
  <c r="L26" i="15"/>
  <c r="N26" i="15" s="1"/>
  <c r="E26" i="15"/>
  <c r="G26" i="15" s="1"/>
  <c r="AV25" i="15"/>
  <c r="AT25" i="15"/>
  <c r="AR25" i="15"/>
  <c r="AQ25" i="15"/>
  <c r="AP25" i="15"/>
  <c r="AO25" i="15"/>
  <c r="AN25" i="15"/>
  <c r="L25" i="15"/>
  <c r="N25" i="15" s="1"/>
  <c r="E25" i="15"/>
  <c r="G25" i="15" s="1"/>
  <c r="AV24" i="15"/>
  <c r="AT24" i="15"/>
  <c r="AR24" i="15"/>
  <c r="AQ24" i="15"/>
  <c r="AP24" i="15"/>
  <c r="AO24" i="15"/>
  <c r="AN24" i="15"/>
  <c r="L24" i="15"/>
  <c r="E24" i="15"/>
  <c r="G24" i="15" s="1"/>
  <c r="AV23" i="15"/>
  <c r="AT23" i="15"/>
  <c r="AR23" i="15"/>
  <c r="AQ23" i="15"/>
  <c r="AP23" i="15"/>
  <c r="AO23" i="15"/>
  <c r="AN23" i="15"/>
  <c r="L23" i="15"/>
  <c r="N23" i="15" s="1"/>
  <c r="E23" i="15"/>
  <c r="AV22" i="15"/>
  <c r="AT22" i="15"/>
  <c r="AR22" i="15"/>
  <c r="AQ22" i="15"/>
  <c r="AP22" i="15"/>
  <c r="AO22" i="15"/>
  <c r="AN22" i="15"/>
  <c r="L22" i="15"/>
  <c r="N22" i="15" s="1"/>
  <c r="E22" i="15"/>
  <c r="G22" i="15" s="1"/>
  <c r="AV21" i="15"/>
  <c r="AT21" i="15"/>
  <c r="AR21" i="15"/>
  <c r="AQ21" i="15"/>
  <c r="AP21" i="15"/>
  <c r="AO21" i="15"/>
  <c r="AN21" i="15"/>
  <c r="L21" i="15"/>
  <c r="N21" i="15" s="1"/>
  <c r="E21" i="15"/>
  <c r="G21" i="15" s="1"/>
  <c r="AV20" i="15"/>
  <c r="AT20" i="15"/>
  <c r="AR20" i="15"/>
  <c r="AQ20" i="15"/>
  <c r="AP20" i="15"/>
  <c r="AO20" i="15"/>
  <c r="AN20" i="15"/>
  <c r="L20" i="15"/>
  <c r="N20" i="15" s="1"/>
  <c r="E20" i="15"/>
  <c r="G20" i="15" s="1"/>
  <c r="AV19" i="15"/>
  <c r="AT19" i="15"/>
  <c r="AR19" i="15"/>
  <c r="AQ19" i="15"/>
  <c r="AP19" i="15"/>
  <c r="AO19" i="15"/>
  <c r="AN19" i="15"/>
  <c r="L19" i="15"/>
  <c r="N19" i="15" s="1"/>
  <c r="E19" i="15"/>
  <c r="G19" i="15" s="1"/>
  <c r="AV18" i="15"/>
  <c r="AT18" i="15"/>
  <c r="AR18" i="15"/>
  <c r="AQ18" i="15"/>
  <c r="AP18" i="15"/>
  <c r="AO18" i="15"/>
  <c r="AN18" i="15"/>
  <c r="L18" i="15"/>
  <c r="N18" i="15" s="1"/>
  <c r="E18" i="15"/>
  <c r="AV17" i="15"/>
  <c r="AT17" i="15"/>
  <c r="AR17" i="15"/>
  <c r="AQ17" i="15"/>
  <c r="AP17" i="15"/>
  <c r="AO17" i="15"/>
  <c r="AN17" i="15"/>
  <c r="L17" i="15"/>
  <c r="N17" i="15" s="1"/>
  <c r="E17" i="15"/>
  <c r="G17" i="15" s="1"/>
  <c r="AV16" i="15"/>
  <c r="AT16" i="15"/>
  <c r="AR16" i="15"/>
  <c r="AQ16" i="15"/>
  <c r="AP16" i="15"/>
  <c r="AO16" i="15"/>
  <c r="AN16" i="15"/>
  <c r="L16" i="15"/>
  <c r="N16" i="15" s="1"/>
  <c r="E16" i="15"/>
  <c r="G16" i="15" s="1"/>
  <c r="AV15" i="15"/>
  <c r="AT15" i="15"/>
  <c r="AR15" i="15"/>
  <c r="AQ15" i="15"/>
  <c r="AP15" i="15"/>
  <c r="AO15" i="15"/>
  <c r="AN15" i="15"/>
  <c r="L15" i="15"/>
  <c r="N15" i="15" s="1"/>
  <c r="E15" i="15"/>
  <c r="G15" i="15" s="1"/>
  <c r="AV14" i="15"/>
  <c r="AT14" i="15"/>
  <c r="AR14" i="15"/>
  <c r="AQ14" i="15"/>
  <c r="AP14" i="15"/>
  <c r="AO14" i="15"/>
  <c r="AN14" i="15"/>
  <c r="L14" i="15"/>
  <c r="N14" i="15" s="1"/>
  <c r="E14" i="15"/>
  <c r="G14" i="15" s="1"/>
  <c r="AV13" i="15"/>
  <c r="AT13" i="15"/>
  <c r="AR13" i="15"/>
  <c r="AQ13" i="15"/>
  <c r="AP13" i="15"/>
  <c r="AO13" i="15"/>
  <c r="AN13" i="15"/>
  <c r="L13" i="15"/>
  <c r="N13" i="15" s="1"/>
  <c r="E13" i="15"/>
  <c r="AV12" i="15"/>
  <c r="AT12" i="15"/>
  <c r="AR12" i="15"/>
  <c r="AQ12" i="15"/>
  <c r="AP12" i="15"/>
  <c r="AO12" i="15"/>
  <c r="AN12" i="15"/>
  <c r="L12" i="15"/>
  <c r="N12" i="15" s="1"/>
  <c r="E12" i="15"/>
  <c r="G12" i="15" s="1"/>
  <c r="AV11" i="15"/>
  <c r="AT11" i="15"/>
  <c r="AR11" i="15"/>
  <c r="AQ11" i="15"/>
  <c r="AP11" i="15"/>
  <c r="AO11" i="15"/>
  <c r="AN11" i="15"/>
  <c r="U11" i="15"/>
  <c r="L11" i="15"/>
  <c r="N11" i="15" s="1"/>
  <c r="E11" i="15"/>
  <c r="G11" i="15" s="1"/>
  <c r="AV10" i="15"/>
  <c r="AT10" i="15"/>
  <c r="AR10" i="15"/>
  <c r="AQ10" i="15"/>
  <c r="AP10" i="15"/>
  <c r="AO10" i="15"/>
  <c r="AN10" i="15"/>
  <c r="L10" i="15"/>
  <c r="N10" i="15" s="1"/>
  <c r="E10" i="15"/>
  <c r="G10" i="15" s="1"/>
  <c r="AV9" i="15"/>
  <c r="AT9" i="15"/>
  <c r="AR9" i="15"/>
  <c r="AQ9" i="15"/>
  <c r="AP9" i="15"/>
  <c r="AO9" i="15"/>
  <c r="AN9" i="15"/>
  <c r="L9" i="15"/>
  <c r="N9" i="15" s="1"/>
  <c r="E9" i="15"/>
  <c r="AV8" i="15"/>
  <c r="AT8" i="15"/>
  <c r="AR8" i="15"/>
  <c r="AQ8" i="15"/>
  <c r="AP8" i="15"/>
  <c r="AO8" i="15"/>
  <c r="AN8" i="15"/>
  <c r="L8" i="15"/>
  <c r="N8" i="15" s="1"/>
  <c r="E8" i="15"/>
  <c r="G8" i="15" s="1"/>
  <c r="AV7" i="15"/>
  <c r="AT7" i="15"/>
  <c r="AR7" i="15"/>
  <c r="AQ7" i="15"/>
  <c r="AP7" i="15"/>
  <c r="AO7" i="15"/>
  <c r="AN7" i="15"/>
  <c r="L7" i="15"/>
  <c r="N7" i="15" s="1"/>
  <c r="E7" i="15"/>
  <c r="G7" i="15" s="1"/>
  <c r="AV6" i="15"/>
  <c r="AT6" i="15"/>
  <c r="AR6" i="15"/>
  <c r="AQ6" i="15"/>
  <c r="AP6" i="15"/>
  <c r="AO6" i="15"/>
  <c r="AN6" i="15"/>
  <c r="L6" i="15"/>
  <c r="N6" i="15" s="1"/>
  <c r="E6" i="15"/>
  <c r="AV5" i="15"/>
  <c r="AT5" i="15"/>
  <c r="AR5" i="15"/>
  <c r="AQ5" i="15"/>
  <c r="AP5" i="15"/>
  <c r="AO5" i="15"/>
  <c r="AN5" i="15"/>
  <c r="L5" i="15"/>
  <c r="N5" i="15" s="1"/>
  <c r="E5" i="15"/>
  <c r="G5" i="15" s="1"/>
  <c r="AV4" i="15"/>
  <c r="AT4" i="15"/>
  <c r="AR4" i="15"/>
  <c r="AQ4" i="15"/>
  <c r="AP4" i="15"/>
  <c r="AO4" i="15"/>
  <c r="AN4" i="15"/>
  <c r="L4" i="15"/>
  <c r="N4" i="15" s="1"/>
  <c r="E4" i="15"/>
  <c r="G4" i="15" s="1"/>
  <c r="AV3" i="15"/>
  <c r="AT3" i="15"/>
  <c r="AR3" i="15"/>
  <c r="AQ3" i="15"/>
  <c r="AP3" i="15"/>
  <c r="AO3" i="15"/>
  <c r="AN3" i="15"/>
  <c r="AA3" i="15"/>
  <c r="L3" i="15"/>
  <c r="M3" i="15" s="1"/>
  <c r="E3" i="15"/>
  <c r="G3" i="15" s="1"/>
  <c r="A3" i="15"/>
  <c r="A3" i="13"/>
  <c r="AV3" i="13"/>
  <c r="AV4" i="13"/>
  <c r="AV5" i="13"/>
  <c r="AV6" i="13"/>
  <c r="AV7" i="13"/>
  <c r="AV8" i="13"/>
  <c r="AV9" i="13"/>
  <c r="AV10" i="13"/>
  <c r="AV11" i="13"/>
  <c r="AV12" i="13"/>
  <c r="AV13" i="13"/>
  <c r="AV14" i="13"/>
  <c r="AV15" i="13"/>
  <c r="AV16" i="13"/>
  <c r="AV17" i="13"/>
  <c r="AV18" i="13"/>
  <c r="AV19" i="13"/>
  <c r="AV20" i="13"/>
  <c r="AV21" i="13"/>
  <c r="AV22" i="13"/>
  <c r="AV23" i="13"/>
  <c r="AV24" i="13"/>
  <c r="AV25" i="13"/>
  <c r="AV26" i="13"/>
  <c r="AV27" i="13"/>
  <c r="AV28" i="13"/>
  <c r="AV29" i="13"/>
  <c r="AV30" i="13"/>
  <c r="AV31" i="13"/>
  <c r="AV32" i="13"/>
  <c r="AV33" i="13"/>
  <c r="AV34" i="13"/>
  <c r="AV35" i="13"/>
  <c r="AV36" i="13"/>
  <c r="AV37" i="13"/>
  <c r="AV38" i="13"/>
  <c r="AV39" i="13"/>
  <c r="AV40" i="13"/>
  <c r="AV41" i="13"/>
  <c r="AV42" i="13"/>
  <c r="AV43" i="13"/>
  <c r="AV44" i="13"/>
  <c r="AV45" i="13"/>
  <c r="AV46" i="13"/>
  <c r="AV47" i="13"/>
  <c r="AV48" i="13"/>
  <c r="AV49" i="13"/>
  <c r="AV50" i="13"/>
  <c r="AV51" i="13"/>
  <c r="AV52" i="13"/>
  <c r="AV53" i="13"/>
  <c r="AV54" i="13"/>
  <c r="AV55" i="13"/>
  <c r="AV56" i="13"/>
  <c r="AV57" i="13"/>
  <c r="AV58" i="13"/>
  <c r="AV59" i="13"/>
  <c r="AV60" i="13"/>
  <c r="AV61" i="13"/>
  <c r="AV62" i="13"/>
  <c r="AV63" i="13"/>
  <c r="AV64" i="13"/>
  <c r="AV65" i="13"/>
  <c r="AV66" i="13"/>
  <c r="AV67" i="13"/>
  <c r="AV68" i="13"/>
  <c r="AV69" i="13"/>
  <c r="AV70" i="13"/>
  <c r="AV71" i="13"/>
  <c r="AV72" i="13"/>
  <c r="AV73" i="13"/>
  <c r="AV74" i="13"/>
  <c r="AV75" i="13"/>
  <c r="AV76" i="13"/>
  <c r="AV77" i="13"/>
  <c r="AV78" i="13"/>
  <c r="AV79" i="13"/>
  <c r="AV80" i="13"/>
  <c r="AV81" i="13"/>
  <c r="AV82" i="13"/>
  <c r="AV83" i="13"/>
  <c r="AV84" i="13"/>
  <c r="AV85" i="13"/>
  <c r="AV86" i="13"/>
  <c r="AV87" i="13"/>
  <c r="AV88" i="13"/>
  <c r="AV89" i="13"/>
  <c r="AV90" i="13"/>
  <c r="AV91" i="13"/>
  <c r="AV92" i="13"/>
  <c r="AV93" i="13"/>
  <c r="AV94" i="13"/>
  <c r="AV95" i="13"/>
  <c r="AV96" i="13"/>
  <c r="AV97" i="13"/>
  <c r="AV98" i="13"/>
  <c r="AV99" i="13"/>
  <c r="AV100" i="13"/>
  <c r="AV101" i="13"/>
  <c r="AV102" i="13"/>
  <c r="AV103" i="13"/>
  <c r="AV104" i="13"/>
  <c r="AV105" i="13"/>
  <c r="AV106" i="13"/>
  <c r="AV107" i="13"/>
  <c r="AV108" i="13"/>
  <c r="AV109" i="13"/>
  <c r="AV110" i="13"/>
  <c r="AV111" i="13"/>
  <c r="AV112" i="13"/>
  <c r="AT112" i="13"/>
  <c r="AT111" i="13"/>
  <c r="AT110" i="13"/>
  <c r="AT109" i="13"/>
  <c r="AT108" i="13"/>
  <c r="AT107" i="13"/>
  <c r="AT106" i="13"/>
  <c r="AT105" i="13"/>
  <c r="AT104" i="13"/>
  <c r="AT103" i="13"/>
  <c r="AT102" i="13"/>
  <c r="AT101" i="13"/>
  <c r="AT100" i="13"/>
  <c r="AT99" i="13"/>
  <c r="AT98" i="13"/>
  <c r="AT97" i="13"/>
  <c r="AT96" i="13"/>
  <c r="AT95" i="13"/>
  <c r="AT94" i="13"/>
  <c r="AT93" i="13"/>
  <c r="AT92" i="13"/>
  <c r="AT91" i="13"/>
  <c r="AT90" i="13"/>
  <c r="AT89" i="13"/>
  <c r="AT88" i="13"/>
  <c r="AT87" i="13"/>
  <c r="AT86" i="13"/>
  <c r="AT85" i="13"/>
  <c r="AT84" i="13"/>
  <c r="AT83" i="13"/>
  <c r="AT82" i="13"/>
  <c r="AT81" i="13"/>
  <c r="AT80" i="13"/>
  <c r="AT79" i="13"/>
  <c r="AT78" i="13"/>
  <c r="AT77" i="13"/>
  <c r="AT76" i="13"/>
  <c r="AT75" i="13"/>
  <c r="AT74" i="13"/>
  <c r="AT73" i="13"/>
  <c r="AT72" i="13"/>
  <c r="AT71" i="13"/>
  <c r="AT70" i="13"/>
  <c r="AT69" i="13"/>
  <c r="AT68" i="13"/>
  <c r="AT67" i="13"/>
  <c r="AT66" i="13"/>
  <c r="AT65" i="13"/>
  <c r="AT64" i="13"/>
  <c r="AT63" i="13"/>
  <c r="AT62" i="13"/>
  <c r="AT61" i="13"/>
  <c r="AT60" i="13"/>
  <c r="AT59" i="13"/>
  <c r="AT58" i="13"/>
  <c r="AT57" i="13"/>
  <c r="AT56" i="13"/>
  <c r="AT55" i="13"/>
  <c r="AT54" i="13"/>
  <c r="AT53" i="13"/>
  <c r="AT52" i="13"/>
  <c r="AT51" i="13"/>
  <c r="AT50" i="13"/>
  <c r="AT49" i="13"/>
  <c r="AT48" i="13"/>
  <c r="AT47" i="13"/>
  <c r="AT46" i="13"/>
  <c r="AT45" i="13"/>
  <c r="AT44" i="13"/>
  <c r="AT43" i="13"/>
  <c r="AT42" i="13"/>
  <c r="AT41" i="13"/>
  <c r="AT40" i="13"/>
  <c r="AT39" i="13"/>
  <c r="AT38" i="13"/>
  <c r="AT37" i="13"/>
  <c r="AT36" i="13"/>
  <c r="AT35" i="13"/>
  <c r="AT34" i="13"/>
  <c r="AT33" i="13"/>
  <c r="AT32" i="13"/>
  <c r="AT31" i="13"/>
  <c r="AT30" i="13"/>
  <c r="AT29" i="13"/>
  <c r="AT28" i="13"/>
  <c r="AT27" i="13"/>
  <c r="AT26" i="13"/>
  <c r="AT25" i="13"/>
  <c r="AT24" i="13"/>
  <c r="AT23" i="13"/>
  <c r="AT22" i="13"/>
  <c r="AT21" i="13"/>
  <c r="AT20" i="13"/>
  <c r="AT19" i="13"/>
  <c r="AT18" i="13"/>
  <c r="AT17" i="13"/>
  <c r="AT16" i="13"/>
  <c r="AT15" i="13"/>
  <c r="AT14" i="13"/>
  <c r="AT13" i="13"/>
  <c r="AT12" i="13"/>
  <c r="AT11" i="13"/>
  <c r="AT10" i="13"/>
  <c r="AT9" i="13"/>
  <c r="AT8" i="13"/>
  <c r="AT7" i="13"/>
  <c r="AT6" i="13"/>
  <c r="AT5" i="13"/>
  <c r="AT4" i="13"/>
  <c r="AT3" i="13"/>
  <c r="AR112" i="13"/>
  <c r="AR111" i="13"/>
  <c r="AR110" i="13"/>
  <c r="AR109" i="13"/>
  <c r="AR108" i="13"/>
  <c r="AR107" i="13"/>
  <c r="AR106" i="13"/>
  <c r="AR105" i="13"/>
  <c r="AR104" i="13"/>
  <c r="AR103" i="13"/>
  <c r="AR102" i="13"/>
  <c r="AR101" i="13"/>
  <c r="AR100" i="13"/>
  <c r="AR99" i="13"/>
  <c r="AR98" i="13"/>
  <c r="AR97" i="13"/>
  <c r="AR96" i="13"/>
  <c r="AR95" i="13"/>
  <c r="AR94" i="13"/>
  <c r="AR93" i="13"/>
  <c r="AR92" i="13"/>
  <c r="AR91" i="13"/>
  <c r="AR90" i="13"/>
  <c r="AR89" i="13"/>
  <c r="AR88" i="13"/>
  <c r="AR87" i="13"/>
  <c r="AR86" i="13"/>
  <c r="AR85" i="13"/>
  <c r="AR84" i="13"/>
  <c r="AR83" i="13"/>
  <c r="AR82" i="13"/>
  <c r="AR81" i="13"/>
  <c r="AR80" i="13"/>
  <c r="AR79" i="13"/>
  <c r="AR78" i="13"/>
  <c r="AR77" i="13"/>
  <c r="AR76" i="13"/>
  <c r="AR75" i="13"/>
  <c r="AR74" i="13"/>
  <c r="AR73" i="13"/>
  <c r="AR72" i="13"/>
  <c r="AR71" i="13"/>
  <c r="AR70" i="13"/>
  <c r="AR69" i="13"/>
  <c r="AR68" i="13"/>
  <c r="AR67" i="13"/>
  <c r="AR66" i="13"/>
  <c r="AR65" i="13"/>
  <c r="AR64" i="13"/>
  <c r="AR63" i="13"/>
  <c r="AR62" i="13"/>
  <c r="AR61" i="13"/>
  <c r="AR60" i="13"/>
  <c r="AR59" i="13"/>
  <c r="AR58" i="13"/>
  <c r="AR57" i="13"/>
  <c r="AR56" i="13"/>
  <c r="AR55" i="13"/>
  <c r="AR54" i="13"/>
  <c r="AR53" i="13"/>
  <c r="AR52" i="13"/>
  <c r="AR51" i="13"/>
  <c r="AR50" i="13"/>
  <c r="AR49" i="13"/>
  <c r="AR48" i="13"/>
  <c r="AR47" i="13"/>
  <c r="AR46" i="13"/>
  <c r="AR45" i="13"/>
  <c r="AR44" i="13"/>
  <c r="AR43" i="13"/>
  <c r="AR42" i="13"/>
  <c r="AR41" i="13"/>
  <c r="AR40" i="13"/>
  <c r="AR39" i="13"/>
  <c r="AR38" i="13"/>
  <c r="AR37" i="13"/>
  <c r="AR36" i="13"/>
  <c r="AR35" i="13"/>
  <c r="AR34" i="13"/>
  <c r="AR33" i="13"/>
  <c r="AR32" i="13"/>
  <c r="AR31" i="13"/>
  <c r="AR30" i="13"/>
  <c r="AR29" i="13"/>
  <c r="AR28" i="13"/>
  <c r="AR27" i="13"/>
  <c r="AR26" i="13"/>
  <c r="AR25" i="13"/>
  <c r="AR24" i="13"/>
  <c r="AR23" i="13"/>
  <c r="AR22" i="13"/>
  <c r="AR21" i="13"/>
  <c r="AR20" i="13"/>
  <c r="AR19" i="13"/>
  <c r="AR18" i="13"/>
  <c r="AR17" i="13"/>
  <c r="AR16" i="13"/>
  <c r="AR15" i="13"/>
  <c r="AR14" i="13"/>
  <c r="AR13" i="13"/>
  <c r="AR12" i="13"/>
  <c r="AR11" i="13"/>
  <c r="AR10" i="13"/>
  <c r="AR9" i="13"/>
  <c r="AR8" i="13"/>
  <c r="AR7" i="13"/>
  <c r="AR6" i="13"/>
  <c r="AR5" i="13"/>
  <c r="AR4" i="13"/>
  <c r="AR3" i="13"/>
  <c r="A4" i="13"/>
  <c r="B4" i="13" s="1"/>
  <c r="C23" i="2"/>
  <c r="C22" i="2"/>
  <c r="AQ112" i="13"/>
  <c r="AP112" i="13"/>
  <c r="AO112" i="13"/>
  <c r="AN112" i="13"/>
  <c r="L112" i="13"/>
  <c r="N112" i="13" s="1"/>
  <c r="E112" i="13"/>
  <c r="G112" i="13" s="1"/>
  <c r="AQ111" i="13"/>
  <c r="AP111" i="13"/>
  <c r="AO111" i="13"/>
  <c r="AN111" i="13"/>
  <c r="L111" i="13"/>
  <c r="N111" i="13" s="1"/>
  <c r="E111" i="13"/>
  <c r="G111" i="13" s="1"/>
  <c r="AQ110" i="13"/>
  <c r="AP110" i="13"/>
  <c r="AO110" i="13"/>
  <c r="AN110" i="13"/>
  <c r="L110" i="13"/>
  <c r="N110" i="13" s="1"/>
  <c r="E110" i="13"/>
  <c r="G110" i="13" s="1"/>
  <c r="AQ109" i="13"/>
  <c r="AP109" i="13"/>
  <c r="AO109" i="13"/>
  <c r="AN109" i="13"/>
  <c r="L109" i="13"/>
  <c r="N109" i="13" s="1"/>
  <c r="E109" i="13"/>
  <c r="G109" i="13" s="1"/>
  <c r="AQ108" i="13"/>
  <c r="AP108" i="13"/>
  <c r="AO108" i="13"/>
  <c r="AN108" i="13"/>
  <c r="L108" i="13"/>
  <c r="N108" i="13" s="1"/>
  <c r="E108" i="13"/>
  <c r="G108" i="13" s="1"/>
  <c r="AQ107" i="13"/>
  <c r="AP107" i="13"/>
  <c r="AO107" i="13"/>
  <c r="AN107" i="13"/>
  <c r="L107" i="13"/>
  <c r="N107" i="13" s="1"/>
  <c r="E107" i="13"/>
  <c r="G107" i="13" s="1"/>
  <c r="AQ106" i="13"/>
  <c r="AP106" i="13"/>
  <c r="AO106" i="13"/>
  <c r="AN106" i="13"/>
  <c r="L106" i="13"/>
  <c r="N106" i="13" s="1"/>
  <c r="E106" i="13"/>
  <c r="G106" i="13" s="1"/>
  <c r="AQ105" i="13"/>
  <c r="AP105" i="13"/>
  <c r="AO105" i="13"/>
  <c r="AN105" i="13"/>
  <c r="L105" i="13"/>
  <c r="N105" i="13" s="1"/>
  <c r="E105" i="13"/>
  <c r="G105" i="13" s="1"/>
  <c r="AQ104" i="13"/>
  <c r="AP104" i="13"/>
  <c r="AO104" i="13"/>
  <c r="AN104" i="13"/>
  <c r="L104" i="13"/>
  <c r="N104" i="13" s="1"/>
  <c r="E104" i="13"/>
  <c r="G104" i="13" s="1"/>
  <c r="AQ103" i="13"/>
  <c r="AP103" i="13"/>
  <c r="AO103" i="13"/>
  <c r="AN103" i="13"/>
  <c r="L103" i="13"/>
  <c r="N103" i="13" s="1"/>
  <c r="E103" i="13"/>
  <c r="G103" i="13" s="1"/>
  <c r="AQ102" i="13"/>
  <c r="AP102" i="13"/>
  <c r="AO102" i="13"/>
  <c r="AN102" i="13"/>
  <c r="L102" i="13"/>
  <c r="N102" i="13" s="1"/>
  <c r="E102" i="13"/>
  <c r="G102" i="13" s="1"/>
  <c r="AQ101" i="13"/>
  <c r="AP101" i="13"/>
  <c r="AO101" i="13"/>
  <c r="AN101" i="13"/>
  <c r="L101" i="13"/>
  <c r="N101" i="13" s="1"/>
  <c r="E101" i="13"/>
  <c r="G101" i="13" s="1"/>
  <c r="AQ100" i="13"/>
  <c r="AP100" i="13"/>
  <c r="AO100" i="13"/>
  <c r="AN100" i="13"/>
  <c r="L100" i="13"/>
  <c r="N100" i="13" s="1"/>
  <c r="E100" i="13"/>
  <c r="G100" i="13" s="1"/>
  <c r="AQ99" i="13"/>
  <c r="AP99" i="13"/>
  <c r="AO99" i="13"/>
  <c r="AN99" i="13"/>
  <c r="L99" i="13"/>
  <c r="N99" i="13" s="1"/>
  <c r="E99" i="13"/>
  <c r="G99" i="13" s="1"/>
  <c r="AQ98" i="13"/>
  <c r="AP98" i="13"/>
  <c r="AO98" i="13"/>
  <c r="AN98" i="13"/>
  <c r="L98" i="13"/>
  <c r="N98" i="13" s="1"/>
  <c r="E98" i="13"/>
  <c r="G98" i="13" s="1"/>
  <c r="AQ97" i="13"/>
  <c r="AP97" i="13"/>
  <c r="AO97" i="13"/>
  <c r="AN97" i="13"/>
  <c r="L97" i="13"/>
  <c r="N97" i="13" s="1"/>
  <c r="E97" i="13"/>
  <c r="G97" i="13" s="1"/>
  <c r="AQ96" i="13"/>
  <c r="AP96" i="13"/>
  <c r="AO96" i="13"/>
  <c r="AN96" i="13"/>
  <c r="L96" i="13"/>
  <c r="N96" i="13" s="1"/>
  <c r="E96" i="13"/>
  <c r="G96" i="13" s="1"/>
  <c r="AQ95" i="13"/>
  <c r="AP95" i="13"/>
  <c r="AO95" i="13"/>
  <c r="AN95" i="13"/>
  <c r="L95" i="13"/>
  <c r="N95" i="13" s="1"/>
  <c r="E95" i="13"/>
  <c r="G95" i="13" s="1"/>
  <c r="AQ94" i="13"/>
  <c r="AP94" i="13"/>
  <c r="AO94" i="13"/>
  <c r="AN94" i="13"/>
  <c r="L94" i="13"/>
  <c r="N94" i="13" s="1"/>
  <c r="E94" i="13"/>
  <c r="G94" i="13" s="1"/>
  <c r="AQ93" i="13"/>
  <c r="AP93" i="13"/>
  <c r="AO93" i="13"/>
  <c r="AN93" i="13"/>
  <c r="L93" i="13"/>
  <c r="N93" i="13" s="1"/>
  <c r="E93" i="13"/>
  <c r="G93" i="13" s="1"/>
  <c r="AQ92" i="13"/>
  <c r="AP92" i="13"/>
  <c r="AO92" i="13"/>
  <c r="AN92" i="13"/>
  <c r="L92" i="13"/>
  <c r="N92" i="13" s="1"/>
  <c r="E92" i="13"/>
  <c r="G92" i="13" s="1"/>
  <c r="AQ91" i="13"/>
  <c r="AP91" i="13"/>
  <c r="AO91" i="13"/>
  <c r="AN91" i="13"/>
  <c r="L91" i="13"/>
  <c r="N91" i="13" s="1"/>
  <c r="E91" i="13"/>
  <c r="G91" i="13" s="1"/>
  <c r="AQ90" i="13"/>
  <c r="AP90" i="13"/>
  <c r="AO90" i="13"/>
  <c r="AN90" i="13"/>
  <c r="L90" i="13"/>
  <c r="N90" i="13" s="1"/>
  <c r="E90" i="13"/>
  <c r="G90" i="13" s="1"/>
  <c r="AQ89" i="13"/>
  <c r="AP89" i="13"/>
  <c r="AO89" i="13"/>
  <c r="AN89" i="13"/>
  <c r="L89" i="13"/>
  <c r="N89" i="13" s="1"/>
  <c r="E89" i="13"/>
  <c r="G89" i="13" s="1"/>
  <c r="AQ88" i="13"/>
  <c r="AP88" i="13"/>
  <c r="AO88" i="13"/>
  <c r="AN88" i="13"/>
  <c r="L88" i="13"/>
  <c r="N88" i="13" s="1"/>
  <c r="E88" i="13"/>
  <c r="G88" i="13" s="1"/>
  <c r="AQ87" i="13"/>
  <c r="AP87" i="13"/>
  <c r="AO87" i="13"/>
  <c r="AN87" i="13"/>
  <c r="L87" i="13"/>
  <c r="N87" i="13" s="1"/>
  <c r="E87" i="13"/>
  <c r="G87" i="13" s="1"/>
  <c r="AQ86" i="13"/>
  <c r="AP86" i="13"/>
  <c r="AO86" i="13"/>
  <c r="AN86" i="13"/>
  <c r="L86" i="13"/>
  <c r="N86" i="13" s="1"/>
  <c r="E86" i="13"/>
  <c r="G86" i="13" s="1"/>
  <c r="AQ85" i="13"/>
  <c r="AP85" i="13"/>
  <c r="AO85" i="13"/>
  <c r="AN85" i="13"/>
  <c r="L85" i="13"/>
  <c r="N85" i="13" s="1"/>
  <c r="E85" i="13"/>
  <c r="G85" i="13" s="1"/>
  <c r="AQ84" i="13"/>
  <c r="AP84" i="13"/>
  <c r="AO84" i="13"/>
  <c r="AN84" i="13"/>
  <c r="L84" i="13"/>
  <c r="N84" i="13" s="1"/>
  <c r="E84" i="13"/>
  <c r="G84" i="13" s="1"/>
  <c r="AQ83" i="13"/>
  <c r="AP83" i="13"/>
  <c r="AO83" i="13"/>
  <c r="AN83" i="13"/>
  <c r="L83" i="13"/>
  <c r="N83" i="13" s="1"/>
  <c r="E83" i="13"/>
  <c r="G83" i="13" s="1"/>
  <c r="AQ82" i="13"/>
  <c r="AP82" i="13"/>
  <c r="AO82" i="13"/>
  <c r="AN82" i="13"/>
  <c r="L82" i="13"/>
  <c r="N82" i="13" s="1"/>
  <c r="E82" i="13"/>
  <c r="G82" i="13" s="1"/>
  <c r="AQ81" i="13"/>
  <c r="AP81" i="13"/>
  <c r="AO81" i="13"/>
  <c r="AN81" i="13"/>
  <c r="L81" i="13"/>
  <c r="N81" i="13" s="1"/>
  <c r="E81" i="13"/>
  <c r="G81" i="13" s="1"/>
  <c r="AQ80" i="13"/>
  <c r="AP80" i="13"/>
  <c r="AO80" i="13"/>
  <c r="AN80" i="13"/>
  <c r="L80" i="13"/>
  <c r="N80" i="13" s="1"/>
  <c r="E80" i="13"/>
  <c r="G80" i="13" s="1"/>
  <c r="AQ79" i="13"/>
  <c r="AP79" i="13"/>
  <c r="AO79" i="13"/>
  <c r="AN79" i="13"/>
  <c r="L79" i="13"/>
  <c r="N79" i="13" s="1"/>
  <c r="E79" i="13"/>
  <c r="G79" i="13" s="1"/>
  <c r="AQ78" i="13"/>
  <c r="AP78" i="13"/>
  <c r="AO78" i="13"/>
  <c r="AN78" i="13"/>
  <c r="L78" i="13"/>
  <c r="N78" i="13" s="1"/>
  <c r="E78" i="13"/>
  <c r="G78" i="13" s="1"/>
  <c r="AQ77" i="13"/>
  <c r="AP77" i="13"/>
  <c r="AO77" i="13"/>
  <c r="AN77" i="13"/>
  <c r="L77" i="13"/>
  <c r="N77" i="13" s="1"/>
  <c r="E77" i="13"/>
  <c r="G77" i="13" s="1"/>
  <c r="AQ76" i="13"/>
  <c r="AP76" i="13"/>
  <c r="AO76" i="13"/>
  <c r="AN76" i="13"/>
  <c r="L76" i="13"/>
  <c r="N76" i="13" s="1"/>
  <c r="E76" i="13"/>
  <c r="G76" i="13" s="1"/>
  <c r="AQ75" i="13"/>
  <c r="AP75" i="13"/>
  <c r="AO75" i="13"/>
  <c r="AN75" i="13"/>
  <c r="L75" i="13"/>
  <c r="N75" i="13" s="1"/>
  <c r="E75" i="13"/>
  <c r="G75" i="13" s="1"/>
  <c r="AQ74" i="13"/>
  <c r="AP74" i="13"/>
  <c r="AO74" i="13"/>
  <c r="AN74" i="13"/>
  <c r="L74" i="13"/>
  <c r="N74" i="13" s="1"/>
  <c r="E74" i="13"/>
  <c r="G74" i="13" s="1"/>
  <c r="AQ73" i="13"/>
  <c r="AP73" i="13"/>
  <c r="AO73" i="13"/>
  <c r="AN73" i="13"/>
  <c r="L73" i="13"/>
  <c r="N73" i="13" s="1"/>
  <c r="E73" i="13"/>
  <c r="G73" i="13" s="1"/>
  <c r="AQ72" i="13"/>
  <c r="AP72" i="13"/>
  <c r="AO72" i="13"/>
  <c r="AN72" i="13"/>
  <c r="L72" i="13"/>
  <c r="N72" i="13" s="1"/>
  <c r="E72" i="13"/>
  <c r="G72" i="13" s="1"/>
  <c r="AQ71" i="13"/>
  <c r="AP71" i="13"/>
  <c r="AO71" i="13"/>
  <c r="AN71" i="13"/>
  <c r="L71" i="13"/>
  <c r="N71" i="13" s="1"/>
  <c r="E71" i="13"/>
  <c r="G71" i="13" s="1"/>
  <c r="AQ70" i="13"/>
  <c r="AP70" i="13"/>
  <c r="AO70" i="13"/>
  <c r="AN70" i="13"/>
  <c r="L70" i="13"/>
  <c r="N70" i="13" s="1"/>
  <c r="E70" i="13"/>
  <c r="G70" i="13" s="1"/>
  <c r="AQ69" i="13"/>
  <c r="AP69" i="13"/>
  <c r="AO69" i="13"/>
  <c r="AN69" i="13"/>
  <c r="L69" i="13"/>
  <c r="N69" i="13" s="1"/>
  <c r="E69" i="13"/>
  <c r="G69" i="13" s="1"/>
  <c r="AQ68" i="13"/>
  <c r="AP68" i="13"/>
  <c r="AO68" i="13"/>
  <c r="AN68" i="13"/>
  <c r="L68" i="13"/>
  <c r="N68" i="13" s="1"/>
  <c r="E68" i="13"/>
  <c r="G68" i="13" s="1"/>
  <c r="AQ67" i="13"/>
  <c r="AP67" i="13"/>
  <c r="AO67" i="13"/>
  <c r="AN67" i="13"/>
  <c r="L67" i="13"/>
  <c r="N67" i="13" s="1"/>
  <c r="E67" i="13"/>
  <c r="G67" i="13" s="1"/>
  <c r="AQ66" i="13"/>
  <c r="AP66" i="13"/>
  <c r="AO66" i="13"/>
  <c r="AN66" i="13"/>
  <c r="L66" i="13"/>
  <c r="N66" i="13" s="1"/>
  <c r="E66" i="13"/>
  <c r="G66" i="13" s="1"/>
  <c r="AQ65" i="13"/>
  <c r="AP65" i="13"/>
  <c r="AO65" i="13"/>
  <c r="AN65" i="13"/>
  <c r="L65" i="13"/>
  <c r="N65" i="13" s="1"/>
  <c r="E65" i="13"/>
  <c r="G65" i="13" s="1"/>
  <c r="AQ64" i="13"/>
  <c r="AP64" i="13"/>
  <c r="AO64" i="13"/>
  <c r="AN64" i="13"/>
  <c r="L64" i="13"/>
  <c r="N64" i="13" s="1"/>
  <c r="E64" i="13"/>
  <c r="G64" i="13" s="1"/>
  <c r="AQ63" i="13"/>
  <c r="AP63" i="13"/>
  <c r="AO63" i="13"/>
  <c r="AN63" i="13"/>
  <c r="L63" i="13"/>
  <c r="N63" i="13" s="1"/>
  <c r="E63" i="13"/>
  <c r="G63" i="13" s="1"/>
  <c r="AQ62" i="13"/>
  <c r="AP62" i="13"/>
  <c r="AO62" i="13"/>
  <c r="AN62" i="13"/>
  <c r="L62" i="13"/>
  <c r="N62" i="13" s="1"/>
  <c r="E62" i="13"/>
  <c r="G62" i="13" s="1"/>
  <c r="AQ61" i="13"/>
  <c r="AP61" i="13"/>
  <c r="AO61" i="13"/>
  <c r="AN61" i="13"/>
  <c r="L61" i="13"/>
  <c r="N61" i="13" s="1"/>
  <c r="E61" i="13"/>
  <c r="G61" i="13" s="1"/>
  <c r="AQ60" i="13"/>
  <c r="AP60" i="13"/>
  <c r="AO60" i="13"/>
  <c r="AN60" i="13"/>
  <c r="L60" i="13"/>
  <c r="N60" i="13" s="1"/>
  <c r="E60" i="13"/>
  <c r="AQ59" i="13"/>
  <c r="AP59" i="13"/>
  <c r="AO59" i="13"/>
  <c r="AN59" i="13"/>
  <c r="L59" i="13"/>
  <c r="N59" i="13" s="1"/>
  <c r="E59" i="13"/>
  <c r="G59" i="13" s="1"/>
  <c r="AQ58" i="13"/>
  <c r="AP58" i="13"/>
  <c r="AO58" i="13"/>
  <c r="AN58" i="13"/>
  <c r="L58" i="13"/>
  <c r="N58" i="13" s="1"/>
  <c r="E58" i="13"/>
  <c r="G58" i="13" s="1"/>
  <c r="AQ57" i="13"/>
  <c r="AP57" i="13"/>
  <c r="AO57" i="13"/>
  <c r="AN57" i="13"/>
  <c r="L57" i="13"/>
  <c r="N57" i="13" s="1"/>
  <c r="E57" i="13"/>
  <c r="G57" i="13" s="1"/>
  <c r="AQ56" i="13"/>
  <c r="AP56" i="13"/>
  <c r="AO56" i="13"/>
  <c r="AN56" i="13"/>
  <c r="L56" i="13"/>
  <c r="N56" i="13" s="1"/>
  <c r="E56" i="13"/>
  <c r="G56" i="13" s="1"/>
  <c r="AQ55" i="13"/>
  <c r="AP55" i="13"/>
  <c r="AO55" i="13"/>
  <c r="AN55" i="13"/>
  <c r="L55" i="13"/>
  <c r="N55" i="13" s="1"/>
  <c r="E55" i="13"/>
  <c r="AQ54" i="13"/>
  <c r="AP54" i="13"/>
  <c r="AO54" i="13"/>
  <c r="AN54" i="13"/>
  <c r="L54" i="13"/>
  <c r="N54" i="13" s="1"/>
  <c r="E54" i="13"/>
  <c r="G54" i="13" s="1"/>
  <c r="AQ53" i="13"/>
  <c r="AP53" i="13"/>
  <c r="AO53" i="13"/>
  <c r="AN53" i="13"/>
  <c r="L53" i="13"/>
  <c r="N53" i="13" s="1"/>
  <c r="E53" i="13"/>
  <c r="G53" i="13" s="1"/>
  <c r="AQ52" i="13"/>
  <c r="AP52" i="13"/>
  <c r="AO52" i="13"/>
  <c r="AN52" i="13"/>
  <c r="L52" i="13"/>
  <c r="N52" i="13" s="1"/>
  <c r="E52" i="13"/>
  <c r="G52" i="13" s="1"/>
  <c r="AQ51" i="13"/>
  <c r="AP51" i="13"/>
  <c r="AO51" i="13"/>
  <c r="AN51" i="13"/>
  <c r="L51" i="13"/>
  <c r="N51" i="13" s="1"/>
  <c r="E51" i="13"/>
  <c r="G51" i="13" s="1"/>
  <c r="AQ50" i="13"/>
  <c r="AP50" i="13"/>
  <c r="AO50" i="13"/>
  <c r="AN50" i="13"/>
  <c r="L50" i="13"/>
  <c r="N50" i="13" s="1"/>
  <c r="E50" i="13"/>
  <c r="G50" i="13" s="1"/>
  <c r="AQ49" i="13"/>
  <c r="AP49" i="13"/>
  <c r="AO49" i="13"/>
  <c r="AN49" i="13"/>
  <c r="L49" i="13"/>
  <c r="N49" i="13" s="1"/>
  <c r="E49" i="13"/>
  <c r="G49" i="13" s="1"/>
  <c r="AQ48" i="13"/>
  <c r="AP48" i="13"/>
  <c r="AO48" i="13"/>
  <c r="AN48" i="13"/>
  <c r="L48" i="13"/>
  <c r="N48" i="13" s="1"/>
  <c r="E48" i="13"/>
  <c r="G48" i="13" s="1"/>
  <c r="BB50" i="13"/>
  <c r="AQ47" i="13"/>
  <c r="AP47" i="13"/>
  <c r="AO47" i="13"/>
  <c r="AN47" i="13"/>
  <c r="L47" i="13"/>
  <c r="N47" i="13" s="1"/>
  <c r="E47" i="13"/>
  <c r="BD49" i="13"/>
  <c r="AQ46" i="13"/>
  <c r="AP46" i="13"/>
  <c r="AO46" i="13"/>
  <c r="AN46" i="13"/>
  <c r="L46" i="13"/>
  <c r="N46" i="13" s="1"/>
  <c r="E46" i="13"/>
  <c r="G46" i="13" s="1"/>
  <c r="AQ45" i="13"/>
  <c r="AP45" i="13"/>
  <c r="AO45" i="13"/>
  <c r="AN45" i="13"/>
  <c r="L45" i="13"/>
  <c r="N45" i="13" s="1"/>
  <c r="E45" i="13"/>
  <c r="G45" i="13" s="1"/>
  <c r="BB47" i="13"/>
  <c r="AQ44" i="13"/>
  <c r="AP44" i="13"/>
  <c r="AO44" i="13"/>
  <c r="AN44" i="13"/>
  <c r="L44" i="13"/>
  <c r="N44" i="13" s="1"/>
  <c r="E44" i="13"/>
  <c r="G44" i="13" s="1"/>
  <c r="BB46" i="13"/>
  <c r="AQ43" i="13"/>
  <c r="AP43" i="13"/>
  <c r="AO43" i="13"/>
  <c r="AN43" i="13"/>
  <c r="L43" i="13"/>
  <c r="N43" i="13" s="1"/>
  <c r="E43" i="13"/>
  <c r="G43" i="13" s="1"/>
  <c r="AQ42" i="13"/>
  <c r="AP42" i="13"/>
  <c r="AO42" i="13"/>
  <c r="AN42" i="13"/>
  <c r="L42" i="13"/>
  <c r="N42" i="13" s="1"/>
  <c r="E42" i="13"/>
  <c r="G42" i="13" s="1"/>
  <c r="AQ41" i="13"/>
  <c r="AP41" i="13"/>
  <c r="AO41" i="13"/>
  <c r="AN41" i="13"/>
  <c r="L41" i="13"/>
  <c r="N41" i="13" s="1"/>
  <c r="E41" i="13"/>
  <c r="G41" i="13" s="1"/>
  <c r="AQ40" i="13"/>
  <c r="AP40" i="13"/>
  <c r="AO40" i="13"/>
  <c r="AN40" i="13"/>
  <c r="L40" i="13"/>
  <c r="N40" i="13" s="1"/>
  <c r="E40" i="13"/>
  <c r="G40" i="13" s="1"/>
  <c r="AQ39" i="13"/>
  <c r="AP39" i="13"/>
  <c r="AO39" i="13"/>
  <c r="AN39" i="13"/>
  <c r="L39" i="13"/>
  <c r="N39" i="13" s="1"/>
  <c r="E39" i="13"/>
  <c r="G39" i="13" s="1"/>
  <c r="AQ38" i="13"/>
  <c r="AP38" i="13"/>
  <c r="AO38" i="13"/>
  <c r="AN38" i="13"/>
  <c r="L38" i="13"/>
  <c r="N38" i="13" s="1"/>
  <c r="E38" i="13"/>
  <c r="G38" i="13" s="1"/>
  <c r="AQ37" i="13"/>
  <c r="AP37" i="13"/>
  <c r="AO37" i="13"/>
  <c r="AN37" i="13"/>
  <c r="L37" i="13"/>
  <c r="N37" i="13" s="1"/>
  <c r="E37" i="13"/>
  <c r="G37" i="13" s="1"/>
  <c r="AQ36" i="13"/>
  <c r="AP36" i="13"/>
  <c r="AO36" i="13"/>
  <c r="AN36" i="13"/>
  <c r="L36" i="13"/>
  <c r="N36" i="13" s="1"/>
  <c r="E36" i="13"/>
  <c r="G36" i="13" s="1"/>
  <c r="AQ35" i="13"/>
  <c r="AP35" i="13"/>
  <c r="AO35" i="13"/>
  <c r="AN35" i="13"/>
  <c r="L35" i="13"/>
  <c r="N35" i="13" s="1"/>
  <c r="E35" i="13"/>
  <c r="G35" i="13" s="1"/>
  <c r="AQ34" i="13"/>
  <c r="AP34" i="13"/>
  <c r="AO34" i="13"/>
  <c r="AN34" i="13"/>
  <c r="L34" i="13"/>
  <c r="N34" i="13" s="1"/>
  <c r="E34" i="13"/>
  <c r="G34" i="13" s="1"/>
  <c r="AQ33" i="13"/>
  <c r="AP33" i="13"/>
  <c r="AO33" i="13"/>
  <c r="AN33" i="13"/>
  <c r="L33" i="13"/>
  <c r="N33" i="13" s="1"/>
  <c r="E33" i="13"/>
  <c r="G33" i="13" s="1"/>
  <c r="AQ32" i="13"/>
  <c r="AP32" i="13"/>
  <c r="AO32" i="13"/>
  <c r="AN32" i="13"/>
  <c r="L32" i="13"/>
  <c r="N32" i="13" s="1"/>
  <c r="E32" i="13"/>
  <c r="G32" i="13" s="1"/>
  <c r="AQ31" i="13"/>
  <c r="AP31" i="13"/>
  <c r="AO31" i="13"/>
  <c r="AN31" i="13"/>
  <c r="L31" i="13"/>
  <c r="N31" i="13" s="1"/>
  <c r="E31" i="13"/>
  <c r="G31" i="13" s="1"/>
  <c r="AQ30" i="13"/>
  <c r="AP30" i="13"/>
  <c r="AO30" i="13"/>
  <c r="AN30" i="13"/>
  <c r="L30" i="13"/>
  <c r="N30" i="13" s="1"/>
  <c r="E30" i="13"/>
  <c r="G30" i="13" s="1"/>
  <c r="AQ29" i="13"/>
  <c r="AP29" i="13"/>
  <c r="AO29" i="13"/>
  <c r="AN29" i="13"/>
  <c r="L29" i="13"/>
  <c r="N29" i="13" s="1"/>
  <c r="E29" i="13"/>
  <c r="G29" i="13" s="1"/>
  <c r="AQ28" i="13"/>
  <c r="AP28" i="13"/>
  <c r="AO28" i="13"/>
  <c r="AN28" i="13"/>
  <c r="L28" i="13"/>
  <c r="N28" i="13" s="1"/>
  <c r="E28" i="13"/>
  <c r="U28" i="13" s="1"/>
  <c r="AQ27" i="13"/>
  <c r="AP27" i="13"/>
  <c r="AO27" i="13"/>
  <c r="AN27" i="13"/>
  <c r="L27" i="13"/>
  <c r="N27" i="13" s="1"/>
  <c r="E27" i="13"/>
  <c r="G27" i="13" s="1"/>
  <c r="AQ26" i="13"/>
  <c r="AP26" i="13"/>
  <c r="AO26" i="13"/>
  <c r="AN26" i="13"/>
  <c r="L26" i="13"/>
  <c r="N26" i="13" s="1"/>
  <c r="E26" i="13"/>
  <c r="G26" i="13" s="1"/>
  <c r="AQ25" i="13"/>
  <c r="AP25" i="13"/>
  <c r="AO25" i="13"/>
  <c r="AN25" i="13"/>
  <c r="L25" i="13"/>
  <c r="N25" i="13" s="1"/>
  <c r="E25" i="13"/>
  <c r="G25" i="13" s="1"/>
  <c r="AQ24" i="13"/>
  <c r="AP24" i="13"/>
  <c r="AO24" i="13"/>
  <c r="AN24" i="13"/>
  <c r="L24" i="13"/>
  <c r="N24" i="13" s="1"/>
  <c r="E24" i="13"/>
  <c r="G24" i="13" s="1"/>
  <c r="AQ23" i="13"/>
  <c r="AP23" i="13"/>
  <c r="AO23" i="13"/>
  <c r="AN23" i="13"/>
  <c r="L23" i="13"/>
  <c r="N23" i="13" s="1"/>
  <c r="E23" i="13"/>
  <c r="G23" i="13" s="1"/>
  <c r="AQ22" i="13"/>
  <c r="AP22" i="13"/>
  <c r="AO22" i="13"/>
  <c r="AN22" i="13"/>
  <c r="L22" i="13"/>
  <c r="N22" i="13" s="1"/>
  <c r="E22" i="13"/>
  <c r="G22" i="13" s="1"/>
  <c r="AQ21" i="13"/>
  <c r="AP21" i="13"/>
  <c r="AO21" i="13"/>
  <c r="AN21" i="13"/>
  <c r="L21" i="13"/>
  <c r="N21" i="13" s="1"/>
  <c r="E21" i="13"/>
  <c r="G21" i="13" s="1"/>
  <c r="AQ20" i="13"/>
  <c r="AP20" i="13"/>
  <c r="AO20" i="13"/>
  <c r="AN20" i="13"/>
  <c r="L20" i="13"/>
  <c r="N20" i="13" s="1"/>
  <c r="E20" i="13"/>
  <c r="G20" i="13" s="1"/>
  <c r="AQ19" i="13"/>
  <c r="AP19" i="13"/>
  <c r="AO19" i="13"/>
  <c r="AN19" i="13"/>
  <c r="L19" i="13"/>
  <c r="N19" i="13" s="1"/>
  <c r="E19" i="13"/>
  <c r="AQ18" i="13"/>
  <c r="AP18" i="13"/>
  <c r="AO18" i="13"/>
  <c r="AN18" i="13"/>
  <c r="L18" i="13"/>
  <c r="N18" i="13" s="1"/>
  <c r="E18" i="13"/>
  <c r="G18" i="13" s="1"/>
  <c r="AQ17" i="13"/>
  <c r="AP17" i="13"/>
  <c r="AO17" i="13"/>
  <c r="AN17" i="13"/>
  <c r="L17" i="13"/>
  <c r="N17" i="13" s="1"/>
  <c r="E17" i="13"/>
  <c r="G17" i="13" s="1"/>
  <c r="AQ16" i="13"/>
  <c r="AP16" i="13"/>
  <c r="AO16" i="13"/>
  <c r="AN16" i="13"/>
  <c r="L16" i="13"/>
  <c r="N16" i="13" s="1"/>
  <c r="E16" i="13"/>
  <c r="G16" i="13" s="1"/>
  <c r="AQ15" i="13"/>
  <c r="AP15" i="13"/>
  <c r="AO15" i="13"/>
  <c r="AN15" i="13"/>
  <c r="L15" i="13"/>
  <c r="N15" i="13" s="1"/>
  <c r="E15" i="13"/>
  <c r="G15" i="13" s="1"/>
  <c r="AQ14" i="13"/>
  <c r="AP14" i="13"/>
  <c r="AO14" i="13"/>
  <c r="AN14" i="13"/>
  <c r="L14" i="13"/>
  <c r="N14" i="13" s="1"/>
  <c r="E14" i="13"/>
  <c r="G14" i="13" s="1"/>
  <c r="AQ13" i="13"/>
  <c r="AP13" i="13"/>
  <c r="AO13" i="13"/>
  <c r="AN13" i="13"/>
  <c r="L13" i="13"/>
  <c r="N13" i="13" s="1"/>
  <c r="E13" i="13"/>
  <c r="G13" i="13" s="1"/>
  <c r="AQ12" i="13"/>
  <c r="AP12" i="13"/>
  <c r="AO12" i="13"/>
  <c r="AN12" i="13"/>
  <c r="L12" i="13"/>
  <c r="N12" i="13" s="1"/>
  <c r="E12" i="13"/>
  <c r="G12" i="13" s="1"/>
  <c r="AQ11" i="13"/>
  <c r="AP11" i="13"/>
  <c r="AO11" i="13"/>
  <c r="AN11" i="13"/>
  <c r="L11" i="13"/>
  <c r="N11" i="13" s="1"/>
  <c r="E11" i="13"/>
  <c r="G11" i="13" s="1"/>
  <c r="AQ10" i="13"/>
  <c r="AP10" i="13"/>
  <c r="AO10" i="13"/>
  <c r="AN10" i="13"/>
  <c r="L10" i="13"/>
  <c r="N10" i="13" s="1"/>
  <c r="E10" i="13"/>
  <c r="G10" i="13" s="1"/>
  <c r="AQ9" i="13"/>
  <c r="AP9" i="13"/>
  <c r="AO9" i="13"/>
  <c r="AN9" i="13"/>
  <c r="L9" i="13"/>
  <c r="N9" i="13" s="1"/>
  <c r="E9" i="13"/>
  <c r="G9" i="13" s="1"/>
  <c r="AQ8" i="13"/>
  <c r="AP8" i="13"/>
  <c r="AO8" i="13"/>
  <c r="AN8" i="13"/>
  <c r="L8" i="13"/>
  <c r="N8" i="13" s="1"/>
  <c r="E8" i="13"/>
  <c r="G8" i="13" s="1"/>
  <c r="AQ7" i="13"/>
  <c r="AP7" i="13"/>
  <c r="AO7" i="13"/>
  <c r="AN7" i="13"/>
  <c r="L7" i="13"/>
  <c r="N7" i="13" s="1"/>
  <c r="E7" i="13"/>
  <c r="AQ6" i="13"/>
  <c r="AP6" i="13"/>
  <c r="AO6" i="13"/>
  <c r="AN6" i="13"/>
  <c r="L6" i="13"/>
  <c r="N6" i="13" s="1"/>
  <c r="E6" i="13"/>
  <c r="G6" i="13" s="1"/>
  <c r="AQ5" i="13"/>
  <c r="AP5" i="13"/>
  <c r="AO5" i="13"/>
  <c r="AN5" i="13"/>
  <c r="L5" i="13"/>
  <c r="N5" i="13" s="1"/>
  <c r="E5" i="13"/>
  <c r="G5" i="13" s="1"/>
  <c r="AQ4" i="13"/>
  <c r="AP4" i="13"/>
  <c r="AO4" i="13"/>
  <c r="AN4" i="13"/>
  <c r="L4" i="13"/>
  <c r="N4" i="13" s="1"/>
  <c r="E4" i="13"/>
  <c r="G4" i="13" s="1"/>
  <c r="AQ3" i="13"/>
  <c r="AP3" i="13"/>
  <c r="AO3" i="13"/>
  <c r="AN3" i="13"/>
  <c r="AA3" i="13"/>
  <c r="L3" i="13"/>
  <c r="E3" i="13"/>
  <c r="F3" i="13" s="1"/>
  <c r="AL112" i="11"/>
  <c r="AJ112" i="11"/>
  <c r="AI112" i="11"/>
  <c r="AH112" i="11"/>
  <c r="AG112" i="11"/>
  <c r="AF112" i="11"/>
  <c r="M112" i="11"/>
  <c r="O112" i="11" s="1"/>
  <c r="F112" i="11"/>
  <c r="H112" i="11" s="1"/>
  <c r="AL111" i="11"/>
  <c r="AJ111" i="11"/>
  <c r="AI111" i="11"/>
  <c r="AH111" i="11"/>
  <c r="AG111" i="11"/>
  <c r="AF111" i="11"/>
  <c r="M111" i="11"/>
  <c r="O111" i="11" s="1"/>
  <c r="H111" i="11"/>
  <c r="F111" i="11"/>
  <c r="AL110" i="11"/>
  <c r="AJ110" i="11"/>
  <c r="AI110" i="11"/>
  <c r="AH110" i="11"/>
  <c r="AG110" i="11"/>
  <c r="AF110" i="11"/>
  <c r="O110" i="11"/>
  <c r="M110" i="11"/>
  <c r="F110" i="11"/>
  <c r="H110" i="11" s="1"/>
  <c r="AL109" i="11"/>
  <c r="AJ109" i="11"/>
  <c r="AI109" i="11"/>
  <c r="AH109" i="11"/>
  <c r="AG109" i="11"/>
  <c r="AF109" i="11"/>
  <c r="M109" i="11"/>
  <c r="O109" i="11" s="1"/>
  <c r="H109" i="11"/>
  <c r="F109" i="11"/>
  <c r="AL108" i="11"/>
  <c r="AJ108" i="11"/>
  <c r="AI108" i="11"/>
  <c r="AH108" i="11"/>
  <c r="AG108" i="11"/>
  <c r="AF108" i="11"/>
  <c r="O108" i="11"/>
  <c r="M108" i="11"/>
  <c r="F108" i="11"/>
  <c r="H108" i="11" s="1"/>
  <c r="AL107" i="11"/>
  <c r="AJ107" i="11"/>
  <c r="AI107" i="11"/>
  <c r="AH107" i="11"/>
  <c r="AG107" i="11"/>
  <c r="AF107" i="11"/>
  <c r="M107" i="11"/>
  <c r="O107" i="11" s="1"/>
  <c r="F107" i="11"/>
  <c r="H107" i="11" s="1"/>
  <c r="AL106" i="11"/>
  <c r="AJ106" i="11"/>
  <c r="AI106" i="11"/>
  <c r="AH106" i="11"/>
  <c r="AG106" i="11"/>
  <c r="AF106" i="11"/>
  <c r="M106" i="11"/>
  <c r="O106" i="11" s="1"/>
  <c r="F106" i="11"/>
  <c r="H106" i="11" s="1"/>
  <c r="AL105" i="11"/>
  <c r="AJ105" i="11"/>
  <c r="AI105" i="11"/>
  <c r="AH105" i="11"/>
  <c r="AG105" i="11"/>
  <c r="AF105" i="11"/>
  <c r="M105" i="11"/>
  <c r="O105" i="11" s="1"/>
  <c r="F105" i="11"/>
  <c r="H105" i="11" s="1"/>
  <c r="AL104" i="11"/>
  <c r="AJ104" i="11"/>
  <c r="AI104" i="11"/>
  <c r="AH104" i="11"/>
  <c r="AG104" i="11"/>
  <c r="AF104" i="11"/>
  <c r="M104" i="11"/>
  <c r="O104" i="11" s="1"/>
  <c r="F104" i="11"/>
  <c r="H104" i="11" s="1"/>
  <c r="AL103" i="11"/>
  <c r="AJ103" i="11"/>
  <c r="AI103" i="11"/>
  <c r="AH103" i="11"/>
  <c r="AG103" i="11"/>
  <c r="AF103" i="11"/>
  <c r="M103" i="11"/>
  <c r="O103" i="11" s="1"/>
  <c r="H103" i="11"/>
  <c r="F103" i="11"/>
  <c r="AL102" i="11"/>
  <c r="AJ102" i="11"/>
  <c r="AI102" i="11"/>
  <c r="AH102" i="11"/>
  <c r="AG102" i="11"/>
  <c r="AF102" i="11"/>
  <c r="O102" i="11"/>
  <c r="M102" i="11"/>
  <c r="F102" i="11"/>
  <c r="H102" i="11" s="1"/>
  <c r="AL101" i="11"/>
  <c r="AJ101" i="11"/>
  <c r="AI101" i="11"/>
  <c r="AH101" i="11"/>
  <c r="AG101" i="11"/>
  <c r="AF101" i="11"/>
  <c r="M101" i="11"/>
  <c r="O101" i="11" s="1"/>
  <c r="F101" i="11"/>
  <c r="H101" i="11" s="1"/>
  <c r="AL100" i="11"/>
  <c r="AJ100" i="11"/>
  <c r="AI100" i="11"/>
  <c r="AH100" i="11"/>
  <c r="AG100" i="11"/>
  <c r="AF100" i="11"/>
  <c r="O100" i="11"/>
  <c r="M100" i="11"/>
  <c r="F100" i="11"/>
  <c r="H100" i="11" s="1"/>
  <c r="AL99" i="11"/>
  <c r="AJ99" i="11"/>
  <c r="AI99" i="11"/>
  <c r="AH99" i="11"/>
  <c r="AG99" i="11"/>
  <c r="AF99" i="11"/>
  <c r="M99" i="11"/>
  <c r="O99" i="11" s="1"/>
  <c r="F99" i="11"/>
  <c r="H99" i="11" s="1"/>
  <c r="AL98" i="11"/>
  <c r="AJ98" i="11"/>
  <c r="AI98" i="11"/>
  <c r="AH98" i="11"/>
  <c r="AG98" i="11"/>
  <c r="AF98" i="11"/>
  <c r="M98" i="11"/>
  <c r="O98" i="11" s="1"/>
  <c r="F98" i="11"/>
  <c r="H98" i="11" s="1"/>
  <c r="AL97" i="11"/>
  <c r="AJ97" i="11"/>
  <c r="AI97" i="11"/>
  <c r="AH97" i="11"/>
  <c r="AG97" i="11"/>
  <c r="AF97" i="11"/>
  <c r="M97" i="11"/>
  <c r="O97" i="11" s="1"/>
  <c r="F97" i="11"/>
  <c r="H97" i="11" s="1"/>
  <c r="AL96" i="11"/>
  <c r="AJ96" i="11"/>
  <c r="AI96" i="11"/>
  <c r="AH96" i="11"/>
  <c r="AG96" i="11"/>
  <c r="AF96" i="11"/>
  <c r="M96" i="11"/>
  <c r="O96" i="11" s="1"/>
  <c r="F96" i="11"/>
  <c r="H96" i="11" s="1"/>
  <c r="AL95" i="11"/>
  <c r="AJ95" i="11"/>
  <c r="AI95" i="11"/>
  <c r="AH95" i="11"/>
  <c r="AG95" i="11"/>
  <c r="AF95" i="11"/>
  <c r="M95" i="11"/>
  <c r="O95" i="11" s="1"/>
  <c r="H95" i="11"/>
  <c r="F95" i="11"/>
  <c r="AL94" i="11"/>
  <c r="AJ94" i="11"/>
  <c r="AI94" i="11"/>
  <c r="AH94" i="11"/>
  <c r="AG94" i="11"/>
  <c r="AF94" i="11"/>
  <c r="O94" i="11"/>
  <c r="M94" i="11"/>
  <c r="F94" i="11"/>
  <c r="H94" i="11" s="1"/>
  <c r="AL93" i="11"/>
  <c r="AJ93" i="11"/>
  <c r="AI93" i="11"/>
  <c r="AH93" i="11"/>
  <c r="AG93" i="11"/>
  <c r="AF93" i="11"/>
  <c r="M93" i="11"/>
  <c r="O93" i="11" s="1"/>
  <c r="F93" i="11"/>
  <c r="H93" i="11" s="1"/>
  <c r="AL92" i="11"/>
  <c r="AJ92" i="11"/>
  <c r="AI92" i="11"/>
  <c r="AH92" i="11"/>
  <c r="AG92" i="11"/>
  <c r="AF92" i="11"/>
  <c r="M92" i="11"/>
  <c r="O92" i="11" s="1"/>
  <c r="F92" i="11"/>
  <c r="H92" i="11" s="1"/>
  <c r="AL91" i="11"/>
  <c r="AJ91" i="11"/>
  <c r="AI91" i="11"/>
  <c r="AH91" i="11"/>
  <c r="AG91" i="11"/>
  <c r="AF91" i="11"/>
  <c r="M91" i="11"/>
  <c r="O91" i="11" s="1"/>
  <c r="F91" i="11"/>
  <c r="H91" i="11" s="1"/>
  <c r="AL90" i="11"/>
  <c r="AJ90" i="11"/>
  <c r="AI90" i="11"/>
  <c r="AH90" i="11"/>
  <c r="AG90" i="11"/>
  <c r="AF90" i="11"/>
  <c r="M90" i="11"/>
  <c r="O90" i="11" s="1"/>
  <c r="F90" i="11"/>
  <c r="H90" i="11" s="1"/>
  <c r="AL89" i="11"/>
  <c r="AJ89" i="11"/>
  <c r="AI89" i="11"/>
  <c r="AH89" i="11"/>
  <c r="AG89" i="11"/>
  <c r="AF89" i="11"/>
  <c r="M89" i="11"/>
  <c r="O89" i="11" s="1"/>
  <c r="H89" i="11"/>
  <c r="F89" i="11"/>
  <c r="AL88" i="11"/>
  <c r="AJ88" i="11"/>
  <c r="AI88" i="11"/>
  <c r="AH88" i="11"/>
  <c r="AG88" i="11"/>
  <c r="AF88" i="11"/>
  <c r="O88" i="11"/>
  <c r="M88" i="11"/>
  <c r="H88" i="11"/>
  <c r="F88" i="11"/>
  <c r="AL87" i="11"/>
  <c r="AJ87" i="11"/>
  <c r="AI87" i="11"/>
  <c r="AH87" i="11"/>
  <c r="AG87" i="11"/>
  <c r="AF87" i="11"/>
  <c r="M87" i="11"/>
  <c r="O87" i="11" s="1"/>
  <c r="F87" i="11"/>
  <c r="H87" i="11" s="1"/>
  <c r="AL86" i="11"/>
  <c r="AJ86" i="11"/>
  <c r="AI86" i="11"/>
  <c r="AH86" i="11"/>
  <c r="AG86" i="11"/>
  <c r="AF86" i="11"/>
  <c r="O86" i="11"/>
  <c r="M86" i="11"/>
  <c r="F86" i="11"/>
  <c r="H86" i="11" s="1"/>
  <c r="AL85" i="11"/>
  <c r="AJ85" i="11"/>
  <c r="AI85" i="11"/>
  <c r="AH85" i="11"/>
  <c r="AG85" i="11"/>
  <c r="AF85" i="11"/>
  <c r="M85" i="11"/>
  <c r="O85" i="11" s="1"/>
  <c r="F85" i="11"/>
  <c r="H85" i="11" s="1"/>
  <c r="AL84" i="11"/>
  <c r="AJ84" i="11"/>
  <c r="AI84" i="11"/>
  <c r="AH84" i="11"/>
  <c r="AG84" i="11"/>
  <c r="AF84" i="11"/>
  <c r="M84" i="11"/>
  <c r="O84" i="11" s="1"/>
  <c r="F84" i="11"/>
  <c r="H84" i="11" s="1"/>
  <c r="AL83" i="11"/>
  <c r="AJ83" i="11"/>
  <c r="AI83" i="11"/>
  <c r="AH83" i="11"/>
  <c r="AG83" i="11"/>
  <c r="AF83" i="11"/>
  <c r="M83" i="11"/>
  <c r="O83" i="11" s="1"/>
  <c r="F83" i="11"/>
  <c r="H83" i="11" s="1"/>
  <c r="AL82" i="11"/>
  <c r="AJ82" i="11"/>
  <c r="AI82" i="11"/>
  <c r="AH82" i="11"/>
  <c r="AG82" i="11"/>
  <c r="AF82" i="11"/>
  <c r="M82" i="11"/>
  <c r="O82" i="11" s="1"/>
  <c r="H82" i="11"/>
  <c r="F82" i="11"/>
  <c r="AL81" i="11"/>
  <c r="AJ81" i="11"/>
  <c r="AI81" i="11"/>
  <c r="AH81" i="11"/>
  <c r="AG81" i="11"/>
  <c r="AF81" i="11"/>
  <c r="M81" i="11"/>
  <c r="O81" i="11" s="1"/>
  <c r="F81" i="11"/>
  <c r="H81" i="11" s="1"/>
  <c r="AL80" i="11"/>
  <c r="AJ80" i="11"/>
  <c r="AI80" i="11"/>
  <c r="AH80" i="11"/>
  <c r="AG80" i="11"/>
  <c r="AF80" i="11"/>
  <c r="M80" i="11"/>
  <c r="O80" i="11" s="1"/>
  <c r="F80" i="11"/>
  <c r="H80" i="11" s="1"/>
  <c r="AL79" i="11"/>
  <c r="AJ79" i="11"/>
  <c r="AI79" i="11"/>
  <c r="AH79" i="11"/>
  <c r="AG79" i="11"/>
  <c r="AF79" i="11"/>
  <c r="O79" i="11"/>
  <c r="M79" i="11"/>
  <c r="H79" i="11"/>
  <c r="F79" i="11"/>
  <c r="AL78" i="11"/>
  <c r="AJ78" i="11"/>
  <c r="AI78" i="11"/>
  <c r="AH78" i="11"/>
  <c r="AG78" i="11"/>
  <c r="AF78" i="11"/>
  <c r="M78" i="11"/>
  <c r="O78" i="11" s="1"/>
  <c r="F78" i="11"/>
  <c r="H78" i="11" s="1"/>
  <c r="AL77" i="11"/>
  <c r="AJ77" i="11"/>
  <c r="AI77" i="11"/>
  <c r="AH77" i="11"/>
  <c r="AG77" i="11"/>
  <c r="AF77" i="11"/>
  <c r="M77" i="11"/>
  <c r="O77" i="11" s="1"/>
  <c r="F77" i="11"/>
  <c r="H77" i="11" s="1"/>
  <c r="AL76" i="11"/>
  <c r="AJ76" i="11"/>
  <c r="AI76" i="11"/>
  <c r="AH76" i="11"/>
  <c r="AG76" i="11"/>
  <c r="AF76" i="11"/>
  <c r="M76" i="11"/>
  <c r="O76" i="11" s="1"/>
  <c r="F76" i="11"/>
  <c r="H76" i="11" s="1"/>
  <c r="AL75" i="11"/>
  <c r="AJ75" i="11"/>
  <c r="AI75" i="11"/>
  <c r="AH75" i="11"/>
  <c r="AG75" i="11"/>
  <c r="AF75" i="11"/>
  <c r="O75" i="11"/>
  <c r="M75" i="11"/>
  <c r="F75" i="11"/>
  <c r="H75" i="11" s="1"/>
  <c r="AL74" i="11"/>
  <c r="AJ74" i="11"/>
  <c r="AI74" i="11"/>
  <c r="AH74" i="11"/>
  <c r="AG74" i="11"/>
  <c r="AF74" i="11"/>
  <c r="M74" i="11"/>
  <c r="O74" i="11" s="1"/>
  <c r="F74" i="11"/>
  <c r="H74" i="11" s="1"/>
  <c r="AL73" i="11"/>
  <c r="AJ73" i="11"/>
  <c r="AI73" i="11"/>
  <c r="AH73" i="11"/>
  <c r="AG73" i="11"/>
  <c r="AF73" i="11"/>
  <c r="M73" i="11"/>
  <c r="O73" i="11" s="1"/>
  <c r="F73" i="11"/>
  <c r="H73" i="11" s="1"/>
  <c r="AL72" i="11"/>
  <c r="AJ72" i="11"/>
  <c r="AI72" i="11"/>
  <c r="AH72" i="11"/>
  <c r="AG72" i="11"/>
  <c r="AF72" i="11"/>
  <c r="M72" i="11"/>
  <c r="O72" i="11" s="1"/>
  <c r="F72" i="11"/>
  <c r="H72" i="11" s="1"/>
  <c r="AL71" i="11"/>
  <c r="AJ71" i="11"/>
  <c r="AI71" i="11"/>
  <c r="AH71" i="11"/>
  <c r="AG71" i="11"/>
  <c r="AF71" i="11"/>
  <c r="M71" i="11"/>
  <c r="O71" i="11" s="1"/>
  <c r="H71" i="11"/>
  <c r="F71" i="11"/>
  <c r="AL70" i="11"/>
  <c r="AJ70" i="11"/>
  <c r="AI70" i="11"/>
  <c r="AH70" i="11"/>
  <c r="AG70" i="11"/>
  <c r="AF70" i="11"/>
  <c r="M70" i="11"/>
  <c r="O70" i="11" s="1"/>
  <c r="F70" i="11"/>
  <c r="H70" i="11" s="1"/>
  <c r="AL69" i="11"/>
  <c r="AJ69" i="11"/>
  <c r="AI69" i="11"/>
  <c r="AH69" i="11"/>
  <c r="AG69" i="11"/>
  <c r="AF69" i="11"/>
  <c r="O69" i="11"/>
  <c r="M69" i="11"/>
  <c r="H69" i="11"/>
  <c r="F69" i="11"/>
  <c r="AL68" i="11"/>
  <c r="AJ68" i="11"/>
  <c r="AI68" i="11"/>
  <c r="AH68" i="11"/>
  <c r="AG68" i="11"/>
  <c r="AF68" i="11"/>
  <c r="O68" i="11"/>
  <c r="M68" i="11"/>
  <c r="F68" i="11"/>
  <c r="H68" i="11" s="1"/>
  <c r="AL67" i="11"/>
  <c r="AJ67" i="11"/>
  <c r="AI67" i="11"/>
  <c r="AH67" i="11"/>
  <c r="AG67" i="11"/>
  <c r="AF67" i="11"/>
  <c r="M67" i="11"/>
  <c r="O67" i="11" s="1"/>
  <c r="F67" i="11"/>
  <c r="H67" i="11" s="1"/>
  <c r="AL66" i="11"/>
  <c r="AJ66" i="11"/>
  <c r="AI66" i="11"/>
  <c r="AH66" i="11"/>
  <c r="AG66" i="11"/>
  <c r="AF66" i="11"/>
  <c r="M66" i="11"/>
  <c r="O66" i="11" s="1"/>
  <c r="F66" i="11"/>
  <c r="H66" i="11" s="1"/>
  <c r="AL65" i="11"/>
  <c r="AJ65" i="11"/>
  <c r="AI65" i="11"/>
  <c r="AH65" i="11"/>
  <c r="AG65" i="11"/>
  <c r="AF65" i="11"/>
  <c r="M65" i="11"/>
  <c r="O65" i="11" s="1"/>
  <c r="F65" i="11"/>
  <c r="H65" i="11" s="1"/>
  <c r="AL64" i="11"/>
  <c r="AJ64" i="11"/>
  <c r="AI64" i="11"/>
  <c r="AH64" i="11"/>
  <c r="AG64" i="11"/>
  <c r="AF64" i="11"/>
  <c r="M64" i="11"/>
  <c r="O64" i="11" s="1"/>
  <c r="F64" i="11"/>
  <c r="H64" i="11" s="1"/>
  <c r="AL63" i="11"/>
  <c r="AJ63" i="11"/>
  <c r="AI63" i="11"/>
  <c r="AH63" i="11"/>
  <c r="AG63" i="11"/>
  <c r="AF63" i="11"/>
  <c r="M63" i="11"/>
  <c r="O63" i="11" s="1"/>
  <c r="H63" i="11"/>
  <c r="F63" i="11"/>
  <c r="AL62" i="11"/>
  <c r="AJ62" i="11"/>
  <c r="AI62" i="11"/>
  <c r="AH62" i="11"/>
  <c r="AG62" i="11"/>
  <c r="AF62" i="11"/>
  <c r="M62" i="11"/>
  <c r="O62" i="11" s="1"/>
  <c r="F62" i="11"/>
  <c r="H62" i="11" s="1"/>
  <c r="AL61" i="11"/>
  <c r="AJ61" i="11"/>
  <c r="AI61" i="11"/>
  <c r="AH61" i="11"/>
  <c r="AG61" i="11"/>
  <c r="AF61" i="11"/>
  <c r="O61" i="11"/>
  <c r="M61" i="11"/>
  <c r="H61" i="11"/>
  <c r="F61" i="11"/>
  <c r="AL60" i="11"/>
  <c r="AJ60" i="11"/>
  <c r="AI60" i="11"/>
  <c r="AH60" i="11"/>
  <c r="AG60" i="11"/>
  <c r="AF60" i="11"/>
  <c r="O60" i="11"/>
  <c r="M60" i="11"/>
  <c r="F60" i="11"/>
  <c r="H60" i="11" s="1"/>
  <c r="AL59" i="11"/>
  <c r="AJ59" i="11"/>
  <c r="AI59" i="11"/>
  <c r="AH59" i="11"/>
  <c r="AG59" i="11"/>
  <c r="AF59" i="11"/>
  <c r="M59" i="11"/>
  <c r="O59" i="11" s="1"/>
  <c r="H59" i="11"/>
  <c r="F59" i="11"/>
  <c r="AL58" i="11"/>
  <c r="AJ58" i="11"/>
  <c r="AI58" i="11"/>
  <c r="AH58" i="11"/>
  <c r="AG58" i="11"/>
  <c r="AF58" i="11"/>
  <c r="M58" i="11"/>
  <c r="O58" i="11" s="1"/>
  <c r="F58" i="11"/>
  <c r="H58" i="11" s="1"/>
  <c r="AL57" i="11"/>
  <c r="AJ57" i="11"/>
  <c r="AI57" i="11"/>
  <c r="AH57" i="11"/>
  <c r="AG57" i="11"/>
  <c r="AF57" i="11"/>
  <c r="O57" i="11"/>
  <c r="M57" i="11"/>
  <c r="F57" i="11"/>
  <c r="H57" i="11" s="1"/>
  <c r="AL56" i="11"/>
  <c r="AJ56" i="11"/>
  <c r="AI56" i="11"/>
  <c r="AH56" i="11"/>
  <c r="AG56" i="11"/>
  <c r="AF56" i="11"/>
  <c r="M56" i="11"/>
  <c r="O56" i="11" s="1"/>
  <c r="F56" i="11"/>
  <c r="H56" i="11" s="1"/>
  <c r="AL55" i="11"/>
  <c r="AJ55" i="11"/>
  <c r="AI55" i="11"/>
  <c r="AH55" i="11"/>
  <c r="AG55" i="11"/>
  <c r="AF55" i="11"/>
  <c r="O55" i="11"/>
  <c r="M55" i="11"/>
  <c r="H55" i="11"/>
  <c r="F55" i="11"/>
  <c r="AL54" i="11"/>
  <c r="AJ54" i="11"/>
  <c r="AI54" i="11"/>
  <c r="AH54" i="11"/>
  <c r="AG54" i="11"/>
  <c r="AF54" i="11"/>
  <c r="M54" i="11"/>
  <c r="O54" i="11" s="1"/>
  <c r="F54" i="11"/>
  <c r="H54" i="11" s="1"/>
  <c r="AL53" i="11"/>
  <c r="AJ53" i="11"/>
  <c r="AI53" i="11"/>
  <c r="AH53" i="11"/>
  <c r="AG53" i="11"/>
  <c r="AF53" i="11"/>
  <c r="O53" i="11"/>
  <c r="M53" i="11"/>
  <c r="H53" i="11"/>
  <c r="F53" i="11"/>
  <c r="AL52" i="11"/>
  <c r="AJ52" i="11"/>
  <c r="AI52" i="11"/>
  <c r="AH52" i="11"/>
  <c r="AG52" i="11"/>
  <c r="AF52" i="11"/>
  <c r="M52" i="11"/>
  <c r="O52" i="11" s="1"/>
  <c r="F52" i="11"/>
  <c r="H52" i="11" s="1"/>
  <c r="AL51" i="11"/>
  <c r="AJ51" i="11"/>
  <c r="AI51" i="11"/>
  <c r="AH51" i="11"/>
  <c r="AG51" i="11"/>
  <c r="AF51" i="11"/>
  <c r="M51" i="11"/>
  <c r="O51" i="11" s="1"/>
  <c r="H51" i="11"/>
  <c r="F51" i="11"/>
  <c r="AL50" i="11"/>
  <c r="AJ50" i="11"/>
  <c r="AI50" i="11"/>
  <c r="AH50" i="11"/>
  <c r="AG50" i="11"/>
  <c r="AF50" i="11"/>
  <c r="M50" i="11"/>
  <c r="O50" i="11" s="1"/>
  <c r="F50" i="11"/>
  <c r="H50" i="11" s="1"/>
  <c r="AL49" i="11"/>
  <c r="AJ49" i="11"/>
  <c r="AI49" i="11"/>
  <c r="AH49" i="11"/>
  <c r="AG49" i="11"/>
  <c r="AF49" i="11"/>
  <c r="M49" i="11"/>
  <c r="O49" i="11" s="1"/>
  <c r="F49" i="11"/>
  <c r="H49" i="11" s="1"/>
  <c r="AL48" i="11"/>
  <c r="AJ48" i="11"/>
  <c r="AI48" i="11"/>
  <c r="AH48" i="11"/>
  <c r="AG48" i="11"/>
  <c r="AF48" i="11"/>
  <c r="O48" i="11"/>
  <c r="M48" i="11"/>
  <c r="F48" i="11"/>
  <c r="H48" i="11" s="1"/>
  <c r="AO47" i="11"/>
  <c r="AL47" i="11"/>
  <c r="AJ47" i="11"/>
  <c r="AI47" i="11"/>
  <c r="AH47" i="11"/>
  <c r="AG47" i="11"/>
  <c r="AF47" i="11"/>
  <c r="O47" i="11"/>
  <c r="M47" i="11"/>
  <c r="F47" i="11"/>
  <c r="H47" i="11" s="1"/>
  <c r="AQ46" i="11"/>
  <c r="AL46" i="11"/>
  <c r="AJ46" i="11"/>
  <c r="AI46" i="11"/>
  <c r="AH46" i="11"/>
  <c r="AG46" i="11"/>
  <c r="AF46" i="11"/>
  <c r="O46" i="11"/>
  <c r="M46" i="11"/>
  <c r="F46" i="11"/>
  <c r="H46" i="11" s="1"/>
  <c r="AL45" i="11"/>
  <c r="AJ45" i="11"/>
  <c r="AI45" i="11"/>
  <c r="AH45" i="11"/>
  <c r="AG45" i="11"/>
  <c r="AF45" i="11"/>
  <c r="O45" i="11"/>
  <c r="M45" i="11"/>
  <c r="F45" i="11"/>
  <c r="H45" i="11" s="1"/>
  <c r="AO44" i="11"/>
  <c r="AL44" i="11"/>
  <c r="AJ44" i="11"/>
  <c r="AI44" i="11"/>
  <c r="AH44" i="11"/>
  <c r="AG44" i="11"/>
  <c r="AF44" i="11"/>
  <c r="M44" i="11"/>
  <c r="O44" i="11" s="1"/>
  <c r="F44" i="11"/>
  <c r="H44" i="11" s="1"/>
  <c r="AO43" i="11"/>
  <c r="AL43" i="11"/>
  <c r="AJ43" i="11"/>
  <c r="AI43" i="11"/>
  <c r="AH43" i="11"/>
  <c r="AG43" i="11"/>
  <c r="AF43" i="11"/>
  <c r="M43" i="11"/>
  <c r="O43" i="11" s="1"/>
  <c r="F43" i="11"/>
  <c r="H43" i="11" s="1"/>
  <c r="AL42" i="11"/>
  <c r="AJ42" i="11"/>
  <c r="AI42" i="11"/>
  <c r="AH42" i="11"/>
  <c r="AG42" i="11"/>
  <c r="AF42" i="11"/>
  <c r="M42" i="11"/>
  <c r="O42" i="11" s="1"/>
  <c r="H42" i="11"/>
  <c r="F42" i="11"/>
  <c r="AL41" i="11"/>
  <c r="AJ41" i="11"/>
  <c r="AI41" i="11"/>
  <c r="AH41" i="11"/>
  <c r="AG41" i="11"/>
  <c r="AF41" i="11"/>
  <c r="M41" i="11"/>
  <c r="O41" i="11" s="1"/>
  <c r="F41" i="11"/>
  <c r="H41" i="11" s="1"/>
  <c r="AL40" i="11"/>
  <c r="AJ40" i="11"/>
  <c r="AI40" i="11"/>
  <c r="AH40" i="11"/>
  <c r="AG40" i="11"/>
  <c r="AF40" i="11"/>
  <c r="O40" i="11"/>
  <c r="M40" i="11"/>
  <c r="F40" i="11"/>
  <c r="H40" i="11" s="1"/>
  <c r="AL39" i="11"/>
  <c r="AJ39" i="11"/>
  <c r="AI39" i="11"/>
  <c r="AH39" i="11"/>
  <c r="AG39" i="11"/>
  <c r="AF39" i="11"/>
  <c r="M39" i="11"/>
  <c r="O39" i="11" s="1"/>
  <c r="H39" i="11"/>
  <c r="F39" i="11"/>
  <c r="AL38" i="11"/>
  <c r="AJ38" i="11"/>
  <c r="AI38" i="11"/>
  <c r="AH38" i="11"/>
  <c r="AG38" i="11"/>
  <c r="AF38" i="11"/>
  <c r="M38" i="11"/>
  <c r="O38" i="11" s="1"/>
  <c r="F38" i="11"/>
  <c r="H38" i="11" s="1"/>
  <c r="AL37" i="11"/>
  <c r="AJ37" i="11"/>
  <c r="AI37" i="11"/>
  <c r="AH37" i="11"/>
  <c r="AG37" i="11"/>
  <c r="AF37" i="11"/>
  <c r="M37" i="11"/>
  <c r="O37" i="11" s="1"/>
  <c r="F37" i="11"/>
  <c r="H37" i="11" s="1"/>
  <c r="AL36" i="11"/>
  <c r="AJ36" i="11"/>
  <c r="AI36" i="11"/>
  <c r="AH36" i="11"/>
  <c r="AG36" i="11"/>
  <c r="AF36" i="11"/>
  <c r="M36" i="11"/>
  <c r="O36" i="11" s="1"/>
  <c r="F36" i="11"/>
  <c r="H36" i="11" s="1"/>
  <c r="AL35" i="11"/>
  <c r="AJ35" i="11"/>
  <c r="AI35" i="11"/>
  <c r="AH35" i="11"/>
  <c r="AG35" i="11"/>
  <c r="AF35" i="11"/>
  <c r="O35" i="11"/>
  <c r="M35" i="11"/>
  <c r="H35" i="11"/>
  <c r="F35" i="11"/>
  <c r="AL34" i="11"/>
  <c r="AJ34" i="11"/>
  <c r="AI34" i="11"/>
  <c r="AH34" i="11"/>
  <c r="AG34" i="11"/>
  <c r="AF34" i="11"/>
  <c r="O34" i="11"/>
  <c r="M34" i="11"/>
  <c r="F34" i="11"/>
  <c r="H34" i="11" s="1"/>
  <c r="AL33" i="11"/>
  <c r="AJ33" i="11"/>
  <c r="AI33" i="11"/>
  <c r="AH33" i="11"/>
  <c r="AG33" i="11"/>
  <c r="AF33" i="11"/>
  <c r="M33" i="11"/>
  <c r="O33" i="11" s="1"/>
  <c r="F33" i="11"/>
  <c r="H33" i="11" s="1"/>
  <c r="AL32" i="11"/>
  <c r="AJ32" i="11"/>
  <c r="AI32" i="11"/>
  <c r="AH32" i="11"/>
  <c r="AG32" i="11"/>
  <c r="AF32" i="11"/>
  <c r="M32" i="11"/>
  <c r="O32" i="11" s="1"/>
  <c r="F32" i="11"/>
  <c r="H32" i="11" s="1"/>
  <c r="AL31" i="11"/>
  <c r="AJ31" i="11"/>
  <c r="AI31" i="11"/>
  <c r="AH31" i="11"/>
  <c r="AG31" i="11"/>
  <c r="AF31" i="11"/>
  <c r="M31" i="11"/>
  <c r="O31" i="11" s="1"/>
  <c r="F31" i="11"/>
  <c r="H31" i="11" s="1"/>
  <c r="AL30" i="11"/>
  <c r="AJ30" i="11"/>
  <c r="AI30" i="11"/>
  <c r="AH30" i="11"/>
  <c r="AG30" i="11"/>
  <c r="AF30" i="11"/>
  <c r="M30" i="11"/>
  <c r="O30" i="11" s="1"/>
  <c r="F30" i="11"/>
  <c r="H30" i="11" s="1"/>
  <c r="AL29" i="11"/>
  <c r="AJ29" i="11"/>
  <c r="AI29" i="11"/>
  <c r="AH29" i="11"/>
  <c r="AG29" i="11"/>
  <c r="AF29" i="11"/>
  <c r="M29" i="11"/>
  <c r="O29" i="11" s="1"/>
  <c r="F29" i="11"/>
  <c r="H29" i="11" s="1"/>
  <c r="AL28" i="11"/>
  <c r="AJ28" i="11"/>
  <c r="AI28" i="11"/>
  <c r="AH28" i="11"/>
  <c r="AG28" i="11"/>
  <c r="AF28" i="11"/>
  <c r="M28" i="11"/>
  <c r="O28" i="11" s="1"/>
  <c r="F28" i="11"/>
  <c r="H28" i="11" s="1"/>
  <c r="AL27" i="11"/>
  <c r="AJ27" i="11"/>
  <c r="AI27" i="11"/>
  <c r="AH27" i="11"/>
  <c r="AG27" i="11"/>
  <c r="AF27" i="11"/>
  <c r="M27" i="11"/>
  <c r="O27" i="11" s="1"/>
  <c r="F27" i="11"/>
  <c r="H27" i="11" s="1"/>
  <c r="AL26" i="11"/>
  <c r="AJ26" i="11"/>
  <c r="AI26" i="11"/>
  <c r="AH26" i="11"/>
  <c r="AG26" i="11"/>
  <c r="AF26" i="11"/>
  <c r="M26" i="11"/>
  <c r="O26" i="11" s="1"/>
  <c r="F26" i="11"/>
  <c r="H26" i="11" s="1"/>
  <c r="AL25" i="11"/>
  <c r="AJ25" i="11"/>
  <c r="AI25" i="11"/>
  <c r="AH25" i="11"/>
  <c r="AG25" i="11"/>
  <c r="AF25" i="11"/>
  <c r="M25" i="11"/>
  <c r="O25" i="11" s="1"/>
  <c r="F25" i="11"/>
  <c r="H25" i="11" s="1"/>
  <c r="AL24" i="11"/>
  <c r="AJ24" i="11"/>
  <c r="AI24" i="11"/>
  <c r="AH24" i="11"/>
  <c r="AG24" i="11"/>
  <c r="AF24" i="11"/>
  <c r="M24" i="11"/>
  <c r="O24" i="11" s="1"/>
  <c r="F24" i="11"/>
  <c r="H24" i="11" s="1"/>
  <c r="AL23" i="11"/>
  <c r="AJ23" i="11"/>
  <c r="AI23" i="11"/>
  <c r="AH23" i="11"/>
  <c r="AG23" i="11"/>
  <c r="AF23" i="11"/>
  <c r="M23" i="11"/>
  <c r="O23" i="11" s="1"/>
  <c r="F23" i="11"/>
  <c r="H23" i="11" s="1"/>
  <c r="AL22" i="11"/>
  <c r="AJ22" i="11"/>
  <c r="AI22" i="11"/>
  <c r="AH22" i="11"/>
  <c r="AG22" i="11"/>
  <c r="AF22" i="11"/>
  <c r="M22" i="11"/>
  <c r="O22" i="11" s="1"/>
  <c r="H22" i="11"/>
  <c r="F22" i="11"/>
  <c r="AL21" i="11"/>
  <c r="AJ21" i="11"/>
  <c r="AI21" i="11"/>
  <c r="AH21" i="11"/>
  <c r="AG21" i="11"/>
  <c r="AF21" i="11"/>
  <c r="M21" i="11"/>
  <c r="O21" i="11" s="1"/>
  <c r="F21" i="11"/>
  <c r="H21" i="11" s="1"/>
  <c r="AL20" i="11"/>
  <c r="AJ20" i="11"/>
  <c r="AI20" i="11"/>
  <c r="AH20" i="11"/>
  <c r="AG20" i="11"/>
  <c r="AF20" i="11"/>
  <c r="M20" i="11"/>
  <c r="O20" i="11" s="1"/>
  <c r="F20" i="11"/>
  <c r="H20" i="11" s="1"/>
  <c r="AL19" i="11"/>
  <c r="AJ19" i="11"/>
  <c r="AI19" i="11"/>
  <c r="AH19" i="11"/>
  <c r="AG19" i="11"/>
  <c r="AF19" i="11"/>
  <c r="O19" i="11"/>
  <c r="M19" i="11"/>
  <c r="F19" i="11"/>
  <c r="H19" i="11" s="1"/>
  <c r="AL18" i="11"/>
  <c r="AJ18" i="11"/>
  <c r="AI18" i="11"/>
  <c r="AH18" i="11"/>
  <c r="AG18" i="11"/>
  <c r="AF18" i="11"/>
  <c r="M18" i="11"/>
  <c r="O18" i="11" s="1"/>
  <c r="F18" i="11"/>
  <c r="H18" i="11" s="1"/>
  <c r="AL17" i="11"/>
  <c r="AJ17" i="11"/>
  <c r="AI17" i="11"/>
  <c r="AH17" i="11"/>
  <c r="AG17" i="11"/>
  <c r="AF17" i="11"/>
  <c r="M17" i="11"/>
  <c r="O17" i="11" s="1"/>
  <c r="F17" i="11"/>
  <c r="H17" i="11" s="1"/>
  <c r="AL16" i="11"/>
  <c r="AJ16" i="11"/>
  <c r="AI16" i="11"/>
  <c r="AH16" i="11"/>
  <c r="AG16" i="11"/>
  <c r="AF16" i="11"/>
  <c r="M16" i="11"/>
  <c r="O16" i="11" s="1"/>
  <c r="F16" i="11"/>
  <c r="H16" i="11" s="1"/>
  <c r="AL15" i="11"/>
  <c r="AJ15" i="11"/>
  <c r="AI15" i="11"/>
  <c r="AH15" i="11"/>
  <c r="AG15" i="11"/>
  <c r="AF15" i="11"/>
  <c r="M15" i="11"/>
  <c r="O15" i="11" s="1"/>
  <c r="F15" i="11"/>
  <c r="H15" i="11" s="1"/>
  <c r="AL14" i="11"/>
  <c r="AJ14" i="11"/>
  <c r="AI14" i="11"/>
  <c r="AH14" i="11"/>
  <c r="AG14" i="11"/>
  <c r="AF14" i="11"/>
  <c r="M14" i="11"/>
  <c r="O14" i="11" s="1"/>
  <c r="F14" i="11"/>
  <c r="H14" i="11" s="1"/>
  <c r="AL13" i="11"/>
  <c r="AJ13" i="11"/>
  <c r="AI13" i="11"/>
  <c r="AH13" i="11"/>
  <c r="AG13" i="11"/>
  <c r="AF13" i="11"/>
  <c r="M13" i="11"/>
  <c r="O13" i="11" s="1"/>
  <c r="F13" i="11"/>
  <c r="H13" i="11" s="1"/>
  <c r="AL12" i="11"/>
  <c r="AJ12" i="11"/>
  <c r="AI12" i="11"/>
  <c r="AH12" i="11"/>
  <c r="AG12" i="11"/>
  <c r="AF12" i="11"/>
  <c r="M12" i="11"/>
  <c r="O12" i="11" s="1"/>
  <c r="F12" i="11"/>
  <c r="H12" i="11" s="1"/>
  <c r="AL11" i="11"/>
  <c r="AJ11" i="11"/>
  <c r="AI11" i="11"/>
  <c r="AH11" i="11"/>
  <c r="AG11" i="11"/>
  <c r="AF11" i="11"/>
  <c r="M11" i="11"/>
  <c r="O11" i="11" s="1"/>
  <c r="H11" i="11"/>
  <c r="F11" i="11"/>
  <c r="AL10" i="11"/>
  <c r="AJ10" i="11"/>
  <c r="AI10" i="11"/>
  <c r="AH10" i="11"/>
  <c r="AG10" i="11"/>
  <c r="AF10" i="11"/>
  <c r="O10" i="11"/>
  <c r="M10" i="11"/>
  <c r="F10" i="11"/>
  <c r="H10" i="11" s="1"/>
  <c r="AL9" i="11"/>
  <c r="AJ9" i="11"/>
  <c r="AI9" i="11"/>
  <c r="AH9" i="11"/>
  <c r="AG9" i="11"/>
  <c r="AF9" i="11"/>
  <c r="M9" i="11"/>
  <c r="O9" i="11" s="1"/>
  <c r="F9" i="11"/>
  <c r="H9" i="11" s="1"/>
  <c r="AL8" i="11"/>
  <c r="AJ8" i="11"/>
  <c r="AI8" i="11"/>
  <c r="AH8" i="11"/>
  <c r="AG8" i="11"/>
  <c r="AF8" i="11"/>
  <c r="M8" i="11"/>
  <c r="O8" i="11" s="1"/>
  <c r="F8" i="11"/>
  <c r="H8" i="11" s="1"/>
  <c r="AL7" i="11"/>
  <c r="AJ7" i="11"/>
  <c r="AI7" i="11"/>
  <c r="AH7" i="11"/>
  <c r="AG7" i="11"/>
  <c r="AF7" i="11"/>
  <c r="M7" i="11"/>
  <c r="O7" i="11" s="1"/>
  <c r="F7" i="11"/>
  <c r="H7" i="11" s="1"/>
  <c r="AL6" i="11"/>
  <c r="AJ6" i="11"/>
  <c r="AI6" i="11"/>
  <c r="AH6" i="11"/>
  <c r="AG6" i="11"/>
  <c r="AF6" i="11"/>
  <c r="M6" i="11"/>
  <c r="O6" i="11" s="1"/>
  <c r="F6" i="11"/>
  <c r="H6" i="11" s="1"/>
  <c r="AL5" i="11"/>
  <c r="AJ5" i="11"/>
  <c r="AI5" i="11"/>
  <c r="AH5" i="11"/>
  <c r="AG5" i="11"/>
  <c r="AF5" i="11"/>
  <c r="M5" i="11"/>
  <c r="O5" i="11" s="1"/>
  <c r="F5" i="11"/>
  <c r="H5" i="11" s="1"/>
  <c r="B5" i="11"/>
  <c r="AL4" i="11"/>
  <c r="AJ4" i="11"/>
  <c r="AI4" i="11"/>
  <c r="AH4" i="11"/>
  <c r="AG4" i="11"/>
  <c r="AF4" i="11"/>
  <c r="M4" i="11"/>
  <c r="O4" i="11" s="1"/>
  <c r="F4" i="11"/>
  <c r="H4" i="11" s="1"/>
  <c r="C4" i="11"/>
  <c r="B4" i="11"/>
  <c r="AL3" i="11"/>
  <c r="AJ3" i="11"/>
  <c r="AI3" i="11"/>
  <c r="AH3" i="11"/>
  <c r="AG3" i="11"/>
  <c r="AF3" i="11"/>
  <c r="S3" i="11"/>
  <c r="M3" i="11"/>
  <c r="O3" i="11" s="1"/>
  <c r="F3" i="11"/>
  <c r="G3" i="11" s="1"/>
  <c r="C3" i="11"/>
  <c r="AL88" i="8"/>
  <c r="AL89" i="8"/>
  <c r="AL90" i="8"/>
  <c r="AL91" i="8"/>
  <c r="AL92" i="8"/>
  <c r="AL93" i="8"/>
  <c r="AL94" i="8"/>
  <c r="AL95" i="8"/>
  <c r="AL96" i="8"/>
  <c r="AL97" i="8"/>
  <c r="AL98" i="8"/>
  <c r="AL99" i="8"/>
  <c r="AL100" i="8"/>
  <c r="AL101" i="8"/>
  <c r="AL102" i="8"/>
  <c r="AL103" i="8"/>
  <c r="AL104" i="8"/>
  <c r="AL105" i="8"/>
  <c r="AL106" i="8"/>
  <c r="AL107" i="8"/>
  <c r="AL108" i="8"/>
  <c r="AL109" i="8"/>
  <c r="AL110" i="8"/>
  <c r="AL111" i="8"/>
  <c r="AL112"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40" i="8"/>
  <c r="AL41" i="8"/>
  <c r="AL42" i="8"/>
  <c r="AL43" i="8"/>
  <c r="AL44" i="8"/>
  <c r="AL45" i="8"/>
  <c r="AL46" i="8"/>
  <c r="AL47" i="8"/>
  <c r="AL48" i="8"/>
  <c r="AL49" i="8"/>
  <c r="AL50" i="8"/>
  <c r="AL51" i="8"/>
  <c r="AL52" i="8"/>
  <c r="AL53" i="8"/>
  <c r="AL54" i="8"/>
  <c r="AL55" i="8"/>
  <c r="AL56" i="8"/>
  <c r="AL57" i="8"/>
  <c r="AL58"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3" i="8"/>
  <c r="S3" i="8"/>
  <c r="AJ4" i="8"/>
  <c r="AJ5" i="8"/>
  <c r="AJ6" i="8"/>
  <c r="AJ7" i="8"/>
  <c r="AJ8" i="8"/>
  <c r="AJ9" i="8"/>
  <c r="AJ10" i="8"/>
  <c r="AJ11" i="8"/>
  <c r="AJ12" i="8"/>
  <c r="AJ13" i="8"/>
  <c r="AJ14" i="8"/>
  <c r="AJ15" i="8"/>
  <c r="AJ16" i="8"/>
  <c r="AJ17" i="8"/>
  <c r="AJ18" i="8"/>
  <c r="AJ19" i="8"/>
  <c r="AJ20" i="8"/>
  <c r="AJ21" i="8"/>
  <c r="AJ22" i="8"/>
  <c r="AJ23" i="8"/>
  <c r="AJ24" i="8"/>
  <c r="AJ25" i="8"/>
  <c r="AJ26" i="8"/>
  <c r="AJ27" i="8"/>
  <c r="AJ28" i="8"/>
  <c r="AJ29" i="8"/>
  <c r="AJ30" i="8"/>
  <c r="AJ31" i="8"/>
  <c r="AJ32" i="8"/>
  <c r="AJ33" i="8"/>
  <c r="AJ34" i="8"/>
  <c r="AJ35" i="8"/>
  <c r="AJ36" i="8"/>
  <c r="AJ37" i="8"/>
  <c r="AJ38" i="8"/>
  <c r="AJ39" i="8"/>
  <c r="AJ40" i="8"/>
  <c r="AJ41" i="8"/>
  <c r="AJ42" i="8"/>
  <c r="AJ43" i="8"/>
  <c r="AJ44" i="8"/>
  <c r="AJ45" i="8"/>
  <c r="AJ46" i="8"/>
  <c r="AJ47" i="8"/>
  <c r="AJ48" i="8"/>
  <c r="AJ49" i="8"/>
  <c r="AJ50" i="8"/>
  <c r="AJ51" i="8"/>
  <c r="AJ52" i="8"/>
  <c r="AJ53" i="8"/>
  <c r="AJ54" i="8"/>
  <c r="AJ55" i="8"/>
  <c r="AJ56" i="8"/>
  <c r="AJ57" i="8"/>
  <c r="AJ58" i="8"/>
  <c r="AJ59" i="8"/>
  <c r="AJ60" i="8"/>
  <c r="AJ61" i="8"/>
  <c r="AJ62" i="8"/>
  <c r="AJ63" i="8"/>
  <c r="AJ64" i="8"/>
  <c r="AJ65" i="8"/>
  <c r="AJ66" i="8"/>
  <c r="AJ67" i="8"/>
  <c r="AJ68" i="8"/>
  <c r="AJ69" i="8"/>
  <c r="AJ70" i="8"/>
  <c r="AJ71" i="8"/>
  <c r="AJ72" i="8"/>
  <c r="AJ73" i="8"/>
  <c r="AJ74" i="8"/>
  <c r="AJ75" i="8"/>
  <c r="AJ76" i="8"/>
  <c r="AJ77" i="8"/>
  <c r="AJ78" i="8"/>
  <c r="AJ79" i="8"/>
  <c r="AJ80" i="8"/>
  <c r="AJ81" i="8"/>
  <c r="AJ82" i="8"/>
  <c r="AJ83" i="8"/>
  <c r="AJ84" i="8"/>
  <c r="AJ85" i="8"/>
  <c r="AJ86" i="8"/>
  <c r="AJ87" i="8"/>
  <c r="AJ88" i="8"/>
  <c r="AJ89" i="8"/>
  <c r="AJ90" i="8"/>
  <c r="AJ91" i="8"/>
  <c r="AJ92" i="8"/>
  <c r="AJ93" i="8"/>
  <c r="AJ94" i="8"/>
  <c r="AJ95" i="8"/>
  <c r="AJ96" i="8"/>
  <c r="AJ97" i="8"/>
  <c r="AJ98" i="8"/>
  <c r="AJ99" i="8"/>
  <c r="AJ100" i="8"/>
  <c r="AJ101" i="8"/>
  <c r="AJ102" i="8"/>
  <c r="AJ103" i="8"/>
  <c r="AJ104" i="8"/>
  <c r="AJ105" i="8"/>
  <c r="AJ106" i="8"/>
  <c r="AJ107" i="8"/>
  <c r="AJ108" i="8"/>
  <c r="AJ109" i="8"/>
  <c r="AJ110" i="8"/>
  <c r="AJ111" i="8"/>
  <c r="AJ112" i="8"/>
  <c r="AJ3" i="8"/>
  <c r="AO47" i="8"/>
  <c r="AQ46" i="8"/>
  <c r="AO44" i="8"/>
  <c r="AO43" i="8"/>
  <c r="AI112" i="8"/>
  <c r="AH112" i="8"/>
  <c r="AG112" i="8"/>
  <c r="AF112" i="8"/>
  <c r="M112" i="8"/>
  <c r="O112" i="8" s="1"/>
  <c r="F112" i="8"/>
  <c r="H112" i="8" s="1"/>
  <c r="AI111" i="8"/>
  <c r="AH111" i="8"/>
  <c r="AG111" i="8"/>
  <c r="AF111" i="8"/>
  <c r="M111" i="8"/>
  <c r="O111" i="8" s="1"/>
  <c r="F111" i="8"/>
  <c r="H111" i="8" s="1"/>
  <c r="AI110" i="8"/>
  <c r="AH110" i="8"/>
  <c r="AG110" i="8"/>
  <c r="AF110" i="8"/>
  <c r="M110" i="8"/>
  <c r="O110" i="8" s="1"/>
  <c r="F110" i="8"/>
  <c r="H110" i="8" s="1"/>
  <c r="AI109" i="8"/>
  <c r="AH109" i="8"/>
  <c r="AG109" i="8"/>
  <c r="AF109" i="8"/>
  <c r="M109" i="8"/>
  <c r="O109" i="8" s="1"/>
  <c r="F109" i="8"/>
  <c r="H109" i="8" s="1"/>
  <c r="AI108" i="8"/>
  <c r="AH108" i="8"/>
  <c r="AG108" i="8"/>
  <c r="AF108" i="8"/>
  <c r="M108" i="8"/>
  <c r="O108" i="8" s="1"/>
  <c r="F108" i="8"/>
  <c r="H108" i="8" s="1"/>
  <c r="AI107" i="8"/>
  <c r="AH107" i="8"/>
  <c r="AG107" i="8"/>
  <c r="AF107" i="8"/>
  <c r="M107" i="8"/>
  <c r="O107" i="8" s="1"/>
  <c r="F107" i="8"/>
  <c r="H107" i="8" s="1"/>
  <c r="AI106" i="8"/>
  <c r="AH106" i="8"/>
  <c r="AG106" i="8"/>
  <c r="AF106" i="8"/>
  <c r="M106" i="8"/>
  <c r="O106" i="8" s="1"/>
  <c r="F106" i="8"/>
  <c r="H106" i="8" s="1"/>
  <c r="AI105" i="8"/>
  <c r="AH105" i="8"/>
  <c r="AG105" i="8"/>
  <c r="AF105" i="8"/>
  <c r="M105" i="8"/>
  <c r="O105" i="8" s="1"/>
  <c r="F105" i="8"/>
  <c r="H105" i="8" s="1"/>
  <c r="AI104" i="8"/>
  <c r="AH104" i="8"/>
  <c r="AG104" i="8"/>
  <c r="AF104" i="8"/>
  <c r="M104" i="8"/>
  <c r="O104" i="8" s="1"/>
  <c r="F104" i="8"/>
  <c r="H104" i="8" s="1"/>
  <c r="AI103" i="8"/>
  <c r="AH103" i="8"/>
  <c r="AG103" i="8"/>
  <c r="AF103" i="8"/>
  <c r="M103" i="8"/>
  <c r="O103" i="8" s="1"/>
  <c r="F103" i="8"/>
  <c r="H103" i="8" s="1"/>
  <c r="AI102" i="8"/>
  <c r="AH102" i="8"/>
  <c r="AG102" i="8"/>
  <c r="AF102" i="8"/>
  <c r="M102" i="8"/>
  <c r="O102" i="8" s="1"/>
  <c r="F102" i="8"/>
  <c r="H102" i="8" s="1"/>
  <c r="AI101" i="8"/>
  <c r="AH101" i="8"/>
  <c r="AG101" i="8"/>
  <c r="AF101" i="8"/>
  <c r="M101" i="8"/>
  <c r="O101" i="8" s="1"/>
  <c r="F101" i="8"/>
  <c r="H101" i="8" s="1"/>
  <c r="AI100" i="8"/>
  <c r="AH100" i="8"/>
  <c r="AG100" i="8"/>
  <c r="AF100" i="8"/>
  <c r="M100" i="8"/>
  <c r="O100" i="8" s="1"/>
  <c r="F100" i="8"/>
  <c r="H100" i="8" s="1"/>
  <c r="AI99" i="8"/>
  <c r="AH99" i="8"/>
  <c r="AG99" i="8"/>
  <c r="AF99" i="8"/>
  <c r="M99" i="8"/>
  <c r="O99" i="8" s="1"/>
  <c r="F99" i="8"/>
  <c r="H99" i="8" s="1"/>
  <c r="AI98" i="8"/>
  <c r="AH98" i="8"/>
  <c r="AG98" i="8"/>
  <c r="AF98" i="8"/>
  <c r="M98" i="8"/>
  <c r="O98" i="8" s="1"/>
  <c r="F98" i="8"/>
  <c r="H98" i="8" s="1"/>
  <c r="AI97" i="8"/>
  <c r="AH97" i="8"/>
  <c r="AG97" i="8"/>
  <c r="AF97" i="8"/>
  <c r="M97" i="8"/>
  <c r="O97" i="8" s="1"/>
  <c r="F97" i="8"/>
  <c r="H97" i="8" s="1"/>
  <c r="AI96" i="8"/>
  <c r="AH96" i="8"/>
  <c r="AG96" i="8"/>
  <c r="AF96" i="8"/>
  <c r="M96" i="8"/>
  <c r="O96" i="8" s="1"/>
  <c r="F96" i="8"/>
  <c r="H96" i="8" s="1"/>
  <c r="AI95" i="8"/>
  <c r="AH95" i="8"/>
  <c r="AG95" i="8"/>
  <c r="AF95" i="8"/>
  <c r="M95" i="8"/>
  <c r="O95" i="8" s="1"/>
  <c r="F95" i="8"/>
  <c r="H95" i="8" s="1"/>
  <c r="AI94" i="8"/>
  <c r="AH94" i="8"/>
  <c r="AG94" i="8"/>
  <c r="AF94" i="8"/>
  <c r="M94" i="8"/>
  <c r="O94" i="8" s="1"/>
  <c r="F94" i="8"/>
  <c r="H94" i="8" s="1"/>
  <c r="AI93" i="8"/>
  <c r="AH93" i="8"/>
  <c r="AG93" i="8"/>
  <c r="AF93" i="8"/>
  <c r="M93" i="8"/>
  <c r="O93" i="8" s="1"/>
  <c r="F93" i="8"/>
  <c r="H93" i="8" s="1"/>
  <c r="AI92" i="8"/>
  <c r="AH92" i="8"/>
  <c r="AG92" i="8"/>
  <c r="AF92" i="8"/>
  <c r="M92" i="8"/>
  <c r="O92" i="8" s="1"/>
  <c r="F92" i="8"/>
  <c r="H92" i="8" s="1"/>
  <c r="AI91" i="8"/>
  <c r="AH91" i="8"/>
  <c r="AG91" i="8"/>
  <c r="AF91" i="8"/>
  <c r="M91" i="8"/>
  <c r="O91" i="8" s="1"/>
  <c r="F91" i="8"/>
  <c r="H91" i="8" s="1"/>
  <c r="AI90" i="8"/>
  <c r="AH90" i="8"/>
  <c r="AG90" i="8"/>
  <c r="AF90" i="8"/>
  <c r="M90" i="8"/>
  <c r="O90" i="8" s="1"/>
  <c r="F90" i="8"/>
  <c r="H90" i="8" s="1"/>
  <c r="AI89" i="8"/>
  <c r="AH89" i="8"/>
  <c r="AG89" i="8"/>
  <c r="AF89" i="8"/>
  <c r="M89" i="8"/>
  <c r="O89" i="8" s="1"/>
  <c r="F89" i="8"/>
  <c r="H89" i="8" s="1"/>
  <c r="AI88" i="8"/>
  <c r="AH88" i="8"/>
  <c r="AG88" i="8"/>
  <c r="AF88" i="8"/>
  <c r="M88" i="8"/>
  <c r="O88" i="8" s="1"/>
  <c r="F88" i="8"/>
  <c r="H88" i="8" s="1"/>
  <c r="AI87" i="8"/>
  <c r="AH87" i="8"/>
  <c r="AG87" i="8"/>
  <c r="AF87" i="8"/>
  <c r="M87" i="8"/>
  <c r="O87" i="8" s="1"/>
  <c r="F87" i="8"/>
  <c r="H87" i="8" s="1"/>
  <c r="AI86" i="8"/>
  <c r="AH86" i="8"/>
  <c r="AG86" i="8"/>
  <c r="AF86" i="8"/>
  <c r="M86" i="8"/>
  <c r="O86" i="8" s="1"/>
  <c r="F86" i="8"/>
  <c r="H86" i="8" s="1"/>
  <c r="AI85" i="8"/>
  <c r="AH85" i="8"/>
  <c r="AG85" i="8"/>
  <c r="AF85" i="8"/>
  <c r="M85" i="8"/>
  <c r="O85" i="8" s="1"/>
  <c r="F85" i="8"/>
  <c r="H85" i="8" s="1"/>
  <c r="AI84" i="8"/>
  <c r="AH84" i="8"/>
  <c r="AG84" i="8"/>
  <c r="AF84" i="8"/>
  <c r="M84" i="8"/>
  <c r="O84" i="8" s="1"/>
  <c r="F84" i="8"/>
  <c r="H84" i="8" s="1"/>
  <c r="AI83" i="8"/>
  <c r="AH83" i="8"/>
  <c r="AG83" i="8"/>
  <c r="AF83" i="8"/>
  <c r="M83" i="8"/>
  <c r="O83" i="8" s="1"/>
  <c r="F83" i="8"/>
  <c r="H83" i="8" s="1"/>
  <c r="AI82" i="8"/>
  <c r="AH82" i="8"/>
  <c r="AG82" i="8"/>
  <c r="AF82" i="8"/>
  <c r="M82" i="8"/>
  <c r="O82" i="8" s="1"/>
  <c r="F82" i="8"/>
  <c r="H82" i="8" s="1"/>
  <c r="AI81" i="8"/>
  <c r="AH81" i="8"/>
  <c r="AG81" i="8"/>
  <c r="AF81" i="8"/>
  <c r="M81" i="8"/>
  <c r="O81" i="8" s="1"/>
  <c r="F81" i="8"/>
  <c r="H81" i="8" s="1"/>
  <c r="AI80" i="8"/>
  <c r="AH80" i="8"/>
  <c r="AG80" i="8"/>
  <c r="AF80" i="8"/>
  <c r="M80" i="8"/>
  <c r="O80" i="8" s="1"/>
  <c r="F80" i="8"/>
  <c r="H80" i="8" s="1"/>
  <c r="AI79" i="8"/>
  <c r="AH79" i="8"/>
  <c r="AG79" i="8"/>
  <c r="AF79" i="8"/>
  <c r="M79" i="8"/>
  <c r="O79" i="8" s="1"/>
  <c r="F79" i="8"/>
  <c r="H79" i="8" s="1"/>
  <c r="AI78" i="8"/>
  <c r="AH78" i="8"/>
  <c r="AG78" i="8"/>
  <c r="AF78" i="8"/>
  <c r="M78" i="8"/>
  <c r="O78" i="8" s="1"/>
  <c r="F78" i="8"/>
  <c r="H78" i="8" s="1"/>
  <c r="AI77" i="8"/>
  <c r="AH77" i="8"/>
  <c r="AG77" i="8"/>
  <c r="AF77" i="8"/>
  <c r="M77" i="8"/>
  <c r="O77" i="8" s="1"/>
  <c r="F77" i="8"/>
  <c r="H77" i="8" s="1"/>
  <c r="AI76" i="8"/>
  <c r="AH76" i="8"/>
  <c r="AG76" i="8"/>
  <c r="AF76" i="8"/>
  <c r="M76" i="8"/>
  <c r="O76" i="8" s="1"/>
  <c r="F76" i="8"/>
  <c r="H76" i="8" s="1"/>
  <c r="AI75" i="8"/>
  <c r="AH75" i="8"/>
  <c r="AG75" i="8"/>
  <c r="AF75" i="8"/>
  <c r="M75" i="8"/>
  <c r="O75" i="8" s="1"/>
  <c r="F75" i="8"/>
  <c r="H75" i="8" s="1"/>
  <c r="AI74" i="8"/>
  <c r="AH74" i="8"/>
  <c r="AG74" i="8"/>
  <c r="AF74" i="8"/>
  <c r="M74" i="8"/>
  <c r="O74" i="8" s="1"/>
  <c r="F74" i="8"/>
  <c r="H74" i="8" s="1"/>
  <c r="AI73" i="8"/>
  <c r="AH73" i="8"/>
  <c r="AG73" i="8"/>
  <c r="AF73" i="8"/>
  <c r="M73" i="8"/>
  <c r="O73" i="8" s="1"/>
  <c r="F73" i="8"/>
  <c r="H73" i="8" s="1"/>
  <c r="AI72" i="8"/>
  <c r="AH72" i="8"/>
  <c r="AG72" i="8"/>
  <c r="AF72" i="8"/>
  <c r="M72" i="8"/>
  <c r="O72" i="8" s="1"/>
  <c r="F72" i="8"/>
  <c r="H72" i="8" s="1"/>
  <c r="AI71" i="8"/>
  <c r="AH71" i="8"/>
  <c r="AG71" i="8"/>
  <c r="AF71" i="8"/>
  <c r="M71" i="8"/>
  <c r="O71" i="8" s="1"/>
  <c r="F71" i="8"/>
  <c r="H71" i="8" s="1"/>
  <c r="AI70" i="8"/>
  <c r="AH70" i="8"/>
  <c r="AG70" i="8"/>
  <c r="AF70" i="8"/>
  <c r="M70" i="8"/>
  <c r="O70" i="8" s="1"/>
  <c r="F70" i="8"/>
  <c r="H70" i="8" s="1"/>
  <c r="AI69" i="8"/>
  <c r="AH69" i="8"/>
  <c r="AG69" i="8"/>
  <c r="AF69" i="8"/>
  <c r="M69" i="8"/>
  <c r="O69" i="8" s="1"/>
  <c r="F69" i="8"/>
  <c r="H69" i="8" s="1"/>
  <c r="AI68" i="8"/>
  <c r="AH68" i="8"/>
  <c r="AG68" i="8"/>
  <c r="AF68" i="8"/>
  <c r="M68" i="8"/>
  <c r="O68" i="8" s="1"/>
  <c r="F68" i="8"/>
  <c r="H68" i="8" s="1"/>
  <c r="AI67" i="8"/>
  <c r="AH67" i="8"/>
  <c r="AG67" i="8"/>
  <c r="AF67" i="8"/>
  <c r="M67" i="8"/>
  <c r="O67" i="8" s="1"/>
  <c r="F67" i="8"/>
  <c r="H67" i="8" s="1"/>
  <c r="AI66" i="8"/>
  <c r="AH66" i="8"/>
  <c r="AG66" i="8"/>
  <c r="AF66" i="8"/>
  <c r="M66" i="8"/>
  <c r="O66" i="8" s="1"/>
  <c r="F66" i="8"/>
  <c r="H66" i="8" s="1"/>
  <c r="AI65" i="8"/>
  <c r="AH65" i="8"/>
  <c r="AG65" i="8"/>
  <c r="AF65" i="8"/>
  <c r="M65" i="8"/>
  <c r="O65" i="8" s="1"/>
  <c r="F65" i="8"/>
  <c r="H65" i="8" s="1"/>
  <c r="AI64" i="8"/>
  <c r="AH64" i="8"/>
  <c r="AG64" i="8"/>
  <c r="AF64" i="8"/>
  <c r="M64" i="8"/>
  <c r="O64" i="8" s="1"/>
  <c r="F64" i="8"/>
  <c r="H64" i="8" s="1"/>
  <c r="AI63" i="8"/>
  <c r="AH63" i="8"/>
  <c r="AG63" i="8"/>
  <c r="AF63" i="8"/>
  <c r="M63" i="8"/>
  <c r="O63" i="8" s="1"/>
  <c r="F63" i="8"/>
  <c r="H63" i="8" s="1"/>
  <c r="AI62" i="8"/>
  <c r="AH62" i="8"/>
  <c r="AG62" i="8"/>
  <c r="AF62" i="8"/>
  <c r="M62" i="8"/>
  <c r="O62" i="8" s="1"/>
  <c r="F62" i="8"/>
  <c r="H62" i="8" s="1"/>
  <c r="AI61" i="8"/>
  <c r="AH61" i="8"/>
  <c r="AG61" i="8"/>
  <c r="AF61" i="8"/>
  <c r="M61" i="8"/>
  <c r="O61" i="8" s="1"/>
  <c r="F61" i="8"/>
  <c r="H61" i="8" s="1"/>
  <c r="AI60" i="8"/>
  <c r="AH60" i="8"/>
  <c r="AG60" i="8"/>
  <c r="AF60" i="8"/>
  <c r="M60" i="8"/>
  <c r="O60" i="8" s="1"/>
  <c r="F60" i="8"/>
  <c r="H60" i="8" s="1"/>
  <c r="AI59" i="8"/>
  <c r="AH59" i="8"/>
  <c r="AG59" i="8"/>
  <c r="AF59" i="8"/>
  <c r="M59" i="8"/>
  <c r="O59" i="8" s="1"/>
  <c r="F59" i="8"/>
  <c r="H59" i="8" s="1"/>
  <c r="AI58" i="8"/>
  <c r="AH58" i="8"/>
  <c r="AG58" i="8"/>
  <c r="AF58" i="8"/>
  <c r="M58" i="8"/>
  <c r="O58" i="8" s="1"/>
  <c r="F58" i="8"/>
  <c r="H58" i="8" s="1"/>
  <c r="AI57" i="8"/>
  <c r="AH57" i="8"/>
  <c r="AG57" i="8"/>
  <c r="AF57" i="8"/>
  <c r="M57" i="8"/>
  <c r="O57" i="8" s="1"/>
  <c r="F57" i="8"/>
  <c r="H57" i="8" s="1"/>
  <c r="AI56" i="8"/>
  <c r="AH56" i="8"/>
  <c r="AG56" i="8"/>
  <c r="AF56" i="8"/>
  <c r="M56" i="8"/>
  <c r="O56" i="8" s="1"/>
  <c r="F56" i="8"/>
  <c r="H56" i="8" s="1"/>
  <c r="AI55" i="8"/>
  <c r="AH55" i="8"/>
  <c r="AG55" i="8"/>
  <c r="AF55" i="8"/>
  <c r="M55" i="8"/>
  <c r="O55" i="8" s="1"/>
  <c r="F55" i="8"/>
  <c r="H55" i="8" s="1"/>
  <c r="AI54" i="8"/>
  <c r="AH54" i="8"/>
  <c r="AG54" i="8"/>
  <c r="AF54" i="8"/>
  <c r="M54" i="8"/>
  <c r="O54" i="8" s="1"/>
  <c r="F54" i="8"/>
  <c r="H54" i="8" s="1"/>
  <c r="AI53" i="8"/>
  <c r="AH53" i="8"/>
  <c r="AG53" i="8"/>
  <c r="AF53" i="8"/>
  <c r="M53" i="8"/>
  <c r="O53" i="8" s="1"/>
  <c r="F53" i="8"/>
  <c r="H53" i="8" s="1"/>
  <c r="AI52" i="8"/>
  <c r="AH52" i="8"/>
  <c r="AG52" i="8"/>
  <c r="AF52" i="8"/>
  <c r="M52" i="8"/>
  <c r="O52" i="8" s="1"/>
  <c r="F52" i="8"/>
  <c r="H52" i="8" s="1"/>
  <c r="AI51" i="8"/>
  <c r="AH51" i="8"/>
  <c r="AG51" i="8"/>
  <c r="AF51" i="8"/>
  <c r="M51" i="8"/>
  <c r="O51" i="8" s="1"/>
  <c r="F51" i="8"/>
  <c r="H51" i="8" s="1"/>
  <c r="AI50" i="8"/>
  <c r="AH50" i="8"/>
  <c r="AG50" i="8"/>
  <c r="AF50" i="8"/>
  <c r="M50" i="8"/>
  <c r="O50" i="8" s="1"/>
  <c r="F50" i="8"/>
  <c r="H50" i="8" s="1"/>
  <c r="AI49" i="8"/>
  <c r="AH49" i="8"/>
  <c r="AG49" i="8"/>
  <c r="AF49" i="8"/>
  <c r="M49" i="8"/>
  <c r="O49" i="8" s="1"/>
  <c r="F49" i="8"/>
  <c r="H49" i="8" s="1"/>
  <c r="AI48" i="8"/>
  <c r="AH48" i="8"/>
  <c r="AG48" i="8"/>
  <c r="AF48" i="8"/>
  <c r="M48" i="8"/>
  <c r="O48" i="8" s="1"/>
  <c r="F48" i="8"/>
  <c r="H48" i="8" s="1"/>
  <c r="AI47" i="8"/>
  <c r="AH47" i="8"/>
  <c r="AG47" i="8"/>
  <c r="AF47" i="8"/>
  <c r="M47" i="8"/>
  <c r="O47" i="8" s="1"/>
  <c r="F47" i="8"/>
  <c r="H47" i="8" s="1"/>
  <c r="AI46" i="8"/>
  <c r="AH46" i="8"/>
  <c r="AG46" i="8"/>
  <c r="AF46" i="8"/>
  <c r="M46" i="8"/>
  <c r="O46" i="8" s="1"/>
  <c r="F46" i="8"/>
  <c r="H46" i="8" s="1"/>
  <c r="AI45" i="8"/>
  <c r="AH45" i="8"/>
  <c r="AG45" i="8"/>
  <c r="AF45" i="8"/>
  <c r="M45" i="8"/>
  <c r="O45" i="8" s="1"/>
  <c r="F45" i="8"/>
  <c r="H45" i="8" s="1"/>
  <c r="AI44" i="8"/>
  <c r="AH44" i="8"/>
  <c r="AG44" i="8"/>
  <c r="AF44" i="8"/>
  <c r="M44" i="8"/>
  <c r="O44" i="8" s="1"/>
  <c r="F44" i="8"/>
  <c r="H44" i="8" s="1"/>
  <c r="AI43" i="8"/>
  <c r="AH43" i="8"/>
  <c r="AG43" i="8"/>
  <c r="AF43" i="8"/>
  <c r="M43" i="8"/>
  <c r="O43" i="8" s="1"/>
  <c r="F43" i="8"/>
  <c r="H43" i="8" s="1"/>
  <c r="AI42" i="8"/>
  <c r="AH42" i="8"/>
  <c r="AG42" i="8"/>
  <c r="AF42" i="8"/>
  <c r="M42" i="8"/>
  <c r="O42" i="8" s="1"/>
  <c r="F42" i="8"/>
  <c r="H42" i="8" s="1"/>
  <c r="AI41" i="8"/>
  <c r="AH41" i="8"/>
  <c r="AG41" i="8"/>
  <c r="AF41" i="8"/>
  <c r="M41" i="8"/>
  <c r="O41" i="8" s="1"/>
  <c r="F41" i="8"/>
  <c r="H41" i="8" s="1"/>
  <c r="AI40" i="8"/>
  <c r="AH40" i="8"/>
  <c r="AG40" i="8"/>
  <c r="AF40" i="8"/>
  <c r="M40" i="8"/>
  <c r="O40" i="8" s="1"/>
  <c r="F40" i="8"/>
  <c r="H40" i="8" s="1"/>
  <c r="AI39" i="8"/>
  <c r="AH39" i="8"/>
  <c r="AG39" i="8"/>
  <c r="AF39" i="8"/>
  <c r="M39" i="8"/>
  <c r="O39" i="8" s="1"/>
  <c r="F39" i="8"/>
  <c r="H39" i="8" s="1"/>
  <c r="AI38" i="8"/>
  <c r="AH38" i="8"/>
  <c r="AG38" i="8"/>
  <c r="AF38" i="8"/>
  <c r="M38" i="8"/>
  <c r="O38" i="8" s="1"/>
  <c r="F38" i="8"/>
  <c r="H38" i="8" s="1"/>
  <c r="AI37" i="8"/>
  <c r="AH37" i="8"/>
  <c r="AG37" i="8"/>
  <c r="AF37" i="8"/>
  <c r="M37" i="8"/>
  <c r="O37" i="8" s="1"/>
  <c r="F37" i="8"/>
  <c r="H37" i="8" s="1"/>
  <c r="AI36" i="8"/>
  <c r="AH36" i="8"/>
  <c r="AG36" i="8"/>
  <c r="AF36" i="8"/>
  <c r="M36" i="8"/>
  <c r="O36" i="8" s="1"/>
  <c r="F36" i="8"/>
  <c r="H36" i="8" s="1"/>
  <c r="AI35" i="8"/>
  <c r="AH35" i="8"/>
  <c r="AG35" i="8"/>
  <c r="AF35" i="8"/>
  <c r="M35" i="8"/>
  <c r="O35" i="8" s="1"/>
  <c r="F35" i="8"/>
  <c r="H35" i="8" s="1"/>
  <c r="AI34" i="8"/>
  <c r="AH34" i="8"/>
  <c r="AG34" i="8"/>
  <c r="AF34" i="8"/>
  <c r="M34" i="8"/>
  <c r="O34" i="8" s="1"/>
  <c r="F34" i="8"/>
  <c r="H34" i="8" s="1"/>
  <c r="AI33" i="8"/>
  <c r="AH33" i="8"/>
  <c r="AG33" i="8"/>
  <c r="AF33" i="8"/>
  <c r="M33" i="8"/>
  <c r="O33" i="8" s="1"/>
  <c r="F33" i="8"/>
  <c r="H33" i="8" s="1"/>
  <c r="AI32" i="8"/>
  <c r="AH32" i="8"/>
  <c r="AG32" i="8"/>
  <c r="AF32" i="8"/>
  <c r="M32" i="8"/>
  <c r="O32" i="8" s="1"/>
  <c r="F32" i="8"/>
  <c r="H32" i="8" s="1"/>
  <c r="AI31" i="8"/>
  <c r="AH31" i="8"/>
  <c r="AG31" i="8"/>
  <c r="AF31" i="8"/>
  <c r="M31" i="8"/>
  <c r="O31" i="8" s="1"/>
  <c r="F31" i="8"/>
  <c r="H31" i="8" s="1"/>
  <c r="AI30" i="8"/>
  <c r="AH30" i="8"/>
  <c r="AG30" i="8"/>
  <c r="AF30" i="8"/>
  <c r="M30" i="8"/>
  <c r="O30" i="8" s="1"/>
  <c r="F30" i="8"/>
  <c r="H30" i="8" s="1"/>
  <c r="AI29" i="8"/>
  <c r="AH29" i="8"/>
  <c r="AG29" i="8"/>
  <c r="AF29" i="8"/>
  <c r="M29" i="8"/>
  <c r="O29" i="8" s="1"/>
  <c r="F29" i="8"/>
  <c r="H29" i="8" s="1"/>
  <c r="AI28" i="8"/>
  <c r="AH28" i="8"/>
  <c r="AG28" i="8"/>
  <c r="AF28" i="8"/>
  <c r="M28" i="8"/>
  <c r="O28" i="8" s="1"/>
  <c r="F28" i="8"/>
  <c r="H28" i="8" s="1"/>
  <c r="AI27" i="8"/>
  <c r="AH27" i="8"/>
  <c r="AG27" i="8"/>
  <c r="AF27" i="8"/>
  <c r="M27" i="8"/>
  <c r="O27" i="8" s="1"/>
  <c r="F27" i="8"/>
  <c r="H27" i="8" s="1"/>
  <c r="AI26" i="8"/>
  <c r="AH26" i="8"/>
  <c r="AG26" i="8"/>
  <c r="AF26" i="8"/>
  <c r="M26" i="8"/>
  <c r="O26" i="8" s="1"/>
  <c r="F26" i="8"/>
  <c r="H26" i="8" s="1"/>
  <c r="AI25" i="8"/>
  <c r="AH25" i="8"/>
  <c r="AG25" i="8"/>
  <c r="AF25" i="8"/>
  <c r="M25" i="8"/>
  <c r="O25" i="8" s="1"/>
  <c r="F25" i="8"/>
  <c r="H25" i="8" s="1"/>
  <c r="AI24" i="8"/>
  <c r="AH24" i="8"/>
  <c r="AG24" i="8"/>
  <c r="AF24" i="8"/>
  <c r="M24" i="8"/>
  <c r="O24" i="8" s="1"/>
  <c r="F24" i="8"/>
  <c r="H24" i="8" s="1"/>
  <c r="AI23" i="8"/>
  <c r="AH23" i="8"/>
  <c r="AG23" i="8"/>
  <c r="AF23" i="8"/>
  <c r="M23" i="8"/>
  <c r="O23" i="8" s="1"/>
  <c r="F23" i="8"/>
  <c r="H23" i="8" s="1"/>
  <c r="AI22" i="8"/>
  <c r="AH22" i="8"/>
  <c r="AG22" i="8"/>
  <c r="AF22" i="8"/>
  <c r="M22" i="8"/>
  <c r="O22" i="8" s="1"/>
  <c r="F22" i="8"/>
  <c r="H22" i="8" s="1"/>
  <c r="AI21" i="8"/>
  <c r="AH21" i="8"/>
  <c r="AG21" i="8"/>
  <c r="AF21" i="8"/>
  <c r="M21" i="8"/>
  <c r="O21" i="8" s="1"/>
  <c r="F21" i="8"/>
  <c r="H21" i="8" s="1"/>
  <c r="AI20" i="8"/>
  <c r="AH20" i="8"/>
  <c r="AG20" i="8"/>
  <c r="AF20" i="8"/>
  <c r="M20" i="8"/>
  <c r="O20" i="8" s="1"/>
  <c r="F20" i="8"/>
  <c r="H20" i="8" s="1"/>
  <c r="AI19" i="8"/>
  <c r="AH19" i="8"/>
  <c r="AG19" i="8"/>
  <c r="AF19" i="8"/>
  <c r="M19" i="8"/>
  <c r="O19" i="8" s="1"/>
  <c r="F19" i="8"/>
  <c r="H19" i="8" s="1"/>
  <c r="AI18" i="8"/>
  <c r="AH18" i="8"/>
  <c r="AG18" i="8"/>
  <c r="AF18" i="8"/>
  <c r="M18" i="8"/>
  <c r="O18" i="8" s="1"/>
  <c r="F18" i="8"/>
  <c r="H18" i="8" s="1"/>
  <c r="AI17" i="8"/>
  <c r="AH17" i="8"/>
  <c r="AG17" i="8"/>
  <c r="AF17" i="8"/>
  <c r="M17" i="8"/>
  <c r="O17" i="8" s="1"/>
  <c r="F17" i="8"/>
  <c r="H17" i="8" s="1"/>
  <c r="AI16" i="8"/>
  <c r="AH16" i="8"/>
  <c r="AG16" i="8"/>
  <c r="AF16" i="8"/>
  <c r="M16" i="8"/>
  <c r="O16" i="8" s="1"/>
  <c r="F16" i="8"/>
  <c r="H16" i="8" s="1"/>
  <c r="AI15" i="8"/>
  <c r="AH15" i="8"/>
  <c r="AG15" i="8"/>
  <c r="AF15" i="8"/>
  <c r="M15" i="8"/>
  <c r="O15" i="8" s="1"/>
  <c r="F15" i="8"/>
  <c r="H15" i="8" s="1"/>
  <c r="AI14" i="8"/>
  <c r="AH14" i="8"/>
  <c r="AG14" i="8"/>
  <c r="AF14" i="8"/>
  <c r="M14" i="8"/>
  <c r="O14" i="8" s="1"/>
  <c r="F14" i="8"/>
  <c r="H14" i="8" s="1"/>
  <c r="AI13" i="8"/>
  <c r="AH13" i="8"/>
  <c r="AG13" i="8"/>
  <c r="AF13" i="8"/>
  <c r="M13" i="8"/>
  <c r="O13" i="8" s="1"/>
  <c r="F13" i="8"/>
  <c r="H13" i="8" s="1"/>
  <c r="AI12" i="8"/>
  <c r="AH12" i="8"/>
  <c r="AG12" i="8"/>
  <c r="AF12" i="8"/>
  <c r="M12" i="8"/>
  <c r="O12" i="8" s="1"/>
  <c r="F12" i="8"/>
  <c r="H12" i="8" s="1"/>
  <c r="AI11" i="8"/>
  <c r="AH11" i="8"/>
  <c r="AG11" i="8"/>
  <c r="AF11" i="8"/>
  <c r="M11" i="8"/>
  <c r="O11" i="8" s="1"/>
  <c r="F11" i="8"/>
  <c r="H11" i="8" s="1"/>
  <c r="AI10" i="8"/>
  <c r="AH10" i="8"/>
  <c r="AG10" i="8"/>
  <c r="AF10" i="8"/>
  <c r="M10" i="8"/>
  <c r="O10" i="8" s="1"/>
  <c r="F10" i="8"/>
  <c r="H10" i="8" s="1"/>
  <c r="AI9" i="8"/>
  <c r="AH9" i="8"/>
  <c r="AG9" i="8"/>
  <c r="AF9" i="8"/>
  <c r="M9" i="8"/>
  <c r="O9" i="8" s="1"/>
  <c r="F9" i="8"/>
  <c r="H9" i="8" s="1"/>
  <c r="AI8" i="8"/>
  <c r="AH8" i="8"/>
  <c r="AG8" i="8"/>
  <c r="AF8" i="8"/>
  <c r="M8" i="8"/>
  <c r="O8" i="8" s="1"/>
  <c r="F8" i="8"/>
  <c r="H8" i="8" s="1"/>
  <c r="AI7" i="8"/>
  <c r="AH7" i="8"/>
  <c r="AG7" i="8"/>
  <c r="AF7" i="8"/>
  <c r="M7" i="8"/>
  <c r="O7" i="8" s="1"/>
  <c r="F7" i="8"/>
  <c r="H7" i="8" s="1"/>
  <c r="AI6" i="8"/>
  <c r="AH6" i="8"/>
  <c r="AG6" i="8"/>
  <c r="AF6" i="8"/>
  <c r="M6" i="8"/>
  <c r="O6" i="8" s="1"/>
  <c r="F6" i="8"/>
  <c r="H6" i="8" s="1"/>
  <c r="AI5" i="8"/>
  <c r="AH5" i="8"/>
  <c r="AG5" i="8"/>
  <c r="AF5" i="8"/>
  <c r="M5" i="8"/>
  <c r="O5" i="8" s="1"/>
  <c r="F5" i="8"/>
  <c r="H5" i="8" s="1"/>
  <c r="AI4" i="8"/>
  <c r="AH4" i="8"/>
  <c r="AG4" i="8"/>
  <c r="AF4" i="8"/>
  <c r="M4" i="8"/>
  <c r="O4" i="8" s="1"/>
  <c r="F4" i="8"/>
  <c r="H4" i="8" s="1"/>
  <c r="B4" i="8"/>
  <c r="AI3" i="8"/>
  <c r="AH3" i="8"/>
  <c r="AG3" i="8"/>
  <c r="AF3" i="8"/>
  <c r="M3" i="8"/>
  <c r="N3" i="8" s="1"/>
  <c r="F3" i="8"/>
  <c r="H3" i="8" s="1"/>
  <c r="C3" i="8"/>
  <c r="C51" i="2"/>
  <c r="C50" i="2"/>
  <c r="C49" i="2"/>
  <c r="C48" i="2"/>
  <c r="C44" i="2"/>
  <c r="C42" i="2"/>
  <c r="C43" i="2"/>
  <c r="C45" i="2"/>
  <c r="V17" i="19" l="1"/>
  <c r="V18" i="19" s="1"/>
  <c r="V19" i="19" s="1"/>
  <c r="V20" i="19" s="1"/>
  <c r="V21" i="19" s="1"/>
  <c r="V22" i="19" s="1"/>
  <c r="V23" i="19" s="1"/>
  <c r="V24" i="19" s="1"/>
  <c r="V25" i="19" s="1"/>
  <c r="V26" i="19" s="1"/>
  <c r="V27" i="19" s="1"/>
  <c r="V28" i="19" s="1"/>
  <c r="V29" i="19" s="1"/>
  <c r="V30" i="19" s="1"/>
  <c r="V31" i="19" s="1"/>
  <c r="V32" i="19" s="1"/>
  <c r="V33" i="19" s="1"/>
  <c r="V34" i="19" s="1"/>
  <c r="V35" i="19" s="1"/>
  <c r="V36" i="19" s="1"/>
  <c r="V37" i="19" s="1"/>
  <c r="V38" i="19" s="1"/>
  <c r="V39" i="19" s="1"/>
  <c r="V40" i="19" s="1"/>
  <c r="V41" i="19" s="1"/>
  <c r="V42" i="19" s="1"/>
  <c r="V43" i="19" s="1"/>
  <c r="V44" i="19" s="1"/>
  <c r="V45" i="19" s="1"/>
  <c r="V46" i="19" s="1"/>
  <c r="V47" i="19" s="1"/>
  <c r="V48" i="19" s="1"/>
  <c r="V49" i="19" s="1"/>
  <c r="V50" i="19" s="1"/>
  <c r="V51" i="19" s="1"/>
  <c r="V52" i="19" s="1"/>
  <c r="V53" i="19" s="1"/>
  <c r="V54" i="19" s="1"/>
  <c r="V55" i="19" s="1"/>
  <c r="V56" i="19" s="1"/>
  <c r="V57" i="19" s="1"/>
  <c r="V58" i="19" s="1"/>
  <c r="V59" i="19" s="1"/>
  <c r="V60" i="19" s="1"/>
  <c r="V61" i="19" s="1"/>
  <c r="V62" i="19" s="1"/>
  <c r="V63" i="19" s="1"/>
  <c r="V64" i="19" s="1"/>
  <c r="V65" i="19" s="1"/>
  <c r="V66" i="19" s="1"/>
  <c r="V67" i="19" s="1"/>
  <c r="V68" i="19" s="1"/>
  <c r="V69" i="19" s="1"/>
  <c r="V70" i="19" s="1"/>
  <c r="V71" i="19" s="1"/>
  <c r="V72" i="19" s="1"/>
  <c r="V73" i="19" s="1"/>
  <c r="V74" i="19" s="1"/>
  <c r="V75" i="19" s="1"/>
  <c r="V76" i="19" s="1"/>
  <c r="V77" i="19" s="1"/>
  <c r="V78" i="19" s="1"/>
  <c r="V79" i="19" s="1"/>
  <c r="V80" i="19" s="1"/>
  <c r="V81" i="19" s="1"/>
  <c r="V82" i="19" s="1"/>
  <c r="V83" i="19" s="1"/>
  <c r="V84" i="19" s="1"/>
  <c r="V85" i="19" s="1"/>
  <c r="V86" i="19" s="1"/>
  <c r="V87" i="19" s="1"/>
  <c r="V88" i="19" s="1"/>
  <c r="V89" i="19" s="1"/>
  <c r="V90" i="19" s="1"/>
  <c r="V91" i="19" s="1"/>
  <c r="V92" i="19" s="1"/>
  <c r="V93" i="19" s="1"/>
  <c r="V94" i="19" s="1"/>
  <c r="V95" i="19" s="1"/>
  <c r="V96" i="19" s="1"/>
  <c r="V97" i="19" s="1"/>
  <c r="V98" i="19" s="1"/>
  <c r="V99" i="19" s="1"/>
  <c r="V100" i="19" s="1"/>
  <c r="V101" i="19" s="1"/>
  <c r="V102" i="19" s="1"/>
  <c r="V103" i="19" s="1"/>
  <c r="V104" i="19" s="1"/>
  <c r="V105" i="19" s="1"/>
  <c r="V106" i="19" s="1"/>
  <c r="V107" i="19" s="1"/>
  <c r="V108" i="19" s="1"/>
  <c r="V109" i="19" s="1"/>
  <c r="V110" i="19" s="1"/>
  <c r="V111" i="19" s="1"/>
  <c r="V112" i="19" s="1"/>
  <c r="O3" i="17"/>
  <c r="O4" i="17" s="1"/>
  <c r="O5" i="17" s="1"/>
  <c r="O3" i="19"/>
  <c r="O4" i="19" s="1"/>
  <c r="O5" i="19" s="1"/>
  <c r="O6" i="19" s="1"/>
  <c r="O7" i="19" s="1"/>
  <c r="O8" i="19" s="1"/>
  <c r="O9" i="19" s="1"/>
  <c r="O10" i="19" s="1"/>
  <c r="O11" i="19" s="1"/>
  <c r="O12" i="19" s="1"/>
  <c r="O13" i="19" s="1"/>
  <c r="O14" i="19" s="1"/>
  <c r="O15" i="19" s="1"/>
  <c r="O16" i="19" s="1"/>
  <c r="O17" i="19" s="1"/>
  <c r="O18" i="19" s="1"/>
  <c r="O19" i="19" s="1"/>
  <c r="O20" i="19" s="1"/>
  <c r="O21" i="19" s="1"/>
  <c r="O22" i="19" s="1"/>
  <c r="O23" i="19" s="1"/>
  <c r="O24" i="19" s="1"/>
  <c r="O25" i="19" s="1"/>
  <c r="O26" i="19" s="1"/>
  <c r="O27" i="19" s="1"/>
  <c r="O28" i="19" s="1"/>
  <c r="O29" i="19" s="1"/>
  <c r="O30" i="19" s="1"/>
  <c r="O31" i="19" s="1"/>
  <c r="O32" i="19" s="1"/>
  <c r="O33" i="19" s="1"/>
  <c r="O34" i="19" s="1"/>
  <c r="O35" i="19" s="1"/>
  <c r="O36" i="19" s="1"/>
  <c r="O37" i="19" s="1"/>
  <c r="O38" i="19" s="1"/>
  <c r="O39" i="19" s="1"/>
  <c r="O40" i="19" s="1"/>
  <c r="O41" i="19" s="1"/>
  <c r="O42" i="19" s="1"/>
  <c r="O43" i="19" s="1"/>
  <c r="O44" i="19" s="1"/>
  <c r="O45" i="19" s="1"/>
  <c r="O46" i="19" s="1"/>
  <c r="O47" i="19" s="1"/>
  <c r="O48" i="19" s="1"/>
  <c r="O49" i="19" s="1"/>
  <c r="O50" i="19" s="1"/>
  <c r="O51" i="19" s="1"/>
  <c r="O52" i="19" s="1"/>
  <c r="O53" i="19" s="1"/>
  <c r="O54" i="19" s="1"/>
  <c r="O55" i="19" s="1"/>
  <c r="O56" i="19" s="1"/>
  <c r="O57" i="19" s="1"/>
  <c r="O58" i="19" s="1"/>
  <c r="O59" i="19" s="1"/>
  <c r="O60" i="19" s="1"/>
  <c r="O61" i="19" s="1"/>
  <c r="O62" i="19" s="1"/>
  <c r="O63" i="19" s="1"/>
  <c r="O64" i="19" s="1"/>
  <c r="O65" i="19" s="1"/>
  <c r="O66" i="19" s="1"/>
  <c r="O67" i="19" s="1"/>
  <c r="O68" i="19" s="1"/>
  <c r="O69" i="19" s="1"/>
  <c r="O70" i="19" s="1"/>
  <c r="O71" i="19" s="1"/>
  <c r="O72" i="19" s="1"/>
  <c r="O73" i="19" s="1"/>
  <c r="O74" i="19" s="1"/>
  <c r="O75" i="19" s="1"/>
  <c r="O76" i="19" s="1"/>
  <c r="O77" i="19" s="1"/>
  <c r="O78" i="19" s="1"/>
  <c r="O79" i="19" s="1"/>
  <c r="O80" i="19" s="1"/>
  <c r="O81" i="19" s="1"/>
  <c r="O82" i="19" s="1"/>
  <c r="O83" i="19" s="1"/>
  <c r="O84" i="19" s="1"/>
  <c r="O85" i="19" s="1"/>
  <c r="O86" i="19" s="1"/>
  <c r="O87" i="19" s="1"/>
  <c r="O88" i="19" s="1"/>
  <c r="O89" i="19" s="1"/>
  <c r="O90" i="19" s="1"/>
  <c r="O91" i="19" s="1"/>
  <c r="O92" i="19" s="1"/>
  <c r="O93" i="19" s="1"/>
  <c r="O94" i="19" s="1"/>
  <c r="O95" i="19" s="1"/>
  <c r="O96" i="19" s="1"/>
  <c r="O97" i="19" s="1"/>
  <c r="O98" i="19" s="1"/>
  <c r="O99" i="19" s="1"/>
  <c r="O100" i="19" s="1"/>
  <c r="O101" i="19" s="1"/>
  <c r="O102" i="19" s="1"/>
  <c r="O103" i="19" s="1"/>
  <c r="O104" i="19" s="1"/>
  <c r="O105" i="19" s="1"/>
  <c r="O106" i="19" s="1"/>
  <c r="O107" i="19" s="1"/>
  <c r="O108" i="19" s="1"/>
  <c r="O109" i="19" s="1"/>
  <c r="O110" i="19" s="1"/>
  <c r="O111" i="19" s="1"/>
  <c r="O112" i="19" s="1"/>
  <c r="B6" i="19"/>
  <c r="A7" i="19"/>
  <c r="AM3" i="19"/>
  <c r="P3" i="19"/>
  <c r="Q3" i="19" s="1"/>
  <c r="F4" i="19"/>
  <c r="F5" i="19" s="1"/>
  <c r="F6" i="19" s="1"/>
  <c r="F7" i="19" s="1"/>
  <c r="F8" i="19" s="1"/>
  <c r="F9" i="19" s="1"/>
  <c r="F10" i="19" s="1"/>
  <c r="F11" i="19" s="1"/>
  <c r="F12" i="19" s="1"/>
  <c r="F13" i="19" s="1"/>
  <c r="F14" i="19" s="1"/>
  <c r="F15" i="19" s="1"/>
  <c r="F16" i="19" s="1"/>
  <c r="F17" i="19" s="1"/>
  <c r="F18" i="19" s="1"/>
  <c r="F19" i="19" s="1"/>
  <c r="F20" i="19" s="1"/>
  <c r="F21" i="19" s="1"/>
  <c r="F22" i="19" s="1"/>
  <c r="F23" i="19" s="1"/>
  <c r="F24" i="19" s="1"/>
  <c r="F25" i="19" s="1"/>
  <c r="F26" i="19" s="1"/>
  <c r="F27" i="19" s="1"/>
  <c r="F28" i="19" s="1"/>
  <c r="F29" i="19" s="1"/>
  <c r="F30" i="19" s="1"/>
  <c r="F31" i="19" s="1"/>
  <c r="F32" i="19" s="1"/>
  <c r="F33" i="19" s="1"/>
  <c r="F34" i="19" s="1"/>
  <c r="F35" i="19" s="1"/>
  <c r="F36" i="19" s="1"/>
  <c r="F37" i="19" s="1"/>
  <c r="F38" i="19" s="1"/>
  <c r="F39" i="19" s="1"/>
  <c r="F40" i="19" s="1"/>
  <c r="F41" i="19" s="1"/>
  <c r="F42" i="19" s="1"/>
  <c r="F43" i="19" s="1"/>
  <c r="F44" i="19" s="1"/>
  <c r="F45" i="19" s="1"/>
  <c r="F46" i="19" s="1"/>
  <c r="F47" i="19" s="1"/>
  <c r="F48" i="19" s="1"/>
  <c r="F49" i="19" s="1"/>
  <c r="F50" i="19" s="1"/>
  <c r="F51" i="19" s="1"/>
  <c r="F52" i="19" s="1"/>
  <c r="F53" i="19" s="1"/>
  <c r="F54" i="19" s="1"/>
  <c r="F55" i="19" s="1"/>
  <c r="F56" i="19" s="1"/>
  <c r="F57" i="19" s="1"/>
  <c r="F58" i="19" s="1"/>
  <c r="F59" i="19" s="1"/>
  <c r="F60" i="19" s="1"/>
  <c r="F61" i="19" s="1"/>
  <c r="F62" i="19" s="1"/>
  <c r="F63" i="19" s="1"/>
  <c r="F64" i="19" s="1"/>
  <c r="F65" i="19" s="1"/>
  <c r="F66" i="19" s="1"/>
  <c r="F67" i="19" s="1"/>
  <c r="F68" i="19" s="1"/>
  <c r="F69" i="19" s="1"/>
  <c r="F70" i="19" s="1"/>
  <c r="F71" i="19" s="1"/>
  <c r="F72" i="19" s="1"/>
  <c r="F73" i="19" s="1"/>
  <c r="F74" i="19" s="1"/>
  <c r="F75" i="19" s="1"/>
  <c r="F76" i="19" s="1"/>
  <c r="F77" i="19" s="1"/>
  <c r="F78" i="19" s="1"/>
  <c r="F79" i="19" s="1"/>
  <c r="F80" i="19" s="1"/>
  <c r="F81" i="19" s="1"/>
  <c r="F82" i="19" s="1"/>
  <c r="F83" i="19" s="1"/>
  <c r="F84" i="19" s="1"/>
  <c r="F85" i="19" s="1"/>
  <c r="F86" i="19" s="1"/>
  <c r="F87" i="19" s="1"/>
  <c r="F88" i="19" s="1"/>
  <c r="F89" i="19" s="1"/>
  <c r="F90" i="19" s="1"/>
  <c r="F91" i="19" s="1"/>
  <c r="F92" i="19" s="1"/>
  <c r="F93" i="19" s="1"/>
  <c r="F94" i="19" s="1"/>
  <c r="F95" i="19" s="1"/>
  <c r="F96" i="19" s="1"/>
  <c r="F97" i="19" s="1"/>
  <c r="F98" i="19" s="1"/>
  <c r="F99" i="19" s="1"/>
  <c r="F100" i="19" s="1"/>
  <c r="F101" i="19" s="1"/>
  <c r="F102" i="19" s="1"/>
  <c r="F103" i="19" s="1"/>
  <c r="F104" i="19" s="1"/>
  <c r="F105" i="19" s="1"/>
  <c r="F106" i="19" s="1"/>
  <c r="F107" i="19" s="1"/>
  <c r="F108" i="19" s="1"/>
  <c r="F109" i="19" s="1"/>
  <c r="F110" i="19" s="1"/>
  <c r="F111" i="19" s="1"/>
  <c r="F112" i="19" s="1"/>
  <c r="I3" i="19"/>
  <c r="M6" i="19"/>
  <c r="H3" i="18"/>
  <c r="H3" i="19"/>
  <c r="O3" i="18"/>
  <c r="O4" i="18" s="1"/>
  <c r="O5" i="18" s="1"/>
  <c r="AX3" i="19"/>
  <c r="Y3" i="19"/>
  <c r="AS3" i="19" s="1"/>
  <c r="AM4" i="19"/>
  <c r="P4" i="19"/>
  <c r="Q4" i="19" s="1"/>
  <c r="U18" i="15"/>
  <c r="U36" i="15"/>
  <c r="U29" i="15"/>
  <c r="U44" i="15"/>
  <c r="U33" i="15"/>
  <c r="U39" i="15"/>
  <c r="G39" i="15"/>
  <c r="U7" i="15"/>
  <c r="U70" i="15"/>
  <c r="N3" i="15"/>
  <c r="U35" i="15"/>
  <c r="N70" i="15"/>
  <c r="G44" i="15"/>
  <c r="U28" i="15"/>
  <c r="U69" i="15"/>
  <c r="U21" i="15"/>
  <c r="G69" i="15"/>
  <c r="U9" i="15"/>
  <c r="N50" i="15"/>
  <c r="U53" i="15"/>
  <c r="U54" i="15"/>
  <c r="N56" i="15"/>
  <c r="U59" i="15"/>
  <c r="U71" i="15"/>
  <c r="U93" i="15"/>
  <c r="G101" i="15"/>
  <c r="G54" i="15"/>
  <c r="G88" i="15"/>
  <c r="U97" i="15"/>
  <c r="N28" i="15"/>
  <c r="U104" i="15"/>
  <c r="U25" i="15"/>
  <c r="U98" i="18"/>
  <c r="U99" i="18"/>
  <c r="U79" i="18"/>
  <c r="U15" i="18"/>
  <c r="U93" i="18"/>
  <c r="U85" i="18"/>
  <c r="U89" i="18"/>
  <c r="U81" i="18"/>
  <c r="U76" i="18"/>
  <c r="U66" i="18"/>
  <c r="G71" i="18"/>
  <c r="U68" i="18"/>
  <c r="U73" i="18"/>
  <c r="U84" i="18"/>
  <c r="N91" i="18"/>
  <c r="U86" i="18"/>
  <c r="G86" i="18"/>
  <c r="U90" i="18"/>
  <c r="U47" i="18"/>
  <c r="U43" i="18"/>
  <c r="G36" i="18"/>
  <c r="U42" i="18"/>
  <c r="U38" i="18"/>
  <c r="U39" i="18"/>
  <c r="U29" i="18"/>
  <c r="N29" i="18"/>
  <c r="U30" i="18"/>
  <c r="G34" i="18"/>
  <c r="U25" i="18"/>
  <c r="G24" i="18"/>
  <c r="U23" i="18"/>
  <c r="U20" i="18"/>
  <c r="S3" i="18"/>
  <c r="M4" i="18"/>
  <c r="O6" i="18"/>
  <c r="O7" i="18" s="1"/>
  <c r="O8" i="18" s="1"/>
  <c r="O9" i="18" s="1"/>
  <c r="O10" i="18" s="1"/>
  <c r="O11" i="18" s="1"/>
  <c r="O12" i="18" s="1"/>
  <c r="O13" i="18" s="1"/>
  <c r="O14" i="18" s="1"/>
  <c r="O15" i="18" s="1"/>
  <c r="O16" i="18" s="1"/>
  <c r="O17" i="18" s="1"/>
  <c r="O18" i="18" s="1"/>
  <c r="O19" i="18" s="1"/>
  <c r="O20" i="18" s="1"/>
  <c r="O21" i="18" s="1"/>
  <c r="O22" i="18" s="1"/>
  <c r="O23" i="18" s="1"/>
  <c r="O24" i="18" s="1"/>
  <c r="O25" i="18" s="1"/>
  <c r="O26" i="18" s="1"/>
  <c r="O27" i="18" s="1"/>
  <c r="O28" i="18" s="1"/>
  <c r="O29" i="18" s="1"/>
  <c r="O30" i="18" s="1"/>
  <c r="O31" i="18" s="1"/>
  <c r="O32" i="18" s="1"/>
  <c r="O33" i="18" s="1"/>
  <c r="O34" i="18" s="1"/>
  <c r="O35" i="18" s="1"/>
  <c r="O36" i="18" s="1"/>
  <c r="O37" i="18" s="1"/>
  <c r="O38" i="18" s="1"/>
  <c r="O39" i="18" s="1"/>
  <c r="O40" i="18" s="1"/>
  <c r="O41" i="18" s="1"/>
  <c r="O42" i="18" s="1"/>
  <c r="O43" i="18" s="1"/>
  <c r="O44" i="18" s="1"/>
  <c r="O45" i="18" s="1"/>
  <c r="O46" i="18" s="1"/>
  <c r="O47" i="18" s="1"/>
  <c r="O48" i="18" s="1"/>
  <c r="O49" i="18" s="1"/>
  <c r="O50" i="18" s="1"/>
  <c r="O51" i="18" s="1"/>
  <c r="O52" i="18" s="1"/>
  <c r="O53" i="18" s="1"/>
  <c r="O54" i="18" s="1"/>
  <c r="O55" i="18" s="1"/>
  <c r="O56" i="18" s="1"/>
  <c r="O57" i="18" s="1"/>
  <c r="O58" i="18" s="1"/>
  <c r="O59" i="18" s="1"/>
  <c r="O60" i="18" s="1"/>
  <c r="O61" i="18" s="1"/>
  <c r="O62" i="18" s="1"/>
  <c r="O63" i="18" s="1"/>
  <c r="O64" i="18" s="1"/>
  <c r="O65" i="18" s="1"/>
  <c r="O66" i="18" s="1"/>
  <c r="AX3" i="18"/>
  <c r="Y3" i="18"/>
  <c r="AS3" i="18" s="1"/>
  <c r="F4" i="18"/>
  <c r="F5" i="18" s="1"/>
  <c r="F6" i="18" s="1"/>
  <c r="F7" i="18" s="1"/>
  <c r="F8" i="18" s="1"/>
  <c r="F9" i="18" s="1"/>
  <c r="F10" i="18" s="1"/>
  <c r="F11" i="18" s="1"/>
  <c r="F12" i="18" s="1"/>
  <c r="F13" i="18" s="1"/>
  <c r="F14" i="18" s="1"/>
  <c r="F15" i="18" s="1"/>
  <c r="F16" i="18" s="1"/>
  <c r="F17" i="18" s="1"/>
  <c r="F18" i="18" s="1"/>
  <c r="F19" i="18" s="1"/>
  <c r="F20" i="18" s="1"/>
  <c r="F21" i="18" s="1"/>
  <c r="F22" i="18" s="1"/>
  <c r="F23" i="18" s="1"/>
  <c r="F24" i="18" s="1"/>
  <c r="F25" i="18" s="1"/>
  <c r="F26" i="18" s="1"/>
  <c r="F27" i="18" s="1"/>
  <c r="F28" i="18" s="1"/>
  <c r="F29" i="18" s="1"/>
  <c r="F30" i="18" s="1"/>
  <c r="F31" i="18" s="1"/>
  <c r="F32" i="18" s="1"/>
  <c r="F33" i="18" s="1"/>
  <c r="F34" i="18" s="1"/>
  <c r="F35" i="18" s="1"/>
  <c r="F36" i="18" s="1"/>
  <c r="F37" i="18" s="1"/>
  <c r="F38" i="18" s="1"/>
  <c r="F39" i="18" s="1"/>
  <c r="F40" i="18" s="1"/>
  <c r="F41" i="18" s="1"/>
  <c r="F42" i="18" s="1"/>
  <c r="F43" i="18" s="1"/>
  <c r="F44" i="18" s="1"/>
  <c r="F45" i="18" s="1"/>
  <c r="F46" i="18" s="1"/>
  <c r="F47" i="18" s="1"/>
  <c r="F48" i="18" s="1"/>
  <c r="F49" i="18" s="1"/>
  <c r="F50" i="18" s="1"/>
  <c r="F51" i="18" s="1"/>
  <c r="F52" i="18" s="1"/>
  <c r="F53" i="18" s="1"/>
  <c r="F54" i="18" s="1"/>
  <c r="F55" i="18" s="1"/>
  <c r="F56" i="18" s="1"/>
  <c r="F57" i="18" s="1"/>
  <c r="F58" i="18" s="1"/>
  <c r="F59" i="18" s="1"/>
  <c r="F60" i="18" s="1"/>
  <c r="F61" i="18" s="1"/>
  <c r="F62" i="18" s="1"/>
  <c r="F63" i="18" s="1"/>
  <c r="F64" i="18" s="1"/>
  <c r="F65" i="18" s="1"/>
  <c r="F66" i="18" s="1"/>
  <c r="F67" i="18" s="1"/>
  <c r="F68" i="18" s="1"/>
  <c r="F69" i="18" s="1"/>
  <c r="F70" i="18" s="1"/>
  <c r="F71" i="18" s="1"/>
  <c r="F72" i="18" s="1"/>
  <c r="F73" i="18" s="1"/>
  <c r="F74" i="18" s="1"/>
  <c r="F75" i="18" s="1"/>
  <c r="F76" i="18" s="1"/>
  <c r="F77" i="18" s="1"/>
  <c r="F78" i="18" s="1"/>
  <c r="F79" i="18" s="1"/>
  <c r="F80" i="18" s="1"/>
  <c r="F81" i="18" s="1"/>
  <c r="F82" i="18" s="1"/>
  <c r="F83" i="18" s="1"/>
  <c r="F84" i="18" s="1"/>
  <c r="F85" i="18" s="1"/>
  <c r="F86" i="18" s="1"/>
  <c r="F87" i="18" s="1"/>
  <c r="F88" i="18" s="1"/>
  <c r="F89" i="18" s="1"/>
  <c r="F90" i="18" s="1"/>
  <c r="F91" i="18" s="1"/>
  <c r="F92" i="18" s="1"/>
  <c r="F93" i="18" s="1"/>
  <c r="F94" i="18" s="1"/>
  <c r="F95" i="18" s="1"/>
  <c r="F96" i="18" s="1"/>
  <c r="F97" i="18" s="1"/>
  <c r="F98" i="18" s="1"/>
  <c r="F99" i="18" s="1"/>
  <c r="F100" i="18" s="1"/>
  <c r="F101" i="18" s="1"/>
  <c r="F102" i="18" s="1"/>
  <c r="F103" i="18" s="1"/>
  <c r="F104" i="18" s="1"/>
  <c r="F105" i="18" s="1"/>
  <c r="F106" i="18" s="1"/>
  <c r="F107" i="18" s="1"/>
  <c r="F108" i="18" s="1"/>
  <c r="F109" i="18" s="1"/>
  <c r="F110" i="18" s="1"/>
  <c r="F111" i="18" s="1"/>
  <c r="F112" i="18" s="1"/>
  <c r="G4" i="18"/>
  <c r="U6" i="18"/>
  <c r="U10" i="18"/>
  <c r="U14" i="18"/>
  <c r="U18" i="18"/>
  <c r="U22" i="18"/>
  <c r="U26" i="18"/>
  <c r="G30" i="18"/>
  <c r="G44" i="18"/>
  <c r="U44" i="18"/>
  <c r="G5" i="18"/>
  <c r="U9" i="18"/>
  <c r="G13" i="18"/>
  <c r="G21" i="18"/>
  <c r="B3" i="18"/>
  <c r="V3" i="18"/>
  <c r="V4" i="18" s="1"/>
  <c r="V5" i="18" s="1"/>
  <c r="V6" i="18" s="1"/>
  <c r="V7" i="18" s="1"/>
  <c r="V8" i="18" s="1"/>
  <c r="A4" i="18"/>
  <c r="U32" i="18"/>
  <c r="G32" i="18"/>
  <c r="U41" i="18"/>
  <c r="U80" i="18"/>
  <c r="G80" i="18"/>
  <c r="U31" i="18"/>
  <c r="U35" i="18"/>
  <c r="U40" i="18"/>
  <c r="U48" i="18"/>
  <c r="G48" i="18"/>
  <c r="U65" i="18"/>
  <c r="G65" i="18"/>
  <c r="U59" i="18"/>
  <c r="U64" i="18"/>
  <c r="G64" i="18"/>
  <c r="N67" i="18"/>
  <c r="U67" i="18"/>
  <c r="U52" i="18"/>
  <c r="G52" i="18"/>
  <c r="U57" i="18"/>
  <c r="G57" i="18"/>
  <c r="G42" i="18"/>
  <c r="G47" i="18"/>
  <c r="U56" i="18"/>
  <c r="G56" i="18"/>
  <c r="G69" i="18"/>
  <c r="U69" i="18"/>
  <c r="U50" i="18"/>
  <c r="U87" i="18"/>
  <c r="U51" i="18"/>
  <c r="G88" i="18"/>
  <c r="U88" i="18"/>
  <c r="U105" i="18"/>
  <c r="G105" i="18"/>
  <c r="U70" i="18"/>
  <c r="G70" i="18"/>
  <c r="U103" i="18"/>
  <c r="G103" i="18"/>
  <c r="G59" i="18"/>
  <c r="U82" i="18"/>
  <c r="N82" i="18"/>
  <c r="U62" i="18"/>
  <c r="U72" i="18"/>
  <c r="G72" i="18"/>
  <c r="U74" i="18"/>
  <c r="N74" i="18"/>
  <c r="G77" i="18"/>
  <c r="U77" i="18"/>
  <c r="U75" i="18"/>
  <c r="U78" i="18"/>
  <c r="G85" i="18"/>
  <c r="G96" i="18"/>
  <c r="U96" i="18"/>
  <c r="U112" i="18"/>
  <c r="G112" i="18"/>
  <c r="G73" i="18"/>
  <c r="G81" i="18"/>
  <c r="U83" i="18"/>
  <c r="U95" i="18"/>
  <c r="G95" i="18"/>
  <c r="U97" i="18"/>
  <c r="U107" i="18"/>
  <c r="U92" i="18"/>
  <c r="U100" i="18"/>
  <c r="U94" i="18"/>
  <c r="U102" i="18"/>
  <c r="U104" i="18"/>
  <c r="G104" i="18"/>
  <c r="U19" i="15"/>
  <c r="U20" i="15"/>
  <c r="U32" i="15"/>
  <c r="U42" i="15"/>
  <c r="U86" i="15"/>
  <c r="U105" i="15"/>
  <c r="U42" i="17"/>
  <c r="U43" i="17"/>
  <c r="U66" i="17"/>
  <c r="U5" i="15"/>
  <c r="U6" i="15"/>
  <c r="U26" i="15"/>
  <c r="U75" i="15"/>
  <c r="U78" i="15"/>
  <c r="U79" i="15"/>
  <c r="U89" i="15"/>
  <c r="U96" i="15"/>
  <c r="U21" i="17"/>
  <c r="U70" i="17"/>
  <c r="U78" i="17"/>
  <c r="U83" i="17"/>
  <c r="U98" i="17"/>
  <c r="U16" i="15"/>
  <c r="U49" i="15"/>
  <c r="U55" i="15"/>
  <c r="U65" i="15"/>
  <c r="U110" i="15"/>
  <c r="U34" i="17"/>
  <c r="U44" i="17"/>
  <c r="U47" i="17"/>
  <c r="U51" i="17"/>
  <c r="U75" i="17"/>
  <c r="U79" i="17"/>
  <c r="U87" i="17"/>
  <c r="U88" i="17"/>
  <c r="U107" i="17"/>
  <c r="U22" i="17"/>
  <c r="U35" i="17"/>
  <c r="U48" i="17"/>
  <c r="U52" i="17"/>
  <c r="U55" i="17"/>
  <c r="U80" i="17"/>
  <c r="U3" i="15"/>
  <c r="V3" i="15" s="1"/>
  <c r="U10" i="15"/>
  <c r="U24" i="15"/>
  <c r="U85" i="15"/>
  <c r="U23" i="17"/>
  <c r="U31" i="17"/>
  <c r="U57" i="17"/>
  <c r="U99" i="17"/>
  <c r="U108" i="17"/>
  <c r="U17" i="17"/>
  <c r="G21" i="17"/>
  <c r="N23" i="17"/>
  <c r="U26" i="17"/>
  <c r="U30" i="17"/>
  <c r="G57" i="17"/>
  <c r="N63" i="17"/>
  <c r="G78" i="17"/>
  <c r="G81" i="17"/>
  <c r="G88" i="17"/>
  <c r="U110" i="17"/>
  <c r="U7" i="17"/>
  <c r="G35" i="17"/>
  <c r="U38" i="17"/>
  <c r="G43" i="17"/>
  <c r="G51" i="17"/>
  <c r="U72" i="17"/>
  <c r="G79" i="17"/>
  <c r="N85" i="17"/>
  <c r="U95" i="17"/>
  <c r="G99" i="17"/>
  <c r="G107" i="17"/>
  <c r="U3" i="17"/>
  <c r="V3" i="17" s="1"/>
  <c r="U18" i="17"/>
  <c r="U46" i="17"/>
  <c r="U89" i="17"/>
  <c r="U93" i="17"/>
  <c r="N22" i="17"/>
  <c r="U25" i="17"/>
  <c r="U13" i="17"/>
  <c r="U19" i="17"/>
  <c r="N55" i="17"/>
  <c r="U74" i="17"/>
  <c r="U97" i="17"/>
  <c r="W3" i="17"/>
  <c r="U5" i="17"/>
  <c r="U6" i="17"/>
  <c r="N6" i="17"/>
  <c r="U15" i="17"/>
  <c r="G12" i="17"/>
  <c r="U12" i="17"/>
  <c r="U9" i="17"/>
  <c r="B3" i="17"/>
  <c r="A4" i="17"/>
  <c r="M4" i="17"/>
  <c r="U32" i="17"/>
  <c r="G32" i="17"/>
  <c r="U11" i="17"/>
  <c r="G3" i="17"/>
  <c r="H3" i="17" s="1"/>
  <c r="F4" i="17"/>
  <c r="F5" i="17" s="1"/>
  <c r="F6" i="17" s="1"/>
  <c r="F7" i="17" s="1"/>
  <c r="F8" i="17" s="1"/>
  <c r="F9" i="17" s="1"/>
  <c r="F10" i="17" s="1"/>
  <c r="F11" i="17" s="1"/>
  <c r="F12" i="17" s="1"/>
  <c r="F13" i="17" s="1"/>
  <c r="F14" i="17" s="1"/>
  <c r="F15" i="17" s="1"/>
  <c r="F16" i="17" s="1"/>
  <c r="F17" i="17" s="1"/>
  <c r="F18" i="17" s="1"/>
  <c r="F19" i="17" s="1"/>
  <c r="F20" i="17" s="1"/>
  <c r="F21" i="17" s="1"/>
  <c r="F22" i="17" s="1"/>
  <c r="F23" i="17" s="1"/>
  <c r="F24" i="17" s="1"/>
  <c r="F25" i="17" s="1"/>
  <c r="F26" i="17" s="1"/>
  <c r="F27" i="17" s="1"/>
  <c r="F28" i="17" s="1"/>
  <c r="F29" i="17" s="1"/>
  <c r="F30" i="17" s="1"/>
  <c r="F31" i="17" s="1"/>
  <c r="F32" i="17" s="1"/>
  <c r="F33" i="17" s="1"/>
  <c r="F34" i="17" s="1"/>
  <c r="F35" i="17" s="1"/>
  <c r="F36" i="17" s="1"/>
  <c r="F37" i="17" s="1"/>
  <c r="F38" i="17" s="1"/>
  <c r="F39" i="17" s="1"/>
  <c r="F40" i="17" s="1"/>
  <c r="F41" i="17" s="1"/>
  <c r="F42" i="17" s="1"/>
  <c r="F43" i="17" s="1"/>
  <c r="F44" i="17" s="1"/>
  <c r="F45" i="17" s="1"/>
  <c r="F46" i="17" s="1"/>
  <c r="F47" i="17" s="1"/>
  <c r="F48" i="17" s="1"/>
  <c r="F49" i="17" s="1"/>
  <c r="F50" i="17" s="1"/>
  <c r="F51" i="17" s="1"/>
  <c r="F52" i="17" s="1"/>
  <c r="F53" i="17" s="1"/>
  <c r="F54" i="17" s="1"/>
  <c r="F55" i="17" s="1"/>
  <c r="F56" i="17" s="1"/>
  <c r="F57" i="17" s="1"/>
  <c r="F58" i="17" s="1"/>
  <c r="F59" i="17" s="1"/>
  <c r="F60" i="17" s="1"/>
  <c r="F61" i="17" s="1"/>
  <c r="F62" i="17" s="1"/>
  <c r="F63" i="17" s="1"/>
  <c r="F64" i="17" s="1"/>
  <c r="F65" i="17" s="1"/>
  <c r="F66" i="17" s="1"/>
  <c r="F67" i="17" s="1"/>
  <c r="F68" i="17" s="1"/>
  <c r="F69" i="17" s="1"/>
  <c r="F70" i="17" s="1"/>
  <c r="F71" i="17" s="1"/>
  <c r="F72" i="17" s="1"/>
  <c r="F73" i="17" s="1"/>
  <c r="F74" i="17" s="1"/>
  <c r="F75" i="17" s="1"/>
  <c r="F76" i="17" s="1"/>
  <c r="F77" i="17" s="1"/>
  <c r="F78" i="17" s="1"/>
  <c r="F79" i="17" s="1"/>
  <c r="F80" i="17" s="1"/>
  <c r="F81" i="17" s="1"/>
  <c r="F82" i="17" s="1"/>
  <c r="F83" i="17" s="1"/>
  <c r="F84" i="17" s="1"/>
  <c r="F85" i="17" s="1"/>
  <c r="F86" i="17" s="1"/>
  <c r="F87" i="17" s="1"/>
  <c r="F88" i="17" s="1"/>
  <c r="F89" i="17" s="1"/>
  <c r="F90" i="17" s="1"/>
  <c r="F91" i="17" s="1"/>
  <c r="F92" i="17" s="1"/>
  <c r="F93" i="17" s="1"/>
  <c r="F94" i="17" s="1"/>
  <c r="F95" i="17" s="1"/>
  <c r="F96" i="17" s="1"/>
  <c r="F97" i="17" s="1"/>
  <c r="F98" i="17" s="1"/>
  <c r="F99" i="17" s="1"/>
  <c r="F100" i="17" s="1"/>
  <c r="F101" i="17" s="1"/>
  <c r="F102" i="17" s="1"/>
  <c r="F103" i="17" s="1"/>
  <c r="F104" i="17" s="1"/>
  <c r="F105" i="17" s="1"/>
  <c r="F106" i="17" s="1"/>
  <c r="F107" i="17" s="1"/>
  <c r="F108" i="17" s="1"/>
  <c r="F109" i="17" s="1"/>
  <c r="F110" i="17" s="1"/>
  <c r="F111" i="17" s="1"/>
  <c r="F112" i="17" s="1"/>
  <c r="U4" i="17"/>
  <c r="G8" i="17"/>
  <c r="U10" i="17"/>
  <c r="U29" i="17"/>
  <c r="U16" i="17"/>
  <c r="U20" i="17"/>
  <c r="U24" i="17"/>
  <c r="U60" i="17"/>
  <c r="G60" i="17"/>
  <c r="U33" i="17"/>
  <c r="U39" i="17"/>
  <c r="G39" i="17"/>
  <c r="U27" i="17"/>
  <c r="G50" i="17"/>
  <c r="U50" i="17"/>
  <c r="N68" i="17"/>
  <c r="U68" i="17"/>
  <c r="U37" i="17"/>
  <c r="G37" i="17"/>
  <c r="U28" i="17"/>
  <c r="G41" i="17"/>
  <c r="U41" i="17"/>
  <c r="U61" i="17"/>
  <c r="G61" i="17"/>
  <c r="U49" i="17"/>
  <c r="U53" i="17"/>
  <c r="U62" i="17"/>
  <c r="U36" i="17"/>
  <c r="U56" i="17"/>
  <c r="U40" i="17"/>
  <c r="G69" i="17"/>
  <c r="U69" i="17"/>
  <c r="N65" i="17"/>
  <c r="U65" i="17"/>
  <c r="G44" i="17"/>
  <c r="U45" i="17"/>
  <c r="G45" i="17"/>
  <c r="U54" i="17"/>
  <c r="G54" i="17"/>
  <c r="G64" i="17"/>
  <c r="U64" i="17"/>
  <c r="U86" i="17"/>
  <c r="G86" i="17"/>
  <c r="U82" i="17"/>
  <c r="N84" i="17"/>
  <c r="U84" i="17"/>
  <c r="G77" i="17"/>
  <c r="U77" i="17"/>
  <c r="G89" i="17"/>
  <c r="U91" i="17"/>
  <c r="U102" i="17"/>
  <c r="G102" i="17"/>
  <c r="U103" i="17"/>
  <c r="U73" i="17"/>
  <c r="U100" i="17"/>
  <c r="U94" i="17"/>
  <c r="U96" i="17"/>
  <c r="G96" i="17"/>
  <c r="U104" i="17"/>
  <c r="G104" i="17"/>
  <c r="G90" i="17"/>
  <c r="U90" i="17"/>
  <c r="U101" i="17"/>
  <c r="G101" i="17"/>
  <c r="U111" i="17"/>
  <c r="G111" i="17"/>
  <c r="U92" i="17"/>
  <c r="U109" i="17"/>
  <c r="G109" i="17"/>
  <c r="U105" i="17"/>
  <c r="G9" i="15"/>
  <c r="U13" i="15"/>
  <c r="G13" i="15"/>
  <c r="G18" i="15"/>
  <c r="N24" i="15"/>
  <c r="G29" i="15"/>
  <c r="U47" i="15"/>
  <c r="G47" i="15"/>
  <c r="F3" i="15"/>
  <c r="G6" i="15"/>
  <c r="O3" i="15"/>
  <c r="O4" i="15" s="1"/>
  <c r="O5" i="15" s="1"/>
  <c r="O6" i="15" s="1"/>
  <c r="O7" i="15" s="1"/>
  <c r="O8" i="15" s="1"/>
  <c r="O9" i="15" s="1"/>
  <c r="O10" i="15" s="1"/>
  <c r="O11" i="15" s="1"/>
  <c r="O12" i="15" s="1"/>
  <c r="O13" i="15" s="1"/>
  <c r="O14" i="15" s="1"/>
  <c r="O15" i="15" s="1"/>
  <c r="O16" i="15" s="1"/>
  <c r="O17" i="15" s="1"/>
  <c r="O18" i="15" s="1"/>
  <c r="O19" i="15" s="1"/>
  <c r="O20" i="15" s="1"/>
  <c r="O21" i="15" s="1"/>
  <c r="O22" i="15" s="1"/>
  <c r="O23" i="15" s="1"/>
  <c r="A4" i="15"/>
  <c r="B3" i="15"/>
  <c r="H3" i="15"/>
  <c r="U23" i="15"/>
  <c r="G23" i="15"/>
  <c r="M4" i="15"/>
  <c r="U15" i="15"/>
  <c r="U17" i="15"/>
  <c r="U27" i="15"/>
  <c r="U31" i="15"/>
  <c r="U4" i="15"/>
  <c r="U8" i="15"/>
  <c r="U12" i="15"/>
  <c r="U14" i="15"/>
  <c r="U38" i="15"/>
  <c r="G38" i="15"/>
  <c r="U46" i="15"/>
  <c r="G46" i="15"/>
  <c r="U40" i="15"/>
  <c r="N40" i="15"/>
  <c r="U41" i="15"/>
  <c r="G41" i="15"/>
  <c r="U34" i="15"/>
  <c r="G34" i="15"/>
  <c r="N48" i="15"/>
  <c r="U48" i="15"/>
  <c r="N62" i="15"/>
  <c r="U62" i="15"/>
  <c r="U22" i="15"/>
  <c r="U30" i="15"/>
  <c r="N43" i="15"/>
  <c r="U43" i="15"/>
  <c r="G68" i="15"/>
  <c r="U68" i="15"/>
  <c r="U37" i="15"/>
  <c r="U45" i="15"/>
  <c r="U58" i="15"/>
  <c r="N58" i="15"/>
  <c r="U52" i="15"/>
  <c r="U66" i="15"/>
  <c r="N66" i="15"/>
  <c r="U67" i="15"/>
  <c r="U57" i="15"/>
  <c r="U61" i="15"/>
  <c r="U63" i="15"/>
  <c r="U64" i="15"/>
  <c r="G64" i="15"/>
  <c r="U51" i="15"/>
  <c r="G51" i="15"/>
  <c r="G60" i="15"/>
  <c r="U60" i="15"/>
  <c r="U72" i="15"/>
  <c r="G72" i="15"/>
  <c r="N74" i="15"/>
  <c r="U74" i="15"/>
  <c r="U80" i="15"/>
  <c r="G80" i="15"/>
  <c r="G91" i="15"/>
  <c r="U91" i="15"/>
  <c r="U83" i="15"/>
  <c r="U77" i="15"/>
  <c r="U84" i="15"/>
  <c r="G84" i="15"/>
  <c r="G76" i="15"/>
  <c r="U76" i="15"/>
  <c r="G71" i="15"/>
  <c r="G79" i="15"/>
  <c r="U87" i="15"/>
  <c r="U73" i="15"/>
  <c r="U81" i="15"/>
  <c r="U92" i="15"/>
  <c r="U111" i="15"/>
  <c r="G111" i="15"/>
  <c r="U100" i="15"/>
  <c r="U82" i="15"/>
  <c r="U90" i="15"/>
  <c r="U98" i="15"/>
  <c r="G98" i="15"/>
  <c r="U106" i="15"/>
  <c r="G106" i="15"/>
  <c r="U108" i="15"/>
  <c r="U95" i="15"/>
  <c r="G95" i="15"/>
  <c r="U103" i="15"/>
  <c r="G103" i="15"/>
  <c r="N109" i="15"/>
  <c r="U109" i="15"/>
  <c r="U112" i="15"/>
  <c r="N112" i="15"/>
  <c r="G99" i="15"/>
  <c r="U99" i="15"/>
  <c r="G107" i="15"/>
  <c r="U107" i="15"/>
  <c r="U94" i="15"/>
  <c r="U102" i="15"/>
  <c r="U55" i="13"/>
  <c r="U57" i="13"/>
  <c r="B3" i="13"/>
  <c r="U105" i="13"/>
  <c r="U47" i="13"/>
  <c r="U97" i="13"/>
  <c r="U104" i="13"/>
  <c r="U81" i="13"/>
  <c r="U56" i="13"/>
  <c r="U87" i="13"/>
  <c r="U103" i="13"/>
  <c r="U80" i="13"/>
  <c r="U79" i="13"/>
  <c r="U49" i="13"/>
  <c r="U7" i="13"/>
  <c r="U19" i="13"/>
  <c r="U96" i="13"/>
  <c r="U73" i="13"/>
  <c r="U48" i="13"/>
  <c r="U95" i="13"/>
  <c r="U72" i="13"/>
  <c r="U60" i="13"/>
  <c r="U112" i="13"/>
  <c r="U89" i="13"/>
  <c r="U64" i="13"/>
  <c r="U41" i="13"/>
  <c r="U111" i="13"/>
  <c r="U88" i="13"/>
  <c r="U63" i="13"/>
  <c r="U65" i="13"/>
  <c r="U71" i="13"/>
  <c r="U33" i="13"/>
  <c r="U8" i="13"/>
  <c r="U110" i="13"/>
  <c r="U102" i="13"/>
  <c r="U94" i="13"/>
  <c r="U86" i="13"/>
  <c r="U78" i="13"/>
  <c r="U70" i="13"/>
  <c r="U62" i="13"/>
  <c r="U54" i="13"/>
  <c r="U46" i="13"/>
  <c r="U38" i="13"/>
  <c r="U30" i="13"/>
  <c r="U22" i="13"/>
  <c r="U14" i="13"/>
  <c r="U6" i="13"/>
  <c r="U25" i="13"/>
  <c r="U32" i="13"/>
  <c r="U15" i="13"/>
  <c r="U109" i="13"/>
  <c r="U101" i="13"/>
  <c r="U93" i="13"/>
  <c r="U85" i="13"/>
  <c r="U77" i="13"/>
  <c r="U69" i="13"/>
  <c r="U61" i="13"/>
  <c r="U53" i="13"/>
  <c r="U45" i="13"/>
  <c r="U37" i="13"/>
  <c r="U29" i="13"/>
  <c r="U21" i="13"/>
  <c r="U13" i="13"/>
  <c r="U5" i="13"/>
  <c r="U17" i="13"/>
  <c r="U16" i="13"/>
  <c r="U31" i="13"/>
  <c r="U108" i="13"/>
  <c r="U100" i="13"/>
  <c r="U92" i="13"/>
  <c r="U84" i="13"/>
  <c r="U76" i="13"/>
  <c r="U68" i="13"/>
  <c r="U52" i="13"/>
  <c r="U44" i="13"/>
  <c r="U36" i="13"/>
  <c r="U20" i="13"/>
  <c r="U12" i="13"/>
  <c r="U4" i="13"/>
  <c r="U9" i="13"/>
  <c r="U40" i="13"/>
  <c r="U24" i="13"/>
  <c r="U23" i="13"/>
  <c r="U107" i="13"/>
  <c r="U99" i="13"/>
  <c r="U91" i="13"/>
  <c r="U83" i="13"/>
  <c r="U75" i="13"/>
  <c r="U67" i="13"/>
  <c r="U59" i="13"/>
  <c r="U51" i="13"/>
  <c r="U43" i="13"/>
  <c r="U35" i="13"/>
  <c r="U27" i="13"/>
  <c r="U11" i="13"/>
  <c r="U3" i="13"/>
  <c r="W3" i="13" s="1"/>
  <c r="AX3" i="13" s="1"/>
  <c r="U39" i="13"/>
  <c r="U106" i="13"/>
  <c r="U98" i="13"/>
  <c r="U90" i="13"/>
  <c r="U82" i="13"/>
  <c r="U74" i="13"/>
  <c r="U66" i="13"/>
  <c r="U58" i="13"/>
  <c r="U50" i="13"/>
  <c r="U42" i="13"/>
  <c r="U34" i="13"/>
  <c r="U26" i="13"/>
  <c r="U18" i="13"/>
  <c r="U10" i="13"/>
  <c r="G55" i="13"/>
  <c r="G19" i="13"/>
  <c r="G60" i="13"/>
  <c r="G7" i="13"/>
  <c r="A5" i="13"/>
  <c r="A6" i="13" s="1"/>
  <c r="B6" i="13" s="1"/>
  <c r="G47" i="13"/>
  <c r="G28" i="13"/>
  <c r="G3" i="13"/>
  <c r="H3" i="13" s="1"/>
  <c r="N3" i="13"/>
  <c r="O3" i="13" s="1"/>
  <c r="O4" i="13" s="1"/>
  <c r="O5" i="13" s="1"/>
  <c r="O6" i="13" s="1"/>
  <c r="O7" i="13" s="1"/>
  <c r="O8" i="13" s="1"/>
  <c r="O9" i="13" s="1"/>
  <c r="O10" i="13" s="1"/>
  <c r="O11" i="13" s="1"/>
  <c r="O12" i="13" s="1"/>
  <c r="O13" i="13" s="1"/>
  <c r="O14" i="13" s="1"/>
  <c r="O15" i="13" s="1"/>
  <c r="O16" i="13" s="1"/>
  <c r="O17" i="13" s="1"/>
  <c r="O18" i="13" s="1"/>
  <c r="O19" i="13" s="1"/>
  <c r="O20" i="13" s="1"/>
  <c r="O21" i="13" s="1"/>
  <c r="O22" i="13" s="1"/>
  <c r="O23" i="13" s="1"/>
  <c r="O24" i="13" s="1"/>
  <c r="O25" i="13" s="1"/>
  <c r="O26" i="13" s="1"/>
  <c r="O27" i="13" s="1"/>
  <c r="O28" i="13" s="1"/>
  <c r="O29" i="13" s="1"/>
  <c r="O30" i="13" s="1"/>
  <c r="O31" i="13" s="1"/>
  <c r="O32" i="13" s="1"/>
  <c r="O33" i="13" s="1"/>
  <c r="O34" i="13" s="1"/>
  <c r="O35" i="13" s="1"/>
  <c r="O36" i="13" s="1"/>
  <c r="O37" i="13" s="1"/>
  <c r="O38" i="13" s="1"/>
  <c r="O39" i="13" s="1"/>
  <c r="O40" i="13" s="1"/>
  <c r="O41" i="13" s="1"/>
  <c r="O42" i="13" s="1"/>
  <c r="O43" i="13" s="1"/>
  <c r="O44" i="13" s="1"/>
  <c r="O45" i="13" s="1"/>
  <c r="O46" i="13" s="1"/>
  <c r="O47" i="13" s="1"/>
  <c r="O48" i="13" s="1"/>
  <c r="O49" i="13" s="1"/>
  <c r="O50" i="13" s="1"/>
  <c r="O51" i="13" s="1"/>
  <c r="O52" i="13" s="1"/>
  <c r="O53" i="13" s="1"/>
  <c r="O54" i="13" s="1"/>
  <c r="O55" i="13" s="1"/>
  <c r="O56" i="13" s="1"/>
  <c r="O57" i="13" s="1"/>
  <c r="O58" i="13" s="1"/>
  <c r="O59" i="13" s="1"/>
  <c r="O60" i="13" s="1"/>
  <c r="O61" i="13" s="1"/>
  <c r="O62" i="13" s="1"/>
  <c r="O63" i="13" s="1"/>
  <c r="O64" i="13" s="1"/>
  <c r="O65" i="13" s="1"/>
  <c r="O66" i="13" s="1"/>
  <c r="O67" i="13" s="1"/>
  <c r="O68" i="13" s="1"/>
  <c r="O69" i="13" s="1"/>
  <c r="O70" i="13" s="1"/>
  <c r="O71" i="13" s="1"/>
  <c r="O72" i="13" s="1"/>
  <c r="O73" i="13" s="1"/>
  <c r="O74" i="13" s="1"/>
  <c r="O75" i="13" s="1"/>
  <c r="O76" i="13" s="1"/>
  <c r="O77" i="13" s="1"/>
  <c r="O78" i="13" s="1"/>
  <c r="O79" i="13" s="1"/>
  <c r="O80" i="13" s="1"/>
  <c r="O81" i="13" s="1"/>
  <c r="O82" i="13" s="1"/>
  <c r="O83" i="13" s="1"/>
  <c r="O84" i="13" s="1"/>
  <c r="O85" i="13" s="1"/>
  <c r="O86" i="13" s="1"/>
  <c r="O87" i="13" s="1"/>
  <c r="O88" i="13" s="1"/>
  <c r="O89" i="13" s="1"/>
  <c r="O90" i="13" s="1"/>
  <c r="O91" i="13" s="1"/>
  <c r="O92" i="13" s="1"/>
  <c r="O93" i="13" s="1"/>
  <c r="O94" i="13" s="1"/>
  <c r="O95" i="13" s="1"/>
  <c r="O96" i="13" s="1"/>
  <c r="O97" i="13" s="1"/>
  <c r="O98" i="13" s="1"/>
  <c r="O99" i="13" s="1"/>
  <c r="O100" i="13" s="1"/>
  <c r="O101" i="13" s="1"/>
  <c r="O102" i="13" s="1"/>
  <c r="O103" i="13" s="1"/>
  <c r="O104" i="13" s="1"/>
  <c r="O105" i="13" s="1"/>
  <c r="O106" i="13" s="1"/>
  <c r="O107" i="13" s="1"/>
  <c r="O108" i="13" s="1"/>
  <c r="O109" i="13" s="1"/>
  <c r="O110" i="13" s="1"/>
  <c r="O111" i="13" s="1"/>
  <c r="O112" i="13" s="1"/>
  <c r="M3" i="13"/>
  <c r="F4" i="13"/>
  <c r="F5" i="13" s="1"/>
  <c r="F6" i="13" s="1"/>
  <c r="F7" i="13" s="1"/>
  <c r="F8" i="13" s="1"/>
  <c r="F9" i="13" s="1"/>
  <c r="F10" i="13" s="1"/>
  <c r="F11" i="13" s="1"/>
  <c r="F12" i="13" s="1"/>
  <c r="F13" i="13" s="1"/>
  <c r="F14" i="13" s="1"/>
  <c r="F15" i="13" s="1"/>
  <c r="F16" i="13" s="1"/>
  <c r="F17" i="13" s="1"/>
  <c r="F18" i="13" s="1"/>
  <c r="F19" i="13" s="1"/>
  <c r="F20" i="13" s="1"/>
  <c r="F21" i="13" s="1"/>
  <c r="F22" i="13" s="1"/>
  <c r="F23" i="13" s="1"/>
  <c r="F24" i="13" s="1"/>
  <c r="F25" i="13" s="1"/>
  <c r="F26" i="13" s="1"/>
  <c r="F27" i="13" s="1"/>
  <c r="F28" i="13" s="1"/>
  <c r="F29" i="13" s="1"/>
  <c r="F30" i="13" s="1"/>
  <c r="F31" i="13" s="1"/>
  <c r="F32" i="13" s="1"/>
  <c r="F33" i="13" s="1"/>
  <c r="F34" i="13" s="1"/>
  <c r="F35" i="13" s="1"/>
  <c r="F36" i="13" s="1"/>
  <c r="F37" i="13" s="1"/>
  <c r="F38" i="13" s="1"/>
  <c r="F39" i="13" s="1"/>
  <c r="F40" i="13" s="1"/>
  <c r="F41" i="13" s="1"/>
  <c r="F42" i="13" s="1"/>
  <c r="F43" i="13" s="1"/>
  <c r="F44" i="13" s="1"/>
  <c r="F45" i="13" s="1"/>
  <c r="F46" i="13" s="1"/>
  <c r="F47" i="13" s="1"/>
  <c r="F48" i="13" s="1"/>
  <c r="F49" i="13" s="1"/>
  <c r="F50" i="13" s="1"/>
  <c r="F51" i="13" s="1"/>
  <c r="F52" i="13" s="1"/>
  <c r="F53" i="13" s="1"/>
  <c r="F54" i="13" s="1"/>
  <c r="F55" i="13" s="1"/>
  <c r="F56" i="13" s="1"/>
  <c r="F57" i="13" s="1"/>
  <c r="F58" i="13" s="1"/>
  <c r="F59" i="13" s="1"/>
  <c r="F60" i="13" s="1"/>
  <c r="F61" i="13" s="1"/>
  <c r="F62" i="13" s="1"/>
  <c r="F63" i="13" s="1"/>
  <c r="F64" i="13" s="1"/>
  <c r="F65" i="13" s="1"/>
  <c r="F66" i="13" s="1"/>
  <c r="F67" i="13" s="1"/>
  <c r="F68" i="13" s="1"/>
  <c r="F69" i="13" s="1"/>
  <c r="F70" i="13" s="1"/>
  <c r="F71" i="13" s="1"/>
  <c r="F72" i="13" s="1"/>
  <c r="F73" i="13" s="1"/>
  <c r="F74" i="13" s="1"/>
  <c r="F75" i="13" s="1"/>
  <c r="F76" i="13" s="1"/>
  <c r="F77" i="13" s="1"/>
  <c r="F78" i="13" s="1"/>
  <c r="F79" i="13" s="1"/>
  <c r="F80" i="13" s="1"/>
  <c r="F81" i="13" s="1"/>
  <c r="F82" i="13" s="1"/>
  <c r="F83" i="13" s="1"/>
  <c r="F84" i="13" s="1"/>
  <c r="F85" i="13" s="1"/>
  <c r="F86" i="13" s="1"/>
  <c r="F87" i="13" s="1"/>
  <c r="F88" i="13" s="1"/>
  <c r="F89" i="13" s="1"/>
  <c r="F90" i="13" s="1"/>
  <c r="F91" i="13" s="1"/>
  <c r="F92" i="13" s="1"/>
  <c r="F93" i="13" s="1"/>
  <c r="F94" i="13" s="1"/>
  <c r="F95" i="13" s="1"/>
  <c r="F96" i="13" s="1"/>
  <c r="F97" i="13" s="1"/>
  <c r="F98" i="13" s="1"/>
  <c r="F99" i="13" s="1"/>
  <c r="F100" i="13" s="1"/>
  <c r="F101" i="13" s="1"/>
  <c r="F102" i="13" s="1"/>
  <c r="F103" i="13" s="1"/>
  <c r="F104" i="13" s="1"/>
  <c r="F105" i="13" s="1"/>
  <c r="F106" i="13" s="1"/>
  <c r="F107" i="13" s="1"/>
  <c r="F108" i="13" s="1"/>
  <c r="F109" i="13" s="1"/>
  <c r="F110" i="13" s="1"/>
  <c r="F111" i="13" s="1"/>
  <c r="F112" i="13" s="1"/>
  <c r="P3" i="11"/>
  <c r="P4" i="11" s="1"/>
  <c r="P5" i="11" s="1"/>
  <c r="P6" i="11" s="1"/>
  <c r="P7" i="11" s="1"/>
  <c r="P8" i="11" s="1"/>
  <c r="P9" i="11" s="1"/>
  <c r="P10" i="11" s="1"/>
  <c r="P11" i="11" s="1"/>
  <c r="P12" i="11" s="1"/>
  <c r="P13" i="11" s="1"/>
  <c r="P14" i="11" s="1"/>
  <c r="P15" i="11" s="1"/>
  <c r="P16" i="11" s="1"/>
  <c r="P17" i="11" s="1"/>
  <c r="P18" i="11" s="1"/>
  <c r="P19" i="11" s="1"/>
  <c r="P20" i="11" s="1"/>
  <c r="P21" i="11" s="1"/>
  <c r="P22" i="11" s="1"/>
  <c r="P23" i="11" s="1"/>
  <c r="P24" i="11" s="1"/>
  <c r="P25" i="11" s="1"/>
  <c r="P26" i="11" s="1"/>
  <c r="P27" i="11" s="1"/>
  <c r="P28" i="11" s="1"/>
  <c r="P29" i="11" s="1"/>
  <c r="P30" i="11" s="1"/>
  <c r="P31" i="11" s="1"/>
  <c r="P32" i="11" s="1"/>
  <c r="P33" i="11" s="1"/>
  <c r="P34" i="11" s="1"/>
  <c r="P35" i="11" s="1"/>
  <c r="P36" i="11" s="1"/>
  <c r="P37" i="11" s="1"/>
  <c r="P38" i="11" s="1"/>
  <c r="P39" i="11" s="1"/>
  <c r="P40" i="11" s="1"/>
  <c r="P41" i="11" s="1"/>
  <c r="P42" i="11" s="1"/>
  <c r="P43" i="11" s="1"/>
  <c r="P44" i="11" s="1"/>
  <c r="P45" i="11" s="1"/>
  <c r="P46" i="11" s="1"/>
  <c r="P47" i="11" s="1"/>
  <c r="P48" i="11" s="1"/>
  <c r="P49" i="11" s="1"/>
  <c r="P50" i="11" s="1"/>
  <c r="P51" i="11" s="1"/>
  <c r="P52" i="11" s="1"/>
  <c r="P53" i="11" s="1"/>
  <c r="P54" i="11" s="1"/>
  <c r="P55" i="11" s="1"/>
  <c r="P56" i="11" s="1"/>
  <c r="P57" i="11" s="1"/>
  <c r="P58" i="11" s="1"/>
  <c r="P59" i="11" s="1"/>
  <c r="P60" i="11" s="1"/>
  <c r="P61" i="11" s="1"/>
  <c r="P62" i="11" s="1"/>
  <c r="P63" i="11" s="1"/>
  <c r="P64" i="11" s="1"/>
  <c r="P65" i="11" s="1"/>
  <c r="P66" i="11" s="1"/>
  <c r="P67" i="11" s="1"/>
  <c r="P68" i="11" s="1"/>
  <c r="P69" i="11" s="1"/>
  <c r="P70" i="11" s="1"/>
  <c r="P71" i="11" s="1"/>
  <c r="P72" i="11" s="1"/>
  <c r="P73" i="11" s="1"/>
  <c r="P74" i="11" s="1"/>
  <c r="P75" i="11" s="1"/>
  <c r="P76" i="11" s="1"/>
  <c r="P77" i="11" s="1"/>
  <c r="P78" i="11" s="1"/>
  <c r="P79" i="11" s="1"/>
  <c r="P80" i="11" s="1"/>
  <c r="P81" i="11" s="1"/>
  <c r="P82" i="11" s="1"/>
  <c r="P83" i="11" s="1"/>
  <c r="P84" i="11" s="1"/>
  <c r="P85" i="11" s="1"/>
  <c r="P86" i="11" s="1"/>
  <c r="P87" i="11" s="1"/>
  <c r="P88" i="11" s="1"/>
  <c r="P89" i="11" s="1"/>
  <c r="P90" i="11" s="1"/>
  <c r="P91" i="11" s="1"/>
  <c r="P92" i="11" s="1"/>
  <c r="P93" i="11" s="1"/>
  <c r="P94" i="11" s="1"/>
  <c r="P95" i="11" s="1"/>
  <c r="P96" i="11" s="1"/>
  <c r="P97" i="11" s="1"/>
  <c r="P98" i="11" s="1"/>
  <c r="P99" i="11" s="1"/>
  <c r="P100" i="11" s="1"/>
  <c r="P101" i="11" s="1"/>
  <c r="P102" i="11" s="1"/>
  <c r="P103" i="11" s="1"/>
  <c r="P104" i="11" s="1"/>
  <c r="P105" i="11" s="1"/>
  <c r="P106" i="11" s="1"/>
  <c r="P107" i="11" s="1"/>
  <c r="P108" i="11" s="1"/>
  <c r="P109" i="11" s="1"/>
  <c r="P110" i="11" s="1"/>
  <c r="P111" i="11" s="1"/>
  <c r="P112" i="11" s="1"/>
  <c r="H3" i="11"/>
  <c r="I3" i="11"/>
  <c r="G4" i="11"/>
  <c r="G5" i="11" s="1"/>
  <c r="G6" i="11" s="1"/>
  <c r="G7" i="11" s="1"/>
  <c r="G8" i="11" s="1"/>
  <c r="G9" i="11" s="1"/>
  <c r="G10" i="11" s="1"/>
  <c r="G11" i="11" s="1"/>
  <c r="G12" i="11" s="1"/>
  <c r="G13" i="11" s="1"/>
  <c r="G14" i="11" s="1"/>
  <c r="G15" i="11" s="1"/>
  <c r="G16" i="11" s="1"/>
  <c r="G17" i="11" s="1"/>
  <c r="G18" i="11" s="1"/>
  <c r="G19" i="11" s="1"/>
  <c r="G20" i="11" s="1"/>
  <c r="G21" i="11" s="1"/>
  <c r="G22" i="11" s="1"/>
  <c r="G23" i="11" s="1"/>
  <c r="G24" i="11" s="1"/>
  <c r="G25" i="11" s="1"/>
  <c r="G26" i="11" s="1"/>
  <c r="G27" i="11" s="1"/>
  <c r="G28" i="11" s="1"/>
  <c r="G29" i="11" s="1"/>
  <c r="G30" i="11" s="1"/>
  <c r="G31" i="11" s="1"/>
  <c r="G32" i="11" s="1"/>
  <c r="G33" i="11" s="1"/>
  <c r="G34" i="11" s="1"/>
  <c r="G35" i="11" s="1"/>
  <c r="G36" i="11" s="1"/>
  <c r="G37" i="11" s="1"/>
  <c r="G38" i="11" s="1"/>
  <c r="G39" i="11" s="1"/>
  <c r="G40" i="11" s="1"/>
  <c r="G41" i="11" s="1"/>
  <c r="G42" i="11" s="1"/>
  <c r="G43" i="11" s="1"/>
  <c r="G44" i="11" s="1"/>
  <c r="G45" i="11" s="1"/>
  <c r="G46" i="11" s="1"/>
  <c r="G47" i="11" s="1"/>
  <c r="G48" i="11" s="1"/>
  <c r="G49" i="11" s="1"/>
  <c r="G50" i="11" s="1"/>
  <c r="G51" i="11" s="1"/>
  <c r="G52" i="11" s="1"/>
  <c r="G53" i="11" s="1"/>
  <c r="G54" i="11" s="1"/>
  <c r="G55" i="11" s="1"/>
  <c r="G56" i="11" s="1"/>
  <c r="G57" i="11" s="1"/>
  <c r="G58" i="11" s="1"/>
  <c r="G59" i="11" s="1"/>
  <c r="G60" i="11" s="1"/>
  <c r="G61" i="11" s="1"/>
  <c r="G62" i="11" s="1"/>
  <c r="G63" i="11" s="1"/>
  <c r="G64" i="11" s="1"/>
  <c r="G65" i="11" s="1"/>
  <c r="G66" i="11" s="1"/>
  <c r="G67" i="11" s="1"/>
  <c r="G68" i="11" s="1"/>
  <c r="G69" i="11" s="1"/>
  <c r="G70" i="11" s="1"/>
  <c r="G71" i="11" s="1"/>
  <c r="G72" i="11" s="1"/>
  <c r="G73" i="11" s="1"/>
  <c r="G74" i="11" s="1"/>
  <c r="G75" i="11" s="1"/>
  <c r="G76" i="11" s="1"/>
  <c r="G77" i="11" s="1"/>
  <c r="G78" i="11" s="1"/>
  <c r="G79" i="11" s="1"/>
  <c r="G80" i="11" s="1"/>
  <c r="G81" i="11" s="1"/>
  <c r="G82" i="11" s="1"/>
  <c r="G83" i="11" s="1"/>
  <c r="G84" i="11" s="1"/>
  <c r="G85" i="11" s="1"/>
  <c r="G86" i="11" s="1"/>
  <c r="G87" i="11" s="1"/>
  <c r="G88" i="11" s="1"/>
  <c r="G89" i="11" s="1"/>
  <c r="G90" i="11" s="1"/>
  <c r="G91" i="11" s="1"/>
  <c r="G92" i="11" s="1"/>
  <c r="G93" i="11" s="1"/>
  <c r="G94" i="11" s="1"/>
  <c r="G95" i="11" s="1"/>
  <c r="G96" i="11" s="1"/>
  <c r="G97" i="11" s="1"/>
  <c r="G98" i="11" s="1"/>
  <c r="G99" i="11" s="1"/>
  <c r="G100" i="11" s="1"/>
  <c r="G101" i="11" s="1"/>
  <c r="G102" i="11" s="1"/>
  <c r="G103" i="11" s="1"/>
  <c r="G104" i="11" s="1"/>
  <c r="G105" i="11" s="1"/>
  <c r="G106" i="11" s="1"/>
  <c r="G107" i="11" s="1"/>
  <c r="G108" i="11" s="1"/>
  <c r="G109" i="11" s="1"/>
  <c r="G110" i="11" s="1"/>
  <c r="G111" i="11" s="1"/>
  <c r="G112" i="11" s="1"/>
  <c r="J3" i="11"/>
  <c r="B6" i="11"/>
  <c r="C5" i="11"/>
  <c r="N3" i="11"/>
  <c r="O3" i="8"/>
  <c r="P3" i="8"/>
  <c r="P4" i="8" s="1"/>
  <c r="P5" i="8" s="1"/>
  <c r="P6" i="8" s="1"/>
  <c r="P7" i="8" s="1"/>
  <c r="P8" i="8" s="1"/>
  <c r="P9" i="8" s="1"/>
  <c r="P10" i="8" s="1"/>
  <c r="P11" i="8" s="1"/>
  <c r="P12" i="8" s="1"/>
  <c r="P13" i="8" s="1"/>
  <c r="P14" i="8" s="1"/>
  <c r="P15" i="8" s="1"/>
  <c r="P16" i="8" s="1"/>
  <c r="P17" i="8" s="1"/>
  <c r="P18" i="8" s="1"/>
  <c r="P19" i="8" s="1"/>
  <c r="P20" i="8" s="1"/>
  <c r="P21" i="8" s="1"/>
  <c r="P22" i="8" s="1"/>
  <c r="P23" i="8" s="1"/>
  <c r="P24" i="8" s="1"/>
  <c r="P25" i="8" s="1"/>
  <c r="P26" i="8" s="1"/>
  <c r="P27" i="8" s="1"/>
  <c r="P28" i="8" s="1"/>
  <c r="P29" i="8" s="1"/>
  <c r="P30" i="8" s="1"/>
  <c r="P31" i="8" s="1"/>
  <c r="P32" i="8" s="1"/>
  <c r="P33" i="8" s="1"/>
  <c r="P34" i="8" s="1"/>
  <c r="P35" i="8" s="1"/>
  <c r="P36" i="8" s="1"/>
  <c r="P37" i="8" s="1"/>
  <c r="P38" i="8" s="1"/>
  <c r="P39" i="8" s="1"/>
  <c r="P40" i="8" s="1"/>
  <c r="P41" i="8" s="1"/>
  <c r="P42" i="8" s="1"/>
  <c r="P43" i="8" s="1"/>
  <c r="P44" i="8" s="1"/>
  <c r="P45" i="8" s="1"/>
  <c r="P46" i="8" s="1"/>
  <c r="P47" i="8" s="1"/>
  <c r="P48" i="8" s="1"/>
  <c r="P49" i="8" s="1"/>
  <c r="P50" i="8" s="1"/>
  <c r="P51" i="8" s="1"/>
  <c r="P52" i="8" s="1"/>
  <c r="P53" i="8" s="1"/>
  <c r="P54" i="8" s="1"/>
  <c r="P55" i="8" s="1"/>
  <c r="P56" i="8" s="1"/>
  <c r="P57" i="8" s="1"/>
  <c r="P58" i="8" s="1"/>
  <c r="P59" i="8" s="1"/>
  <c r="P60" i="8" s="1"/>
  <c r="P61" i="8" s="1"/>
  <c r="P62" i="8" s="1"/>
  <c r="P63" i="8" s="1"/>
  <c r="P64" i="8" s="1"/>
  <c r="P65" i="8" s="1"/>
  <c r="P66" i="8" s="1"/>
  <c r="P67" i="8" s="1"/>
  <c r="P68" i="8" s="1"/>
  <c r="P69" i="8" s="1"/>
  <c r="P70" i="8" s="1"/>
  <c r="P71" i="8" s="1"/>
  <c r="P72" i="8" s="1"/>
  <c r="P73" i="8" s="1"/>
  <c r="P74" i="8" s="1"/>
  <c r="P75" i="8" s="1"/>
  <c r="P76" i="8" s="1"/>
  <c r="P77" i="8" s="1"/>
  <c r="P78" i="8" s="1"/>
  <c r="P79" i="8" s="1"/>
  <c r="P80" i="8" s="1"/>
  <c r="P81" i="8" s="1"/>
  <c r="P82" i="8" s="1"/>
  <c r="P83" i="8" s="1"/>
  <c r="P84" i="8" s="1"/>
  <c r="P85" i="8" s="1"/>
  <c r="P86" i="8" s="1"/>
  <c r="P87" i="8" s="1"/>
  <c r="P88" i="8" s="1"/>
  <c r="P89" i="8" s="1"/>
  <c r="P90" i="8" s="1"/>
  <c r="P91" i="8" s="1"/>
  <c r="P92" i="8" s="1"/>
  <c r="P93" i="8" s="1"/>
  <c r="P94" i="8" s="1"/>
  <c r="P95" i="8" s="1"/>
  <c r="P96" i="8" s="1"/>
  <c r="P97" i="8" s="1"/>
  <c r="P98" i="8" s="1"/>
  <c r="P99" i="8" s="1"/>
  <c r="P100" i="8" s="1"/>
  <c r="P101" i="8" s="1"/>
  <c r="P102" i="8" s="1"/>
  <c r="P103" i="8" s="1"/>
  <c r="P104" i="8" s="1"/>
  <c r="P105" i="8" s="1"/>
  <c r="P106" i="8" s="1"/>
  <c r="P107" i="8" s="1"/>
  <c r="P108" i="8" s="1"/>
  <c r="P109" i="8" s="1"/>
  <c r="P110" i="8" s="1"/>
  <c r="P111" i="8" s="1"/>
  <c r="P112" i="8" s="1"/>
  <c r="G3" i="8"/>
  <c r="G4" i="8" s="1"/>
  <c r="I3" i="8"/>
  <c r="B5" i="8"/>
  <c r="C4" i="8"/>
  <c r="N4" i="8"/>
  <c r="M7" i="19" l="1"/>
  <c r="S6" i="19" s="1"/>
  <c r="J3" i="19"/>
  <c r="K3" i="19" s="1"/>
  <c r="AY3" i="19" s="1"/>
  <c r="I4" i="19"/>
  <c r="AE3" i="19"/>
  <c r="AF3" i="19" s="1"/>
  <c r="AG3" i="19" s="1"/>
  <c r="H4" i="19"/>
  <c r="AL3" i="19"/>
  <c r="W4" i="19"/>
  <c r="BD46" i="19"/>
  <c r="S5" i="19"/>
  <c r="A8" i="19"/>
  <c r="B7" i="19"/>
  <c r="V4" i="15"/>
  <c r="V5" i="15" s="1"/>
  <c r="V6" i="15" s="1"/>
  <c r="V7" i="15" s="1"/>
  <c r="V8" i="15" s="1"/>
  <c r="V9" i="15" s="1"/>
  <c r="V10" i="15" s="1"/>
  <c r="V11" i="15" s="1"/>
  <c r="V12" i="15" s="1"/>
  <c r="V13" i="15" s="1"/>
  <c r="V14" i="15" s="1"/>
  <c r="V15" i="15" s="1"/>
  <c r="V16" i="15" s="1"/>
  <c r="V17" i="15" s="1"/>
  <c r="V18" i="15" s="1"/>
  <c r="V19" i="15" s="1"/>
  <c r="V20" i="15" s="1"/>
  <c r="V21" i="15" s="1"/>
  <c r="V22" i="15" s="1"/>
  <c r="V23" i="15" s="1"/>
  <c r="V24" i="15" s="1"/>
  <c r="V25" i="15" s="1"/>
  <c r="V26" i="15" s="1"/>
  <c r="V27" i="15" s="1"/>
  <c r="V28" i="15" s="1"/>
  <c r="V29" i="15" s="1"/>
  <c r="V30" i="15" s="1"/>
  <c r="V31" i="15" s="1"/>
  <c r="V32" i="15" s="1"/>
  <c r="V33" i="15" s="1"/>
  <c r="V34" i="15" s="1"/>
  <c r="V35" i="15" s="1"/>
  <c r="V36" i="15" s="1"/>
  <c r="V37" i="15" s="1"/>
  <c r="V38" i="15" s="1"/>
  <c r="V39" i="15" s="1"/>
  <c r="V40" i="15" s="1"/>
  <c r="V41" i="15" s="1"/>
  <c r="V42" i="15" s="1"/>
  <c r="V43" i="15" s="1"/>
  <c r="V44" i="15" s="1"/>
  <c r="V45" i="15" s="1"/>
  <c r="V46" i="15" s="1"/>
  <c r="V47" i="15" s="1"/>
  <c r="V48" i="15" s="1"/>
  <c r="V49" i="15" s="1"/>
  <c r="V50" i="15" s="1"/>
  <c r="V51" i="15" s="1"/>
  <c r="V52" i="15" s="1"/>
  <c r="V53" i="15" s="1"/>
  <c r="V54" i="15" s="1"/>
  <c r="V55" i="15" s="1"/>
  <c r="V56" i="15" s="1"/>
  <c r="V57" i="15" s="1"/>
  <c r="V58" i="15" s="1"/>
  <c r="V59" i="15" s="1"/>
  <c r="V60" i="15" s="1"/>
  <c r="V61" i="15" s="1"/>
  <c r="V62" i="15" s="1"/>
  <c r="V63" i="15" s="1"/>
  <c r="V64" i="15" s="1"/>
  <c r="V65" i="15" s="1"/>
  <c r="V66" i="15" s="1"/>
  <c r="V67" i="15" s="1"/>
  <c r="V68" i="15" s="1"/>
  <c r="V69" i="15" s="1"/>
  <c r="V70" i="15" s="1"/>
  <c r="V71" i="15" s="1"/>
  <c r="V72" i="15" s="1"/>
  <c r="V73" i="15" s="1"/>
  <c r="V74" i="15" s="1"/>
  <c r="V75" i="15" s="1"/>
  <c r="V76" i="15" s="1"/>
  <c r="V77" i="15" s="1"/>
  <c r="V78" i="15" s="1"/>
  <c r="V79" i="15" s="1"/>
  <c r="V80" i="15" s="1"/>
  <c r="V81" i="15" s="1"/>
  <c r="V82" i="15" s="1"/>
  <c r="V83" i="15" s="1"/>
  <c r="V84" i="15" s="1"/>
  <c r="V85" i="15" s="1"/>
  <c r="V86" i="15" s="1"/>
  <c r="V87" i="15" s="1"/>
  <c r="V88" i="15" s="1"/>
  <c r="V89" i="15" s="1"/>
  <c r="V90" i="15" s="1"/>
  <c r="V91" i="15" s="1"/>
  <c r="V92" i="15" s="1"/>
  <c r="V93" i="15" s="1"/>
  <c r="V94" i="15" s="1"/>
  <c r="V95" i="15" s="1"/>
  <c r="V96" i="15" s="1"/>
  <c r="V97" i="15" s="1"/>
  <c r="V98" i="15" s="1"/>
  <c r="V99" i="15" s="1"/>
  <c r="V100" i="15" s="1"/>
  <c r="V101" i="15" s="1"/>
  <c r="V102" i="15" s="1"/>
  <c r="V103" i="15" s="1"/>
  <c r="V104" i="15" s="1"/>
  <c r="V105" i="15" s="1"/>
  <c r="V106" i="15" s="1"/>
  <c r="V107" i="15" s="1"/>
  <c r="V108" i="15" s="1"/>
  <c r="V109" i="15" s="1"/>
  <c r="V110" i="15" s="1"/>
  <c r="V111" i="15" s="1"/>
  <c r="V112" i="15" s="1"/>
  <c r="W3" i="15"/>
  <c r="Y3" i="15" s="1"/>
  <c r="AS3" i="15" s="1"/>
  <c r="O67" i="18"/>
  <c r="O68" i="18" s="1"/>
  <c r="O69" i="18" s="1"/>
  <c r="O70" i="18" s="1"/>
  <c r="O71" i="18" s="1"/>
  <c r="O72" i="18" s="1"/>
  <c r="O73" i="18" s="1"/>
  <c r="O74" i="18" s="1"/>
  <c r="O75" i="18" s="1"/>
  <c r="O76" i="18" s="1"/>
  <c r="O77" i="18" s="1"/>
  <c r="O78" i="18" s="1"/>
  <c r="O79" i="18" s="1"/>
  <c r="O80" i="18" s="1"/>
  <c r="O81" i="18" s="1"/>
  <c r="O82" i="18" s="1"/>
  <c r="O83" i="18" s="1"/>
  <c r="O84" i="18" s="1"/>
  <c r="O85" i="18" s="1"/>
  <c r="O86" i="18" s="1"/>
  <c r="O87" i="18" s="1"/>
  <c r="O88" i="18" s="1"/>
  <c r="O89" i="18" s="1"/>
  <c r="O90" i="18" s="1"/>
  <c r="O91" i="18" s="1"/>
  <c r="O92" i="18" s="1"/>
  <c r="O93" i="18" s="1"/>
  <c r="O94" i="18" s="1"/>
  <c r="O95" i="18" s="1"/>
  <c r="O96" i="18" s="1"/>
  <c r="O97" i="18" s="1"/>
  <c r="O98" i="18" s="1"/>
  <c r="O99" i="18" s="1"/>
  <c r="O100" i="18" s="1"/>
  <c r="O101" i="18" s="1"/>
  <c r="O102" i="18" s="1"/>
  <c r="O103" i="18" s="1"/>
  <c r="O104" i="18" s="1"/>
  <c r="O105" i="18" s="1"/>
  <c r="O106" i="18" s="1"/>
  <c r="O107" i="18" s="1"/>
  <c r="O108" i="18" s="1"/>
  <c r="O109" i="18" s="1"/>
  <c r="O110" i="18" s="1"/>
  <c r="O111" i="18" s="1"/>
  <c r="O112" i="18" s="1"/>
  <c r="A5" i="18"/>
  <c r="B4" i="18"/>
  <c r="I3" i="18"/>
  <c r="W4" i="18"/>
  <c r="BD46" i="18"/>
  <c r="V9" i="18"/>
  <c r="V10" i="18" s="1"/>
  <c r="V11" i="18" s="1"/>
  <c r="V12" i="18" s="1"/>
  <c r="V13" i="18" s="1"/>
  <c r="V14" i="18" s="1"/>
  <c r="V15" i="18" s="1"/>
  <c r="V16" i="18" s="1"/>
  <c r="V17" i="18" s="1"/>
  <c r="V18" i="18" s="1"/>
  <c r="V19" i="18" s="1"/>
  <c r="V20" i="18" s="1"/>
  <c r="V21" i="18" s="1"/>
  <c r="V22" i="18" s="1"/>
  <c r="V23" i="18" s="1"/>
  <c r="V24" i="18" s="1"/>
  <c r="V25" i="18" s="1"/>
  <c r="V26" i="18" s="1"/>
  <c r="V27" i="18" s="1"/>
  <c r="V28" i="18" s="1"/>
  <c r="V29" i="18" s="1"/>
  <c r="V30" i="18" s="1"/>
  <c r="V31" i="18" s="1"/>
  <c r="V32" i="18" s="1"/>
  <c r="V33" i="18" s="1"/>
  <c r="V34" i="18" s="1"/>
  <c r="V35" i="18" s="1"/>
  <c r="V36" i="18" s="1"/>
  <c r="V37" i="18" s="1"/>
  <c r="V38" i="18" s="1"/>
  <c r="V39" i="18" s="1"/>
  <c r="V40" i="18" s="1"/>
  <c r="V41" i="18" s="1"/>
  <c r="V42" i="18" s="1"/>
  <c r="V43" i="18" s="1"/>
  <c r="V44" i="18" s="1"/>
  <c r="V45" i="18" s="1"/>
  <c r="V46" i="18" s="1"/>
  <c r="V47" i="18" s="1"/>
  <c r="V48" i="18" s="1"/>
  <c r="V49" i="18" s="1"/>
  <c r="V50" i="18" s="1"/>
  <c r="V51" i="18" s="1"/>
  <c r="V52" i="18" s="1"/>
  <c r="V53" i="18" s="1"/>
  <c r="V54" i="18" s="1"/>
  <c r="V55" i="18" s="1"/>
  <c r="V56" i="18" s="1"/>
  <c r="V57" i="18" s="1"/>
  <c r="V58" i="18" s="1"/>
  <c r="V59" i="18" s="1"/>
  <c r="V60" i="18" s="1"/>
  <c r="V61" i="18" s="1"/>
  <c r="V62" i="18" s="1"/>
  <c r="V63" i="18" s="1"/>
  <c r="V64" i="18" s="1"/>
  <c r="V65" i="18" s="1"/>
  <c r="V66" i="18" s="1"/>
  <c r="V67" i="18" s="1"/>
  <c r="V68" i="18" s="1"/>
  <c r="V69" i="18" s="1"/>
  <c r="V70" i="18" s="1"/>
  <c r="V71" i="18" s="1"/>
  <c r="V72" i="18" s="1"/>
  <c r="V73" i="18" s="1"/>
  <c r="V74" i="18" s="1"/>
  <c r="V75" i="18" s="1"/>
  <c r="V76" i="18" s="1"/>
  <c r="V77" i="18" s="1"/>
  <c r="V78" i="18" s="1"/>
  <c r="V79" i="18" s="1"/>
  <c r="V80" i="18" s="1"/>
  <c r="V81" i="18" s="1"/>
  <c r="V82" i="18" s="1"/>
  <c r="V83" i="18" s="1"/>
  <c r="V84" i="18" s="1"/>
  <c r="V85" i="18" s="1"/>
  <c r="V86" i="18" s="1"/>
  <c r="V87" i="18" s="1"/>
  <c r="V88" i="18" s="1"/>
  <c r="V89" i="18" s="1"/>
  <c r="V90" i="18" s="1"/>
  <c r="V91" i="18" s="1"/>
  <c r="V92" i="18" s="1"/>
  <c r="V93" i="18" s="1"/>
  <c r="V94" i="18" s="1"/>
  <c r="V95" i="18" s="1"/>
  <c r="V96" i="18" s="1"/>
  <c r="V97" i="18" s="1"/>
  <c r="V98" i="18" s="1"/>
  <c r="V99" i="18" s="1"/>
  <c r="V100" i="18" s="1"/>
  <c r="V101" i="18" s="1"/>
  <c r="V102" i="18" s="1"/>
  <c r="V103" i="18" s="1"/>
  <c r="V104" i="18" s="1"/>
  <c r="V105" i="18" s="1"/>
  <c r="V106" i="18" s="1"/>
  <c r="V107" i="18" s="1"/>
  <c r="V108" i="18" s="1"/>
  <c r="V109" i="18" s="1"/>
  <c r="V110" i="18" s="1"/>
  <c r="V111" i="18" s="1"/>
  <c r="V112" i="18" s="1"/>
  <c r="M5" i="18"/>
  <c r="AM3" i="18"/>
  <c r="P3" i="18"/>
  <c r="Q3" i="18" s="1"/>
  <c r="BD46" i="17"/>
  <c r="O6" i="17"/>
  <c r="O7" i="17" s="1"/>
  <c r="O8" i="17" s="1"/>
  <c r="O9" i="17" s="1"/>
  <c r="O10" i="17" s="1"/>
  <c r="O11" i="17" s="1"/>
  <c r="O12" i="17" s="1"/>
  <c r="O13" i="17" s="1"/>
  <c r="O14" i="17" s="1"/>
  <c r="O15" i="17" s="1"/>
  <c r="O16" i="17" s="1"/>
  <c r="O17" i="17" s="1"/>
  <c r="O18" i="17" s="1"/>
  <c r="O19" i="17" s="1"/>
  <c r="O20" i="17" s="1"/>
  <c r="O21" i="17" s="1"/>
  <c r="O22" i="17" s="1"/>
  <c r="O23" i="17" s="1"/>
  <c r="O24" i="17" s="1"/>
  <c r="O25" i="17" s="1"/>
  <c r="O26" i="17" s="1"/>
  <c r="O27" i="17" s="1"/>
  <c r="O28" i="17" s="1"/>
  <c r="O29" i="17" s="1"/>
  <c r="O30" i="17" s="1"/>
  <c r="O31" i="17" s="1"/>
  <c r="O32" i="17" s="1"/>
  <c r="O33" i="17" s="1"/>
  <c r="O34" i="17" s="1"/>
  <c r="O35" i="17" s="1"/>
  <c r="O36" i="17" s="1"/>
  <c r="O37" i="17" s="1"/>
  <c r="O38" i="17" s="1"/>
  <c r="O39" i="17" s="1"/>
  <c r="O40" i="17" s="1"/>
  <c r="O41" i="17" s="1"/>
  <c r="O42" i="17" s="1"/>
  <c r="O43" i="17" s="1"/>
  <c r="O44" i="17" s="1"/>
  <c r="O45" i="17" s="1"/>
  <c r="O46" i="17" s="1"/>
  <c r="O47" i="17" s="1"/>
  <c r="O48" i="17" s="1"/>
  <c r="O49" i="17" s="1"/>
  <c r="O50" i="17" s="1"/>
  <c r="O51" i="17" s="1"/>
  <c r="O52" i="17" s="1"/>
  <c r="O53" i="17" s="1"/>
  <c r="O54" i="17" s="1"/>
  <c r="O55" i="17" s="1"/>
  <c r="O56" i="17" s="1"/>
  <c r="O57" i="17" s="1"/>
  <c r="O58" i="17" s="1"/>
  <c r="O59" i="17" s="1"/>
  <c r="O60" i="17" s="1"/>
  <c r="O61" i="17" s="1"/>
  <c r="O62" i="17" s="1"/>
  <c r="O63" i="17" s="1"/>
  <c r="O64" i="17" s="1"/>
  <c r="O65" i="17" s="1"/>
  <c r="O66" i="17" s="1"/>
  <c r="O67" i="17" s="1"/>
  <c r="O68" i="17" s="1"/>
  <c r="O69" i="17" s="1"/>
  <c r="O70" i="17" s="1"/>
  <c r="O71" i="17" s="1"/>
  <c r="O72" i="17" s="1"/>
  <c r="O73" i="17" s="1"/>
  <c r="O74" i="17" s="1"/>
  <c r="O75" i="17" s="1"/>
  <c r="O76" i="17" s="1"/>
  <c r="O77" i="17" s="1"/>
  <c r="O78" i="17" s="1"/>
  <c r="O79" i="17" s="1"/>
  <c r="O80" i="17" s="1"/>
  <c r="O81" i="17" s="1"/>
  <c r="O82" i="17" s="1"/>
  <c r="O83" i="17" s="1"/>
  <c r="O84" i="17" s="1"/>
  <c r="O85" i="17" s="1"/>
  <c r="O86" i="17" s="1"/>
  <c r="O87" i="17" s="1"/>
  <c r="O88" i="17" s="1"/>
  <c r="O89" i="17" s="1"/>
  <c r="O90" i="17" s="1"/>
  <c r="O91" i="17" s="1"/>
  <c r="O92" i="17" s="1"/>
  <c r="O93" i="17" s="1"/>
  <c r="O94" i="17" s="1"/>
  <c r="O95" i="17" s="1"/>
  <c r="O96" i="17" s="1"/>
  <c r="O97" i="17" s="1"/>
  <c r="O98" i="17" s="1"/>
  <c r="O99" i="17" s="1"/>
  <c r="O100" i="17" s="1"/>
  <c r="O101" i="17" s="1"/>
  <c r="O102" i="17" s="1"/>
  <c r="O103" i="17" s="1"/>
  <c r="O104" i="17" s="1"/>
  <c r="O105" i="17" s="1"/>
  <c r="O106" i="17" s="1"/>
  <c r="O107" i="17" s="1"/>
  <c r="O108" i="17" s="1"/>
  <c r="O109" i="17" s="1"/>
  <c r="O110" i="17" s="1"/>
  <c r="O111" i="17" s="1"/>
  <c r="O112" i="17" s="1"/>
  <c r="A5" i="17"/>
  <c r="B4" i="17"/>
  <c r="I3" i="17"/>
  <c r="AX3" i="17"/>
  <c r="Y3" i="17"/>
  <c r="AS3" i="17" s="1"/>
  <c r="V4" i="17"/>
  <c r="V5" i="17" s="1"/>
  <c r="V6" i="17" s="1"/>
  <c r="V7" i="17" s="1"/>
  <c r="V8" i="17" s="1"/>
  <c r="V9" i="17" s="1"/>
  <c r="V10" i="17" s="1"/>
  <c r="V11" i="17" s="1"/>
  <c r="V12" i="17" s="1"/>
  <c r="V13" i="17" s="1"/>
  <c r="V14" i="17" s="1"/>
  <c r="V15" i="17" s="1"/>
  <c r="V16" i="17" s="1"/>
  <c r="V17" i="17" s="1"/>
  <c r="V18" i="17" s="1"/>
  <c r="V19" i="17" s="1"/>
  <c r="V20" i="17" s="1"/>
  <c r="V21" i="17" s="1"/>
  <c r="V22" i="17" s="1"/>
  <c r="V23" i="17" s="1"/>
  <c r="V24" i="17" s="1"/>
  <c r="V25" i="17" s="1"/>
  <c r="V26" i="17" s="1"/>
  <c r="V27" i="17" s="1"/>
  <c r="V28" i="17" s="1"/>
  <c r="V29" i="17" s="1"/>
  <c r="V30" i="17" s="1"/>
  <c r="V31" i="17" s="1"/>
  <c r="V32" i="17" s="1"/>
  <c r="V33" i="17" s="1"/>
  <c r="V34" i="17" s="1"/>
  <c r="V35" i="17" s="1"/>
  <c r="V36" i="17" s="1"/>
  <c r="V37" i="17" s="1"/>
  <c r="V38" i="17" s="1"/>
  <c r="V39" i="17" s="1"/>
  <c r="V40" i="17" s="1"/>
  <c r="V41" i="17" s="1"/>
  <c r="V42" i="17" s="1"/>
  <c r="V43" i="17" s="1"/>
  <c r="V44" i="17" s="1"/>
  <c r="V45" i="17" s="1"/>
  <c r="V46" i="17" s="1"/>
  <c r="V47" i="17" s="1"/>
  <c r="V48" i="17" s="1"/>
  <c r="V49" i="17" s="1"/>
  <c r="V50" i="17" s="1"/>
  <c r="V51" i="17" s="1"/>
  <c r="V52" i="17" s="1"/>
  <c r="V53" i="17" s="1"/>
  <c r="V54" i="17" s="1"/>
  <c r="V55" i="17" s="1"/>
  <c r="V56" i="17" s="1"/>
  <c r="V57" i="17" s="1"/>
  <c r="V58" i="17" s="1"/>
  <c r="V59" i="17" s="1"/>
  <c r="V60" i="17" s="1"/>
  <c r="V61" i="17" s="1"/>
  <c r="V62" i="17" s="1"/>
  <c r="V63" i="17" s="1"/>
  <c r="V64" i="17" s="1"/>
  <c r="V65" i="17" s="1"/>
  <c r="V66" i="17" s="1"/>
  <c r="V67" i="17" s="1"/>
  <c r="V68" i="17" s="1"/>
  <c r="V69" i="17" s="1"/>
  <c r="V70" i="17" s="1"/>
  <c r="V71" i="17" s="1"/>
  <c r="V72" i="17" s="1"/>
  <c r="V73" i="17" s="1"/>
  <c r="V74" i="17" s="1"/>
  <c r="V75" i="17" s="1"/>
  <c r="V76" i="17" s="1"/>
  <c r="V77" i="17" s="1"/>
  <c r="V78" i="17" s="1"/>
  <c r="V79" i="17" s="1"/>
  <c r="V80" i="17" s="1"/>
  <c r="V81" i="17" s="1"/>
  <c r="V82" i="17" s="1"/>
  <c r="V83" i="17" s="1"/>
  <c r="V84" i="17" s="1"/>
  <c r="V85" i="17" s="1"/>
  <c r="V86" i="17" s="1"/>
  <c r="V87" i="17" s="1"/>
  <c r="V88" i="17" s="1"/>
  <c r="V89" i="17" s="1"/>
  <c r="V90" i="17" s="1"/>
  <c r="V91" i="17" s="1"/>
  <c r="V92" i="17" s="1"/>
  <c r="V93" i="17" s="1"/>
  <c r="V94" i="17" s="1"/>
  <c r="V95" i="17" s="1"/>
  <c r="V96" i="17" s="1"/>
  <c r="V97" i="17" s="1"/>
  <c r="V98" i="17" s="1"/>
  <c r="V99" i="17" s="1"/>
  <c r="V100" i="17" s="1"/>
  <c r="V101" i="17" s="1"/>
  <c r="V102" i="17" s="1"/>
  <c r="V103" i="17" s="1"/>
  <c r="V104" i="17" s="1"/>
  <c r="V105" i="17" s="1"/>
  <c r="V106" i="17" s="1"/>
  <c r="V107" i="17" s="1"/>
  <c r="V108" i="17" s="1"/>
  <c r="V109" i="17" s="1"/>
  <c r="V110" i="17" s="1"/>
  <c r="V111" i="17" s="1"/>
  <c r="V112" i="17" s="1"/>
  <c r="M5" i="17"/>
  <c r="S4" i="17" s="1"/>
  <c r="S3" i="17"/>
  <c r="O24" i="15"/>
  <c r="O25" i="15" s="1"/>
  <c r="O26" i="15" s="1"/>
  <c r="O27" i="15" s="1"/>
  <c r="O28" i="15" s="1"/>
  <c r="O29" i="15" s="1"/>
  <c r="O30" i="15" s="1"/>
  <c r="O31" i="15" s="1"/>
  <c r="O32" i="15" s="1"/>
  <c r="O33" i="15" s="1"/>
  <c r="O34" i="15" s="1"/>
  <c r="O35" i="15" s="1"/>
  <c r="O36" i="15" s="1"/>
  <c r="O37" i="15" s="1"/>
  <c r="O38" i="15" s="1"/>
  <c r="O39" i="15" s="1"/>
  <c r="O40" i="15" s="1"/>
  <c r="O41" i="15" s="1"/>
  <c r="O42" i="15" s="1"/>
  <c r="O43" i="15" s="1"/>
  <c r="O44" i="15" s="1"/>
  <c r="O45" i="15" s="1"/>
  <c r="O46" i="15" s="1"/>
  <c r="O47" i="15" s="1"/>
  <c r="O48" i="15" s="1"/>
  <c r="O49" i="15" s="1"/>
  <c r="O50" i="15" s="1"/>
  <c r="O51" i="15" s="1"/>
  <c r="O52" i="15" s="1"/>
  <c r="O53" i="15" s="1"/>
  <c r="O54" i="15" s="1"/>
  <c r="O55" i="15" s="1"/>
  <c r="O56" i="15" s="1"/>
  <c r="O57" i="15" s="1"/>
  <c r="O58" i="15" s="1"/>
  <c r="O59" i="15" s="1"/>
  <c r="O60" i="15" s="1"/>
  <c r="O61" i="15" s="1"/>
  <c r="O62" i="15" s="1"/>
  <c r="O63" i="15" s="1"/>
  <c r="O64" i="15" s="1"/>
  <c r="O65" i="15" s="1"/>
  <c r="O66" i="15" s="1"/>
  <c r="O67" i="15" s="1"/>
  <c r="O68" i="15" s="1"/>
  <c r="O69" i="15" s="1"/>
  <c r="O70" i="15" s="1"/>
  <c r="O71" i="15" s="1"/>
  <c r="O72" i="15" s="1"/>
  <c r="O73" i="15" s="1"/>
  <c r="O74" i="15" s="1"/>
  <c r="O75" i="15" s="1"/>
  <c r="O76" i="15" s="1"/>
  <c r="O77" i="15" s="1"/>
  <c r="O78" i="15" s="1"/>
  <c r="O79" i="15" s="1"/>
  <c r="O80" i="15" s="1"/>
  <c r="O81" i="15" s="1"/>
  <c r="O82" i="15" s="1"/>
  <c r="O83" i="15" s="1"/>
  <c r="O84" i="15" s="1"/>
  <c r="O85" i="15" s="1"/>
  <c r="O86" i="15" s="1"/>
  <c r="O87" i="15" s="1"/>
  <c r="O88" i="15" s="1"/>
  <c r="O89" i="15" s="1"/>
  <c r="O90" i="15" s="1"/>
  <c r="O91" i="15" s="1"/>
  <c r="O92" i="15" s="1"/>
  <c r="O93" i="15" s="1"/>
  <c r="O94" i="15" s="1"/>
  <c r="O95" i="15" s="1"/>
  <c r="O96" i="15" s="1"/>
  <c r="O97" i="15" s="1"/>
  <c r="O98" i="15" s="1"/>
  <c r="O99" i="15" s="1"/>
  <c r="O100" i="15" s="1"/>
  <c r="O101" i="15" s="1"/>
  <c r="O102" i="15" s="1"/>
  <c r="O103" i="15" s="1"/>
  <c r="O104" i="15" s="1"/>
  <c r="O105" i="15" s="1"/>
  <c r="O106" i="15" s="1"/>
  <c r="O107" i="15" s="1"/>
  <c r="O108" i="15" s="1"/>
  <c r="O109" i="15" s="1"/>
  <c r="O110" i="15" s="1"/>
  <c r="O111" i="15" s="1"/>
  <c r="O112" i="15" s="1"/>
  <c r="M5" i="15"/>
  <c r="S4" i="15" s="1"/>
  <c r="AX3" i="15"/>
  <c r="F4" i="15"/>
  <c r="F5" i="15" s="1"/>
  <c r="F6" i="15" s="1"/>
  <c r="F7" i="15" s="1"/>
  <c r="F8" i="15" s="1"/>
  <c r="F9" i="15" s="1"/>
  <c r="F10" i="15" s="1"/>
  <c r="F11" i="15" s="1"/>
  <c r="F12" i="15" s="1"/>
  <c r="F13" i="15" s="1"/>
  <c r="F14" i="15" s="1"/>
  <c r="F15" i="15" s="1"/>
  <c r="F16" i="15" s="1"/>
  <c r="F17" i="15" s="1"/>
  <c r="F18" i="15" s="1"/>
  <c r="F19" i="15" s="1"/>
  <c r="F20" i="15" s="1"/>
  <c r="F21" i="15" s="1"/>
  <c r="F22" i="15" s="1"/>
  <c r="F23" i="15" s="1"/>
  <c r="F24" i="15" s="1"/>
  <c r="F25" i="15" s="1"/>
  <c r="F26" i="15" s="1"/>
  <c r="F27" i="15" s="1"/>
  <c r="F28" i="15" s="1"/>
  <c r="F29" i="15" s="1"/>
  <c r="F30" i="15" s="1"/>
  <c r="F31" i="15" s="1"/>
  <c r="F32" i="15" s="1"/>
  <c r="F33" i="15" s="1"/>
  <c r="F34" i="15" s="1"/>
  <c r="F35" i="15" s="1"/>
  <c r="F36" i="15" s="1"/>
  <c r="F37" i="15" s="1"/>
  <c r="F38" i="15" s="1"/>
  <c r="F39" i="15" s="1"/>
  <c r="F40" i="15" s="1"/>
  <c r="F41" i="15" s="1"/>
  <c r="F42" i="15" s="1"/>
  <c r="F43" i="15" s="1"/>
  <c r="F44" i="15" s="1"/>
  <c r="F45" i="15" s="1"/>
  <c r="F46" i="15" s="1"/>
  <c r="F47" i="15" s="1"/>
  <c r="F48" i="15" s="1"/>
  <c r="F49" i="15" s="1"/>
  <c r="F50" i="15" s="1"/>
  <c r="F51" i="15" s="1"/>
  <c r="F52" i="15" s="1"/>
  <c r="F53" i="15" s="1"/>
  <c r="F54" i="15" s="1"/>
  <c r="F55" i="15" s="1"/>
  <c r="F56" i="15" s="1"/>
  <c r="F57" i="15" s="1"/>
  <c r="F58" i="15" s="1"/>
  <c r="F59" i="15" s="1"/>
  <c r="F60" i="15" s="1"/>
  <c r="F61" i="15" s="1"/>
  <c r="F62" i="15" s="1"/>
  <c r="F63" i="15" s="1"/>
  <c r="F64" i="15" s="1"/>
  <c r="F65" i="15" s="1"/>
  <c r="F66" i="15" s="1"/>
  <c r="F67" i="15" s="1"/>
  <c r="F68" i="15" s="1"/>
  <c r="F69" i="15" s="1"/>
  <c r="F70" i="15" s="1"/>
  <c r="F71" i="15" s="1"/>
  <c r="F72" i="15" s="1"/>
  <c r="F73" i="15" s="1"/>
  <c r="F74" i="15" s="1"/>
  <c r="F75" i="15" s="1"/>
  <c r="F76" i="15" s="1"/>
  <c r="F77" i="15" s="1"/>
  <c r="F78" i="15" s="1"/>
  <c r="F79" i="15" s="1"/>
  <c r="F80" i="15" s="1"/>
  <c r="F81" i="15" s="1"/>
  <c r="F82" i="15" s="1"/>
  <c r="F83" i="15" s="1"/>
  <c r="F84" i="15" s="1"/>
  <c r="F85" i="15" s="1"/>
  <c r="F86" i="15" s="1"/>
  <c r="F87" i="15" s="1"/>
  <c r="F88" i="15" s="1"/>
  <c r="F89" i="15" s="1"/>
  <c r="F90" i="15" s="1"/>
  <c r="F91" i="15" s="1"/>
  <c r="F92" i="15" s="1"/>
  <c r="F93" i="15" s="1"/>
  <c r="F94" i="15" s="1"/>
  <c r="F95" i="15" s="1"/>
  <c r="F96" i="15" s="1"/>
  <c r="F97" i="15" s="1"/>
  <c r="F98" i="15" s="1"/>
  <c r="F99" i="15" s="1"/>
  <c r="F100" i="15" s="1"/>
  <c r="F101" i="15" s="1"/>
  <c r="F102" i="15" s="1"/>
  <c r="F103" i="15" s="1"/>
  <c r="F104" i="15" s="1"/>
  <c r="F105" i="15" s="1"/>
  <c r="F106" i="15" s="1"/>
  <c r="F107" i="15" s="1"/>
  <c r="F108" i="15" s="1"/>
  <c r="F109" i="15" s="1"/>
  <c r="F110" i="15" s="1"/>
  <c r="F111" i="15" s="1"/>
  <c r="F112" i="15" s="1"/>
  <c r="S3" i="15"/>
  <c r="B4" i="15"/>
  <c r="A5" i="15"/>
  <c r="Y3" i="13"/>
  <c r="AS3" i="13" s="1"/>
  <c r="A7" i="13"/>
  <c r="A8" i="13" s="1"/>
  <c r="B8" i="13" s="1"/>
  <c r="V3" i="13"/>
  <c r="V4" i="13" s="1"/>
  <c r="V5" i="13" s="1"/>
  <c r="V6" i="13" s="1"/>
  <c r="V7" i="13" s="1"/>
  <c r="V8" i="13" s="1"/>
  <c r="V9" i="13" s="1"/>
  <c r="V10" i="13" s="1"/>
  <c r="V11" i="13" s="1"/>
  <c r="V12" i="13" s="1"/>
  <c r="V13" i="13" s="1"/>
  <c r="V14" i="13" s="1"/>
  <c r="V15" i="13" s="1"/>
  <c r="V16" i="13" s="1"/>
  <c r="V17" i="13" s="1"/>
  <c r="V18" i="13" s="1"/>
  <c r="V19" i="13" s="1"/>
  <c r="V20" i="13" s="1"/>
  <c r="V21" i="13" s="1"/>
  <c r="V22" i="13" s="1"/>
  <c r="V23" i="13" s="1"/>
  <c r="V24" i="13" s="1"/>
  <c r="V25" i="13" s="1"/>
  <c r="V26" i="13" s="1"/>
  <c r="V27" i="13" s="1"/>
  <c r="V28" i="13" s="1"/>
  <c r="V29" i="13" s="1"/>
  <c r="V30" i="13" s="1"/>
  <c r="V31" i="13" s="1"/>
  <c r="V32" i="13" s="1"/>
  <c r="V33" i="13" s="1"/>
  <c r="V34" i="13" s="1"/>
  <c r="V35" i="13" s="1"/>
  <c r="V36" i="13" s="1"/>
  <c r="V37" i="13" s="1"/>
  <c r="V38" i="13" s="1"/>
  <c r="V39" i="13" s="1"/>
  <c r="V40" i="13" s="1"/>
  <c r="V41" i="13" s="1"/>
  <c r="V42" i="13" s="1"/>
  <c r="V43" i="13" s="1"/>
  <c r="V44" i="13" s="1"/>
  <c r="V45" i="13" s="1"/>
  <c r="V46" i="13" s="1"/>
  <c r="V47" i="13" s="1"/>
  <c r="V48" i="13" s="1"/>
  <c r="V49" i="13" s="1"/>
  <c r="V50" i="13" s="1"/>
  <c r="V51" i="13" s="1"/>
  <c r="V52" i="13" s="1"/>
  <c r="V53" i="13" s="1"/>
  <c r="V54" i="13" s="1"/>
  <c r="V55" i="13" s="1"/>
  <c r="V56" i="13" s="1"/>
  <c r="V57" i="13" s="1"/>
  <c r="V58" i="13" s="1"/>
  <c r="V59" i="13" s="1"/>
  <c r="V60" i="13" s="1"/>
  <c r="V61" i="13" s="1"/>
  <c r="V62" i="13" s="1"/>
  <c r="V63" i="13" s="1"/>
  <c r="V64" i="13" s="1"/>
  <c r="V65" i="13" s="1"/>
  <c r="V66" i="13" s="1"/>
  <c r="V67" i="13" s="1"/>
  <c r="V68" i="13" s="1"/>
  <c r="V69" i="13" s="1"/>
  <c r="V70" i="13" s="1"/>
  <c r="V71" i="13" s="1"/>
  <c r="V72" i="13" s="1"/>
  <c r="V73" i="13" s="1"/>
  <c r="V74" i="13" s="1"/>
  <c r="V75" i="13" s="1"/>
  <c r="V76" i="13" s="1"/>
  <c r="V77" i="13" s="1"/>
  <c r="V78" i="13" s="1"/>
  <c r="V79" i="13" s="1"/>
  <c r="V80" i="13" s="1"/>
  <c r="V81" i="13" s="1"/>
  <c r="V82" i="13" s="1"/>
  <c r="V83" i="13" s="1"/>
  <c r="V84" i="13" s="1"/>
  <c r="V85" i="13" s="1"/>
  <c r="V86" i="13" s="1"/>
  <c r="V87" i="13" s="1"/>
  <c r="V88" i="13" s="1"/>
  <c r="V89" i="13" s="1"/>
  <c r="V90" i="13" s="1"/>
  <c r="V91" i="13" s="1"/>
  <c r="V92" i="13" s="1"/>
  <c r="V93" i="13" s="1"/>
  <c r="V94" i="13" s="1"/>
  <c r="V95" i="13" s="1"/>
  <c r="V96" i="13" s="1"/>
  <c r="V97" i="13" s="1"/>
  <c r="V98" i="13" s="1"/>
  <c r="V99" i="13" s="1"/>
  <c r="V100" i="13" s="1"/>
  <c r="V101" i="13" s="1"/>
  <c r="V102" i="13" s="1"/>
  <c r="V103" i="13" s="1"/>
  <c r="V104" i="13" s="1"/>
  <c r="V105" i="13" s="1"/>
  <c r="V106" i="13" s="1"/>
  <c r="V107" i="13" s="1"/>
  <c r="V108" i="13" s="1"/>
  <c r="V109" i="13" s="1"/>
  <c r="V110" i="13" s="1"/>
  <c r="V111" i="13" s="1"/>
  <c r="V112" i="13" s="1"/>
  <c r="B5" i="13"/>
  <c r="I3" i="13"/>
  <c r="H4" i="13" s="1"/>
  <c r="M4" i="13"/>
  <c r="BD46" i="13"/>
  <c r="N4" i="11"/>
  <c r="Q3" i="11" s="1"/>
  <c r="AE3" i="11" s="1"/>
  <c r="I4" i="11"/>
  <c r="AD3" i="11"/>
  <c r="K3" i="11"/>
  <c r="L3" i="11" s="1"/>
  <c r="W3" i="11"/>
  <c r="X3" i="11" s="1"/>
  <c r="Y3" i="11" s="1"/>
  <c r="J4" i="11"/>
  <c r="C6" i="11"/>
  <c r="B7" i="11"/>
  <c r="AQ43" i="11"/>
  <c r="C5" i="8"/>
  <c r="B6" i="8"/>
  <c r="N5" i="8"/>
  <c r="Q4" i="8" s="1"/>
  <c r="AE4" i="8" s="1"/>
  <c r="Q3" i="8"/>
  <c r="AE3" i="8" s="1"/>
  <c r="G5" i="8"/>
  <c r="G6" i="8" s="1"/>
  <c r="G7" i="8" s="1"/>
  <c r="J3" i="8"/>
  <c r="W3" i="8" s="1"/>
  <c r="X3" i="8" s="1"/>
  <c r="Y3" i="8" s="1"/>
  <c r="AA3" i="8" s="1"/>
  <c r="AM3" i="8" s="1"/>
  <c r="P6" i="19" l="1"/>
  <c r="AM6" i="19"/>
  <c r="AG4" i="19"/>
  <c r="AI3" i="19"/>
  <c r="AW3" i="19" s="1"/>
  <c r="AZ3" i="19"/>
  <c r="I5" i="19"/>
  <c r="J4" i="19"/>
  <c r="K4" i="19" s="1"/>
  <c r="AC3" i="19" s="1"/>
  <c r="AE4" i="19"/>
  <c r="AF4" i="19" s="1"/>
  <c r="H5" i="19"/>
  <c r="AL4" i="19"/>
  <c r="A9" i="19"/>
  <c r="B8" i="19"/>
  <c r="P5" i="19"/>
  <c r="Q5" i="19" s="1"/>
  <c r="AM5" i="19"/>
  <c r="AX4" i="19"/>
  <c r="Y4" i="19"/>
  <c r="AS4" i="19" s="1"/>
  <c r="W5" i="19"/>
  <c r="M8" i="19"/>
  <c r="S7" i="19"/>
  <c r="Y4" i="18"/>
  <c r="AS4" i="18" s="1"/>
  <c r="AX4" i="18"/>
  <c r="M6" i="18"/>
  <c r="S5" i="18" s="1"/>
  <c r="S4" i="18"/>
  <c r="AL3" i="18"/>
  <c r="I4" i="18"/>
  <c r="J3" i="18"/>
  <c r="K3" i="18" s="1"/>
  <c r="AY3" i="18" s="1"/>
  <c r="H4" i="18"/>
  <c r="AE3" i="18"/>
  <c r="AF3" i="18" s="1"/>
  <c r="AG3" i="18" s="1"/>
  <c r="B5" i="18"/>
  <c r="A6" i="18"/>
  <c r="W4" i="17"/>
  <c r="AX4" i="17" s="1"/>
  <c r="H4" i="17"/>
  <c r="AE3" i="17"/>
  <c r="AF3" i="17" s="1"/>
  <c r="AG3" i="17" s="1"/>
  <c r="I4" i="17"/>
  <c r="J3" i="17"/>
  <c r="K3" i="17" s="1"/>
  <c r="AL3" i="17"/>
  <c r="P3" i="17"/>
  <c r="Q3" i="17" s="1"/>
  <c r="AM3" i="17"/>
  <c r="M6" i="17"/>
  <c r="S5" i="17"/>
  <c r="A6" i="17"/>
  <c r="B5" i="17"/>
  <c r="P4" i="17"/>
  <c r="AM4" i="17"/>
  <c r="AM4" i="15"/>
  <c r="P4" i="15"/>
  <c r="A6" i="15"/>
  <c r="B5" i="15"/>
  <c r="W4" i="15"/>
  <c r="BD46" i="15"/>
  <c r="P3" i="15"/>
  <c r="Q3" i="15" s="1"/>
  <c r="AM3" i="15"/>
  <c r="M6" i="15"/>
  <c r="I3" i="15"/>
  <c r="W4" i="13"/>
  <c r="AX4" i="13" s="1"/>
  <c r="A9" i="13"/>
  <c r="A10" i="13" s="1"/>
  <c r="B10" i="13" s="1"/>
  <c r="B7" i="13"/>
  <c r="J3" i="13"/>
  <c r="K3" i="13" s="1"/>
  <c r="I4" i="13"/>
  <c r="AE4" i="13" s="1"/>
  <c r="AE3" i="13"/>
  <c r="AF3" i="13" s="1"/>
  <c r="AG3" i="13" s="1"/>
  <c r="AI3" i="13" s="1"/>
  <c r="AL3" i="13"/>
  <c r="M5" i="13"/>
  <c r="S4" i="13" s="1"/>
  <c r="P4" i="13" s="1"/>
  <c r="S3" i="13"/>
  <c r="P3" i="13" s="1"/>
  <c r="J5" i="11"/>
  <c r="AD4" i="11"/>
  <c r="I5" i="11"/>
  <c r="W4" i="11"/>
  <c r="X4" i="11" s="1"/>
  <c r="K4" i="11"/>
  <c r="L4" i="11" s="1"/>
  <c r="U3" i="11" s="1"/>
  <c r="AA3" i="11"/>
  <c r="AM3" i="11" s="1"/>
  <c r="C7" i="11"/>
  <c r="B8" i="11"/>
  <c r="N5" i="11"/>
  <c r="G8" i="8"/>
  <c r="G9" i="8" s="1"/>
  <c r="G10" i="8" s="1"/>
  <c r="G11" i="8" s="1"/>
  <c r="G12" i="8" s="1"/>
  <c r="G13" i="8" s="1"/>
  <c r="G14" i="8" s="1"/>
  <c r="G15" i="8" s="1"/>
  <c r="G16" i="8" s="1"/>
  <c r="G17" i="8" s="1"/>
  <c r="G18" i="8" s="1"/>
  <c r="G19" i="8" s="1"/>
  <c r="G20" i="8" s="1"/>
  <c r="G21" i="8" s="1"/>
  <c r="G22" i="8" s="1"/>
  <c r="G23" i="8" s="1"/>
  <c r="G24" i="8" s="1"/>
  <c r="G25" i="8" s="1"/>
  <c r="G26" i="8" s="1"/>
  <c r="G27" i="8" s="1"/>
  <c r="G28" i="8" s="1"/>
  <c r="G29" i="8" s="1"/>
  <c r="G30" i="8" s="1"/>
  <c r="G31" i="8" s="1"/>
  <c r="G32" i="8" s="1"/>
  <c r="G33" i="8" s="1"/>
  <c r="G34" i="8" s="1"/>
  <c r="G35" i="8" s="1"/>
  <c r="G36" i="8" s="1"/>
  <c r="G37" i="8" s="1"/>
  <c r="G38" i="8" s="1"/>
  <c r="G39" i="8" s="1"/>
  <c r="G40" i="8" s="1"/>
  <c r="G41" i="8" s="1"/>
  <c r="G42" i="8" s="1"/>
  <c r="G43" i="8" s="1"/>
  <c r="G44" i="8" s="1"/>
  <c r="G45" i="8" s="1"/>
  <c r="G46" i="8" s="1"/>
  <c r="G47" i="8" s="1"/>
  <c r="G48" i="8" s="1"/>
  <c r="G49" i="8" s="1"/>
  <c r="G50" i="8" s="1"/>
  <c r="G51" i="8" s="1"/>
  <c r="G52" i="8" s="1"/>
  <c r="G53" i="8" s="1"/>
  <c r="G54" i="8" s="1"/>
  <c r="G55" i="8" s="1"/>
  <c r="G56" i="8" s="1"/>
  <c r="G57" i="8" s="1"/>
  <c r="G58" i="8" s="1"/>
  <c r="G59" i="8" s="1"/>
  <c r="G60" i="8" s="1"/>
  <c r="G61" i="8" s="1"/>
  <c r="G62" i="8" s="1"/>
  <c r="G63" i="8" s="1"/>
  <c r="G64" i="8" s="1"/>
  <c r="G65" i="8" s="1"/>
  <c r="G66" i="8" s="1"/>
  <c r="G67" i="8" s="1"/>
  <c r="G68" i="8" s="1"/>
  <c r="G69" i="8" s="1"/>
  <c r="G70" i="8" s="1"/>
  <c r="G71" i="8" s="1"/>
  <c r="G72" i="8" s="1"/>
  <c r="G73" i="8" s="1"/>
  <c r="G74" i="8" s="1"/>
  <c r="G75" i="8" s="1"/>
  <c r="G76" i="8" s="1"/>
  <c r="G77" i="8" s="1"/>
  <c r="G78" i="8" s="1"/>
  <c r="G79" i="8" s="1"/>
  <c r="G80" i="8" s="1"/>
  <c r="G81" i="8" s="1"/>
  <c r="G82" i="8" s="1"/>
  <c r="G83" i="8" s="1"/>
  <c r="G84" i="8" s="1"/>
  <c r="G85" i="8" s="1"/>
  <c r="G86" i="8" s="1"/>
  <c r="G87" i="8" s="1"/>
  <c r="G88" i="8" s="1"/>
  <c r="G89" i="8" s="1"/>
  <c r="G90" i="8" s="1"/>
  <c r="G91" i="8" s="1"/>
  <c r="G92" i="8" s="1"/>
  <c r="G93" i="8" s="1"/>
  <c r="G94" i="8" s="1"/>
  <c r="G95" i="8" s="1"/>
  <c r="G96" i="8" s="1"/>
  <c r="G97" i="8" s="1"/>
  <c r="G98" i="8" s="1"/>
  <c r="G99" i="8" s="1"/>
  <c r="G100" i="8" s="1"/>
  <c r="G101" i="8" s="1"/>
  <c r="G102" i="8" s="1"/>
  <c r="G103" i="8" s="1"/>
  <c r="G104" i="8" s="1"/>
  <c r="G105" i="8" s="1"/>
  <c r="G106" i="8" s="1"/>
  <c r="G107" i="8" s="1"/>
  <c r="G108" i="8" s="1"/>
  <c r="G109" i="8" s="1"/>
  <c r="G110" i="8" s="1"/>
  <c r="G111" i="8" s="1"/>
  <c r="G112" i="8" s="1"/>
  <c r="C6" i="8"/>
  <c r="B7" i="8"/>
  <c r="J4" i="8"/>
  <c r="W4" i="8" s="1"/>
  <c r="X4" i="8" s="1"/>
  <c r="Y4" i="8" s="1"/>
  <c r="I4" i="8"/>
  <c r="K3" i="8"/>
  <c r="L3" i="8" s="1"/>
  <c r="AD3" i="8"/>
  <c r="N6" i="8"/>
  <c r="Q5" i="8" s="1"/>
  <c r="AE5" i="8" s="1"/>
  <c r="Q6" i="19" l="1"/>
  <c r="AU3" i="19"/>
  <c r="AA4" i="19"/>
  <c r="M9" i="19"/>
  <c r="S8" i="19"/>
  <c r="I6" i="19"/>
  <c r="J5" i="19"/>
  <c r="K5" i="19" s="1"/>
  <c r="H6" i="19"/>
  <c r="AE5" i="19"/>
  <c r="AF5" i="19" s="1"/>
  <c r="AG5" i="19" s="1"/>
  <c r="AL5" i="19"/>
  <c r="P7" i="19"/>
  <c r="Q7" i="19" s="1"/>
  <c r="AM7" i="19"/>
  <c r="A10" i="19"/>
  <c r="B9" i="19"/>
  <c r="AZ4" i="19"/>
  <c r="AI4" i="19"/>
  <c r="AW4" i="19" s="1"/>
  <c r="AX5" i="19"/>
  <c r="Y5" i="19"/>
  <c r="AS5" i="19" s="1"/>
  <c r="W6" i="19"/>
  <c r="P5" i="18"/>
  <c r="AM5" i="18"/>
  <c r="AM4" i="18"/>
  <c r="P4" i="18"/>
  <c r="Q4" i="18" s="1"/>
  <c r="B6" i="18"/>
  <c r="A7" i="18"/>
  <c r="AI3" i="18"/>
  <c r="AW3" i="18" s="1"/>
  <c r="AZ3" i="18"/>
  <c r="M7" i="18"/>
  <c r="S6" i="18" s="1"/>
  <c r="H5" i="18"/>
  <c r="J4" i="18"/>
  <c r="K4" i="18" s="1"/>
  <c r="AC3" i="18" s="1"/>
  <c r="AL4" i="18"/>
  <c r="I5" i="18"/>
  <c r="AE4" i="18"/>
  <c r="AF4" i="18" s="1"/>
  <c r="AG4" i="18" s="1"/>
  <c r="W5" i="18"/>
  <c r="Y4" i="17"/>
  <c r="AS4" i="17" s="1"/>
  <c r="AM5" i="17"/>
  <c r="P5" i="17"/>
  <c r="Q5" i="17" s="1"/>
  <c r="Q4" i="17"/>
  <c r="AY3" i="17"/>
  <c r="Q4" i="15"/>
  <c r="AL4" i="17"/>
  <c r="J4" i="17"/>
  <c r="K4" i="17" s="1"/>
  <c r="AC3" i="17" s="1"/>
  <c r="AE4" i="17"/>
  <c r="AF4" i="17" s="1"/>
  <c r="H5" i="17"/>
  <c r="I5" i="17"/>
  <c r="A7" i="17"/>
  <c r="B6" i="17"/>
  <c r="AI3" i="17"/>
  <c r="AW3" i="17" s="1"/>
  <c r="AZ3" i="17"/>
  <c r="M7" i="17"/>
  <c r="S6" i="17"/>
  <c r="J3" i="15"/>
  <c r="K3" i="15" s="1"/>
  <c r="AY3" i="15" s="1"/>
  <c r="AE3" i="15"/>
  <c r="AF3" i="15" s="1"/>
  <c r="AG3" i="15" s="1"/>
  <c r="I4" i="15"/>
  <c r="AL3" i="15"/>
  <c r="H4" i="15"/>
  <c r="Y4" i="15"/>
  <c r="AS4" i="15" s="1"/>
  <c r="AX4" i="15"/>
  <c r="M7" i="15"/>
  <c r="S6" i="15" s="1"/>
  <c r="S5" i="15"/>
  <c r="A7" i="15"/>
  <c r="B6" i="15"/>
  <c r="AY3" i="13"/>
  <c r="AM4" i="13"/>
  <c r="Q4" i="13"/>
  <c r="AM3" i="13"/>
  <c r="Q3" i="13"/>
  <c r="AW3" i="13"/>
  <c r="AZ3" i="13"/>
  <c r="Y4" i="13"/>
  <c r="AS4" i="13" s="1"/>
  <c r="A11" i="13"/>
  <c r="B11" i="13" s="1"/>
  <c r="B9" i="13"/>
  <c r="AF4" i="13"/>
  <c r="AL4" i="13"/>
  <c r="I5" i="13"/>
  <c r="AE5" i="13" s="1"/>
  <c r="AF5" i="13" s="1"/>
  <c r="J4" i="13"/>
  <c r="K4" i="13" s="1"/>
  <c r="H5" i="13"/>
  <c r="M6" i="13"/>
  <c r="S5" i="13" s="1"/>
  <c r="P5" i="13" s="1"/>
  <c r="A12" i="13"/>
  <c r="Y4" i="11"/>
  <c r="AA4" i="11" s="1"/>
  <c r="AM4" i="11" s="1"/>
  <c r="N6" i="11"/>
  <c r="AK3" i="11"/>
  <c r="S4" i="11"/>
  <c r="Q4" i="11"/>
  <c r="AE4" i="11" s="1"/>
  <c r="B9" i="11"/>
  <c r="C8" i="11"/>
  <c r="K5" i="11"/>
  <c r="L5" i="11" s="1"/>
  <c r="W5" i="11"/>
  <c r="X5" i="11" s="1"/>
  <c r="J6" i="11"/>
  <c r="I6" i="11"/>
  <c r="AD5" i="11"/>
  <c r="AA4" i="8"/>
  <c r="AM4" i="8" s="1"/>
  <c r="AQ43" i="8"/>
  <c r="N7" i="8"/>
  <c r="AD4" i="8"/>
  <c r="K4" i="8"/>
  <c r="L4" i="8" s="1"/>
  <c r="U3" i="8" s="1"/>
  <c r="S4" i="8" s="1"/>
  <c r="J5" i="8"/>
  <c r="W5" i="8" s="1"/>
  <c r="X5" i="8" s="1"/>
  <c r="I5" i="8"/>
  <c r="B8" i="8"/>
  <c r="C7" i="8"/>
  <c r="AI5" i="19" l="1"/>
  <c r="AW5" i="19" s="1"/>
  <c r="AG6" i="19"/>
  <c r="AZ5" i="19"/>
  <c r="AC4" i="19"/>
  <c r="AU4" i="19" s="1"/>
  <c r="H7" i="19"/>
  <c r="AE6" i="19"/>
  <c r="AF6" i="19" s="1"/>
  <c r="I7" i="19"/>
  <c r="AL6" i="19"/>
  <c r="J6" i="19"/>
  <c r="K6" i="19" s="1"/>
  <c r="AX6" i="19"/>
  <c r="Y6" i="19"/>
  <c r="AS6" i="19" s="1"/>
  <c r="W7" i="19"/>
  <c r="M10" i="19"/>
  <c r="S9" i="19"/>
  <c r="AG4" i="17"/>
  <c r="Q5" i="18"/>
  <c r="A11" i="19"/>
  <c r="B10" i="19"/>
  <c r="AM8" i="19"/>
  <c r="P8" i="19"/>
  <c r="Q8" i="19" s="1"/>
  <c r="AY4" i="19"/>
  <c r="P6" i="18"/>
  <c r="Q6" i="18" s="1"/>
  <c r="AM6" i="18"/>
  <c r="AI4" i="18"/>
  <c r="AW4" i="18" s="1"/>
  <c r="AZ4" i="18"/>
  <c r="AU3" i="18"/>
  <c r="AA4" i="18"/>
  <c r="A8" i="18"/>
  <c r="B7" i="18"/>
  <c r="AL5" i="18"/>
  <c r="J5" i="18"/>
  <c r="K5" i="18" s="1"/>
  <c r="AC4" i="18" s="1"/>
  <c r="AU4" i="18" s="1"/>
  <c r="I6" i="18"/>
  <c r="H6" i="18"/>
  <c r="AE5" i="18"/>
  <c r="AF5" i="18" s="1"/>
  <c r="M8" i="18"/>
  <c r="S7" i="18"/>
  <c r="AX5" i="18"/>
  <c r="Y5" i="18"/>
  <c r="AS5" i="18" s="1"/>
  <c r="W5" i="17"/>
  <c r="AI4" i="17"/>
  <c r="AW4" i="17" s="1"/>
  <c r="AZ4" i="17"/>
  <c r="I6" i="17"/>
  <c r="AL5" i="17"/>
  <c r="H6" i="17"/>
  <c r="AE5" i="17"/>
  <c r="AF5" i="17" s="1"/>
  <c r="J5" i="17"/>
  <c r="K5" i="17" s="1"/>
  <c r="AU3" i="17"/>
  <c r="AA4" i="17"/>
  <c r="Y5" i="17"/>
  <c r="AS5" i="17" s="1"/>
  <c r="AX5" i="17"/>
  <c r="M8" i="17"/>
  <c r="S7" i="17" s="1"/>
  <c r="A8" i="17"/>
  <c r="B7" i="17"/>
  <c r="AM6" i="17"/>
  <c r="P6" i="17"/>
  <c r="Q6" i="17" s="1"/>
  <c r="AM6" i="15"/>
  <c r="P6" i="15"/>
  <c r="B7" i="15"/>
  <c r="A8" i="15"/>
  <c r="H5" i="15"/>
  <c r="I5" i="15"/>
  <c r="AL4" i="15"/>
  <c r="J4" i="15"/>
  <c r="K4" i="15" s="1"/>
  <c r="AC3" i="15" s="1"/>
  <c r="AE4" i="15"/>
  <c r="AF4" i="15" s="1"/>
  <c r="P5" i="15"/>
  <c r="Q5" i="15" s="1"/>
  <c r="AM5" i="15"/>
  <c r="AI3" i="15"/>
  <c r="AW3" i="15" s="1"/>
  <c r="AZ3" i="15"/>
  <c r="M8" i="15"/>
  <c r="W5" i="15"/>
  <c r="W5" i="13"/>
  <c r="AX5" i="13" s="1"/>
  <c r="AM5" i="13"/>
  <c r="Q5" i="13"/>
  <c r="AG4" i="13"/>
  <c r="AI4" i="13" s="1"/>
  <c r="AC3" i="13"/>
  <c r="AA4" i="13" s="1"/>
  <c r="AY4" i="13" s="1"/>
  <c r="AL5" i="13"/>
  <c r="I6" i="13"/>
  <c r="AE6" i="13" s="1"/>
  <c r="AF6" i="13" s="1"/>
  <c r="J5" i="13"/>
  <c r="K5" i="13" s="1"/>
  <c r="H6" i="13"/>
  <c r="M7" i="13"/>
  <c r="S6" i="13" s="1"/>
  <c r="P6" i="13" s="1"/>
  <c r="B12" i="13"/>
  <c r="A13" i="13"/>
  <c r="Y5" i="11"/>
  <c r="AA5" i="11" s="1"/>
  <c r="AM5" i="11" s="1"/>
  <c r="U4" i="11"/>
  <c r="AK4" i="11" s="1"/>
  <c r="W6" i="11"/>
  <c r="X6" i="11" s="1"/>
  <c r="K6" i="11"/>
  <c r="L6" i="11" s="1"/>
  <c r="J7" i="11"/>
  <c r="AD6" i="11"/>
  <c r="I7" i="11"/>
  <c r="N7" i="11"/>
  <c r="Q6" i="11"/>
  <c r="AE6" i="11" s="1"/>
  <c r="Q5" i="11"/>
  <c r="AE5" i="11" s="1"/>
  <c r="B10" i="11"/>
  <c r="C9" i="11"/>
  <c r="Y5" i="8"/>
  <c r="AA5" i="8" s="1"/>
  <c r="AM5" i="8" s="1"/>
  <c r="N8" i="8"/>
  <c r="C8" i="8"/>
  <c r="B9" i="8"/>
  <c r="I6" i="8"/>
  <c r="AD5" i="8"/>
  <c r="K5" i="8"/>
  <c r="L5" i="8" s="1"/>
  <c r="J6" i="8"/>
  <c r="W6" i="8" s="1"/>
  <c r="X6" i="8" s="1"/>
  <c r="Q6" i="8"/>
  <c r="AE6" i="8" s="1"/>
  <c r="A12" i="19" l="1"/>
  <c r="B11" i="19"/>
  <c r="AC5" i="19"/>
  <c r="AU5" i="19" s="1"/>
  <c r="AA5" i="19"/>
  <c r="I8" i="19"/>
  <c r="AE7" i="19"/>
  <c r="AF7" i="19" s="1"/>
  <c r="J7" i="19"/>
  <c r="K7" i="19" s="1"/>
  <c r="H8" i="19"/>
  <c r="AL7" i="19"/>
  <c r="AM9" i="19"/>
  <c r="P9" i="19"/>
  <c r="Q9" i="19" s="1"/>
  <c r="M11" i="19"/>
  <c r="S10" i="19" s="1"/>
  <c r="AG5" i="18"/>
  <c r="AI5" i="18" s="1"/>
  <c r="AW5" i="18" s="1"/>
  <c r="Y7" i="19"/>
  <c r="AS7" i="19" s="1"/>
  <c r="AX7" i="19"/>
  <c r="AZ6" i="19"/>
  <c r="AI6" i="19"/>
  <c r="AW6" i="19" s="1"/>
  <c r="AM7" i="18"/>
  <c r="P7" i="18"/>
  <c r="Q7" i="18" s="1"/>
  <c r="B8" i="18"/>
  <c r="A9" i="18"/>
  <c r="M9" i="18"/>
  <c r="S8" i="18"/>
  <c r="AY4" i="18"/>
  <c r="AA5" i="18"/>
  <c r="I7" i="18"/>
  <c r="AE6" i="18"/>
  <c r="AF6" i="18" s="1"/>
  <c r="H7" i="18"/>
  <c r="AL6" i="18"/>
  <c r="J6" i="18"/>
  <c r="K6" i="18" s="1"/>
  <c r="AC5" i="18" s="1"/>
  <c r="AU5" i="18" s="1"/>
  <c r="W6" i="18"/>
  <c r="AY4" i="17"/>
  <c r="A9" i="17"/>
  <c r="B8" i="17"/>
  <c r="AC4" i="17"/>
  <c r="AU4" i="17" s="1"/>
  <c r="M9" i="17"/>
  <c r="S8" i="17" s="1"/>
  <c r="AM7" i="17"/>
  <c r="P7" i="17"/>
  <c r="Q7" i="17" s="1"/>
  <c r="AL6" i="17"/>
  <c r="I7" i="17"/>
  <c r="H7" i="17"/>
  <c r="J6" i="17"/>
  <c r="K6" i="17" s="1"/>
  <c r="AE6" i="17"/>
  <c r="AF6" i="17" s="1"/>
  <c r="W6" i="17"/>
  <c r="AG5" i="17"/>
  <c r="AG4" i="15"/>
  <c r="AI4" i="15" s="1"/>
  <c r="AW4" i="15" s="1"/>
  <c r="Q6" i="15"/>
  <c r="AU3" i="15"/>
  <c r="AA4" i="15"/>
  <c r="I6" i="15"/>
  <c r="J5" i="15"/>
  <c r="K5" i="15" s="1"/>
  <c r="AE5" i="15"/>
  <c r="AF5" i="15" s="1"/>
  <c r="H6" i="15"/>
  <c r="AL5" i="15"/>
  <c r="M9" i="15"/>
  <c r="S8" i="15" s="1"/>
  <c r="S7" i="15"/>
  <c r="A9" i="15"/>
  <c r="B8" i="15"/>
  <c r="AX5" i="15"/>
  <c r="Y5" i="15"/>
  <c r="AS5" i="15" s="1"/>
  <c r="Y5" i="13"/>
  <c r="AS5" i="13" s="1"/>
  <c r="AM6" i="13"/>
  <c r="Q6" i="13"/>
  <c r="AU3" i="13"/>
  <c r="AW4" i="13"/>
  <c r="AZ4" i="13"/>
  <c r="AL6" i="13"/>
  <c r="AC4" i="13"/>
  <c r="AU4" i="13" s="1"/>
  <c r="I7" i="13"/>
  <c r="J7" i="13" s="1"/>
  <c r="K7" i="13" s="1"/>
  <c r="H7" i="13"/>
  <c r="J6" i="13"/>
  <c r="K6" i="13" s="1"/>
  <c r="M8" i="13"/>
  <c r="A14" i="13"/>
  <c r="B13" i="13"/>
  <c r="Y6" i="11"/>
  <c r="AA6" i="11" s="1"/>
  <c r="AM6" i="11" s="1"/>
  <c r="S5" i="11"/>
  <c r="U5" i="11" s="1"/>
  <c r="AK5" i="11" s="1"/>
  <c r="Y6" i="8"/>
  <c r="AA6" i="8" s="1"/>
  <c r="AM6" i="8" s="1"/>
  <c r="I8" i="11"/>
  <c r="K7" i="11"/>
  <c r="L7" i="11" s="1"/>
  <c r="J8" i="11"/>
  <c r="AD7" i="11"/>
  <c r="W7" i="11"/>
  <c r="X7" i="11" s="1"/>
  <c r="C10" i="11"/>
  <c r="B11" i="11"/>
  <c r="N8" i="11"/>
  <c r="AK3" i="8"/>
  <c r="U4" i="8"/>
  <c r="S5" i="8" s="1"/>
  <c r="B10" i="8"/>
  <c r="C9" i="8"/>
  <c r="N9" i="8"/>
  <c r="I7" i="8"/>
  <c r="J7" i="8"/>
  <c r="W7" i="8" s="1"/>
  <c r="X7" i="8" s="1"/>
  <c r="AD6" i="8"/>
  <c r="K6" i="8"/>
  <c r="L6" i="8" s="1"/>
  <c r="Q7" i="8"/>
  <c r="AE7" i="8" s="1"/>
  <c r="AM10" i="19" l="1"/>
  <c r="P10" i="19"/>
  <c r="Q10" i="19" s="1"/>
  <c r="AG6" i="18"/>
  <c r="AG7" i="19"/>
  <c r="AZ5" i="18"/>
  <c r="W8" i="19"/>
  <c r="AL8" i="19"/>
  <c r="H9" i="19"/>
  <c r="J8" i="19"/>
  <c r="K8" i="19" s="1"/>
  <c r="I9" i="19"/>
  <c r="AE8" i="19"/>
  <c r="AF8" i="19" s="1"/>
  <c r="M12" i="19"/>
  <c r="AY5" i="19"/>
  <c r="AA6" i="19"/>
  <c r="A13" i="19"/>
  <c r="B12" i="19"/>
  <c r="W6" i="15"/>
  <c r="AX6" i="15" s="1"/>
  <c r="M10" i="18"/>
  <c r="S9" i="18"/>
  <c r="A10" i="18"/>
  <c r="B9" i="18"/>
  <c r="AX6" i="18"/>
  <c r="Y6" i="18"/>
  <c r="AS6" i="18" s="1"/>
  <c r="W7" i="18"/>
  <c r="AE7" i="18"/>
  <c r="AF7" i="18" s="1"/>
  <c r="I8" i="18"/>
  <c r="H8" i="18"/>
  <c r="AL7" i="18"/>
  <c r="J7" i="18"/>
  <c r="K7" i="18" s="1"/>
  <c r="AA6" i="18"/>
  <c r="AY5" i="18"/>
  <c r="AZ6" i="18"/>
  <c r="AI6" i="18"/>
  <c r="AW6" i="18" s="1"/>
  <c r="AM8" i="18"/>
  <c r="P8" i="18"/>
  <c r="Q8" i="18" s="1"/>
  <c r="AM8" i="17"/>
  <c r="P8" i="17"/>
  <c r="Q8" i="17" s="1"/>
  <c r="I8" i="17"/>
  <c r="J7" i="17"/>
  <c r="K7" i="17" s="1"/>
  <c r="AL7" i="17"/>
  <c r="AE7" i="17"/>
  <c r="AF7" i="17" s="1"/>
  <c r="H8" i="17"/>
  <c r="A10" i="17"/>
  <c r="B9" i="17"/>
  <c r="AI5" i="17"/>
  <c r="AW5" i="17" s="1"/>
  <c r="AZ5" i="17"/>
  <c r="Y6" i="17"/>
  <c r="AS6" i="17" s="1"/>
  <c r="AX6" i="17"/>
  <c r="M10" i="17"/>
  <c r="S9" i="17" s="1"/>
  <c r="AA5" i="17"/>
  <c r="AZ4" i="15"/>
  <c r="AG5" i="15"/>
  <c r="AI5" i="15" s="1"/>
  <c r="AW5" i="15" s="1"/>
  <c r="P8" i="15"/>
  <c r="AM8" i="15"/>
  <c r="AC4" i="15"/>
  <c r="AU4" i="15" s="1"/>
  <c r="B9" i="15"/>
  <c r="A10" i="15"/>
  <c r="H7" i="15"/>
  <c r="AE6" i="15"/>
  <c r="AF6" i="15" s="1"/>
  <c r="I7" i="15"/>
  <c r="AL6" i="15"/>
  <c r="J6" i="15"/>
  <c r="K6" i="15" s="1"/>
  <c r="P7" i="15"/>
  <c r="Q7" i="15" s="1"/>
  <c r="AM7" i="15"/>
  <c r="AY4" i="15"/>
  <c r="M10" i="15"/>
  <c r="S9" i="15" s="1"/>
  <c r="W6" i="13"/>
  <c r="AX6" i="13" s="1"/>
  <c r="AG5" i="13"/>
  <c r="AI5" i="13" s="1"/>
  <c r="AA5" i="13"/>
  <c r="AY5" i="13" s="1"/>
  <c r="AE7" i="13"/>
  <c r="AF7" i="13" s="1"/>
  <c r="AL7" i="13"/>
  <c r="I8" i="13"/>
  <c r="AE8" i="13" s="1"/>
  <c r="H8" i="13"/>
  <c r="M9" i="13"/>
  <c r="S8" i="13" s="1"/>
  <c r="P8" i="13" s="1"/>
  <c r="Y7" i="8"/>
  <c r="AA7" i="8" s="1"/>
  <c r="AM7" i="8" s="1"/>
  <c r="B14" i="13"/>
  <c r="A15" i="13"/>
  <c r="S7" i="13"/>
  <c r="P7" i="13" s="1"/>
  <c r="S6" i="11"/>
  <c r="U6" i="11" s="1"/>
  <c r="AK6" i="11" s="1"/>
  <c r="Y7" i="11"/>
  <c r="AA7" i="11" s="1"/>
  <c r="AM7" i="11" s="1"/>
  <c r="N9" i="11"/>
  <c r="Q8" i="11" s="1"/>
  <c r="AE8" i="11" s="1"/>
  <c r="J9" i="11"/>
  <c r="AD8" i="11"/>
  <c r="I9" i="11"/>
  <c r="W8" i="11"/>
  <c r="X8" i="11" s="1"/>
  <c r="K8" i="11"/>
  <c r="L8" i="11" s="1"/>
  <c r="Q7" i="11"/>
  <c r="AE7" i="11" s="1"/>
  <c r="C11" i="11"/>
  <c r="B12" i="11"/>
  <c r="AK4" i="8"/>
  <c r="U5" i="8"/>
  <c r="S6" i="8" s="1"/>
  <c r="Q8" i="8"/>
  <c r="AE8" i="8" s="1"/>
  <c r="N10" i="8"/>
  <c r="Q9" i="8" s="1"/>
  <c r="AE9" i="8" s="1"/>
  <c r="C10" i="8"/>
  <c r="B11" i="8"/>
  <c r="J8" i="8"/>
  <c r="W8" i="8" s="1"/>
  <c r="X8" i="8" s="1"/>
  <c r="AD7" i="8"/>
  <c r="K7" i="8"/>
  <c r="L7" i="8" s="1"/>
  <c r="I8" i="8"/>
  <c r="AY6" i="19" l="1"/>
  <c r="AC6" i="19"/>
  <c r="AU6" i="19" s="1"/>
  <c r="M13" i="19"/>
  <c r="Y8" i="19"/>
  <c r="AS8" i="19" s="1"/>
  <c r="AX8" i="19"/>
  <c r="S11" i="19"/>
  <c r="AG7" i="18"/>
  <c r="AZ7" i="18" s="1"/>
  <c r="AZ7" i="19"/>
  <c r="AI7" i="19"/>
  <c r="AW7" i="19" s="1"/>
  <c r="AL9" i="19"/>
  <c r="H10" i="19"/>
  <c r="I10" i="19"/>
  <c r="J9" i="19"/>
  <c r="K9" i="19" s="1"/>
  <c r="AE9" i="19"/>
  <c r="AF9" i="19" s="1"/>
  <c r="A14" i="19"/>
  <c r="B13" i="19"/>
  <c r="Y6" i="15"/>
  <c r="AS6" i="15" s="1"/>
  <c r="P9" i="18"/>
  <c r="Q9" i="18" s="1"/>
  <c r="AM9" i="18"/>
  <c r="AL8" i="18"/>
  <c r="H9" i="18"/>
  <c r="J8" i="18"/>
  <c r="K8" i="18" s="1"/>
  <c r="AE8" i="18"/>
  <c r="AF8" i="18" s="1"/>
  <c r="I9" i="18"/>
  <c r="M11" i="18"/>
  <c r="S10" i="18" s="1"/>
  <c r="W8" i="18"/>
  <c r="Y7" i="18"/>
  <c r="AS7" i="18" s="1"/>
  <c r="AX7" i="18"/>
  <c r="AY6" i="18"/>
  <c r="AC6" i="18"/>
  <c r="AU6" i="18" s="1"/>
  <c r="A11" i="18"/>
  <c r="B10" i="18"/>
  <c r="AA5" i="15"/>
  <c r="AY5" i="15" s="1"/>
  <c r="W7" i="17"/>
  <c r="P9" i="17"/>
  <c r="Q9" i="17" s="1"/>
  <c r="AM9" i="17"/>
  <c r="B10" i="17"/>
  <c r="A11" i="17"/>
  <c r="AY5" i="17"/>
  <c r="AZ5" i="15"/>
  <c r="AG6" i="17"/>
  <c r="Y7" i="17"/>
  <c r="AS7" i="17" s="1"/>
  <c r="AX7" i="17"/>
  <c r="H9" i="17"/>
  <c r="AE8" i="17"/>
  <c r="AF8" i="17" s="1"/>
  <c r="I9" i="17"/>
  <c r="AL8" i="17"/>
  <c r="J8" i="17"/>
  <c r="K8" i="17" s="1"/>
  <c r="AC5" i="17"/>
  <c r="AU5" i="17" s="1"/>
  <c r="S10" i="17"/>
  <c r="M11" i="17"/>
  <c r="AG6" i="15"/>
  <c r="AZ6" i="15" s="1"/>
  <c r="AM9" i="15"/>
  <c r="P9" i="15"/>
  <c r="Q9" i="15" s="1"/>
  <c r="M11" i="15"/>
  <c r="B10" i="15"/>
  <c r="A11" i="15"/>
  <c r="Q8" i="15"/>
  <c r="AE7" i="15"/>
  <c r="AF7" i="15" s="1"/>
  <c r="I8" i="15"/>
  <c r="H8" i="15"/>
  <c r="AL7" i="15"/>
  <c r="J7" i="15"/>
  <c r="K7" i="15" s="1"/>
  <c r="Y6" i="13"/>
  <c r="AS6" i="13" s="1"/>
  <c r="AM7" i="13"/>
  <c r="Q7" i="13"/>
  <c r="AM8" i="13"/>
  <c r="Q8" i="13"/>
  <c r="AZ5" i="13"/>
  <c r="AC5" i="13"/>
  <c r="AU5" i="13" s="1"/>
  <c r="AF8" i="13"/>
  <c r="J8" i="13"/>
  <c r="K8" i="13" s="1"/>
  <c r="H9" i="13"/>
  <c r="AL8" i="13"/>
  <c r="I9" i="13"/>
  <c r="I10" i="13" s="1"/>
  <c r="S7" i="11"/>
  <c r="U7" i="11" s="1"/>
  <c r="AK7" i="11" s="1"/>
  <c r="A16" i="13"/>
  <c r="B15" i="13"/>
  <c r="M10" i="13"/>
  <c r="Y8" i="11"/>
  <c r="AA8" i="11" s="1"/>
  <c r="AM8" i="11" s="1"/>
  <c r="K9" i="11"/>
  <c r="L9" i="11" s="1"/>
  <c r="I10" i="11"/>
  <c r="J10" i="11" s="1"/>
  <c r="AD9" i="11"/>
  <c r="W9" i="11"/>
  <c r="X9" i="11" s="1"/>
  <c r="N10" i="11"/>
  <c r="C12" i="11"/>
  <c r="B13" i="11"/>
  <c r="Y8" i="8"/>
  <c r="AA8" i="8" s="1"/>
  <c r="AM8" i="8" s="1"/>
  <c r="U6" i="8"/>
  <c r="AK6" i="8" s="1"/>
  <c r="AK5" i="8"/>
  <c r="J9" i="8"/>
  <c r="W9" i="8" s="1"/>
  <c r="X9" i="8" s="1"/>
  <c r="I9" i="8"/>
  <c r="AD8" i="8"/>
  <c r="K8" i="8"/>
  <c r="L8" i="8" s="1"/>
  <c r="C11" i="8"/>
  <c r="B12" i="8"/>
  <c r="N11" i="8"/>
  <c r="Q10" i="8" s="1"/>
  <c r="AE10" i="8" s="1"/>
  <c r="AI7" i="18" l="1"/>
  <c r="AW7" i="18" s="1"/>
  <c r="W9" i="19"/>
  <c r="M14" i="19"/>
  <c r="S13" i="19"/>
  <c r="AG8" i="19"/>
  <c r="S12" i="19"/>
  <c r="A15" i="19"/>
  <c r="B14" i="19"/>
  <c r="AM11" i="19"/>
  <c r="P11" i="19"/>
  <c r="Q11" i="19" s="1"/>
  <c r="AA7" i="19"/>
  <c r="AL10" i="19"/>
  <c r="J10" i="19"/>
  <c r="K10" i="19" s="1"/>
  <c r="I11" i="19"/>
  <c r="H11" i="19"/>
  <c r="AE10" i="19"/>
  <c r="AF10" i="19" s="1"/>
  <c r="AI6" i="15"/>
  <c r="AW6" i="15" s="1"/>
  <c r="W7" i="15"/>
  <c r="AM10" i="18"/>
  <c r="P10" i="18"/>
  <c r="Q10" i="18" s="1"/>
  <c r="AC5" i="15"/>
  <c r="B11" i="18"/>
  <c r="A12" i="18"/>
  <c r="M12" i="18"/>
  <c r="AG8" i="18"/>
  <c r="Y8" i="18"/>
  <c r="AS8" i="18" s="1"/>
  <c r="AX8" i="18"/>
  <c r="I10" i="18"/>
  <c r="H10" i="18"/>
  <c r="AE9" i="18"/>
  <c r="AF9" i="18" s="1"/>
  <c r="AL9" i="18"/>
  <c r="J9" i="18"/>
  <c r="K9" i="18" s="1"/>
  <c r="AA7" i="18"/>
  <c r="W8" i="17"/>
  <c r="J9" i="17"/>
  <c r="K9" i="17" s="1"/>
  <c r="AE9" i="17"/>
  <c r="AF9" i="17" s="1"/>
  <c r="H10" i="17"/>
  <c r="I10" i="17" s="1"/>
  <c r="AL9" i="17"/>
  <c r="AZ6" i="17"/>
  <c r="AI6" i="17"/>
  <c r="AW6" i="17" s="1"/>
  <c r="AA6" i="17"/>
  <c r="M12" i="17"/>
  <c r="S11" i="17" s="1"/>
  <c r="A12" i="17"/>
  <c r="B11" i="17"/>
  <c r="AM10" i="17"/>
  <c r="P10" i="17"/>
  <c r="Q10" i="17" s="1"/>
  <c r="J8" i="15"/>
  <c r="K8" i="15" s="1"/>
  <c r="I9" i="15"/>
  <c r="AE8" i="15"/>
  <c r="AF8" i="15" s="1"/>
  <c r="AL8" i="15"/>
  <c r="H9" i="15"/>
  <c r="M12" i="15"/>
  <c r="S10" i="15"/>
  <c r="A12" i="15"/>
  <c r="B11" i="15"/>
  <c r="W7" i="13"/>
  <c r="AX7" i="13" s="1"/>
  <c r="AW5" i="13"/>
  <c r="AG6" i="13"/>
  <c r="AI6" i="13" s="1"/>
  <c r="AA6" i="13"/>
  <c r="AY6" i="13" s="1"/>
  <c r="J9" i="13"/>
  <c r="K9" i="13" s="1"/>
  <c r="AL9" i="13"/>
  <c r="H10" i="13"/>
  <c r="AE9" i="13"/>
  <c r="AF9" i="13" s="1"/>
  <c r="B16" i="13"/>
  <c r="A17" i="13"/>
  <c r="M11" i="13"/>
  <c r="S10" i="13" s="1"/>
  <c r="P10" i="13" s="1"/>
  <c r="S9" i="13"/>
  <c r="P9" i="13" s="1"/>
  <c r="I11" i="13"/>
  <c r="AL10" i="13"/>
  <c r="AE10" i="13"/>
  <c r="J10" i="13"/>
  <c r="K10" i="13" s="1"/>
  <c r="H11" i="13"/>
  <c r="S8" i="11"/>
  <c r="Y9" i="11"/>
  <c r="AA9" i="11" s="1"/>
  <c r="AM9" i="11" s="1"/>
  <c r="N11" i="11"/>
  <c r="Q10" i="11" s="1"/>
  <c r="AE10" i="11" s="1"/>
  <c r="Q9" i="11"/>
  <c r="AE9" i="11" s="1"/>
  <c r="B14" i="11"/>
  <c r="C13" i="11"/>
  <c r="W10" i="11"/>
  <c r="X10" i="11" s="1"/>
  <c r="K10" i="11"/>
  <c r="L10" i="11" s="1"/>
  <c r="AD10" i="11"/>
  <c r="I11" i="11"/>
  <c r="J11" i="11" s="1"/>
  <c r="Y9" i="8"/>
  <c r="AA9" i="8" s="1"/>
  <c r="AM9" i="8" s="1"/>
  <c r="S7" i="8"/>
  <c r="U7" i="8" s="1"/>
  <c r="AD9" i="8"/>
  <c r="K9" i="8"/>
  <c r="L9" i="8" s="1"/>
  <c r="I10" i="8"/>
  <c r="J10" i="8" s="1"/>
  <c r="W10" i="8" s="1"/>
  <c r="X10" i="8" s="1"/>
  <c r="B13" i="8"/>
  <c r="C12" i="8"/>
  <c r="N12" i="8"/>
  <c r="Q11" i="8" s="1"/>
  <c r="AE11" i="8" s="1"/>
  <c r="I12" i="19" l="1"/>
  <c r="J11" i="19"/>
  <c r="K11" i="19" s="1"/>
  <c r="AL11" i="19"/>
  <c r="H12" i="19"/>
  <c r="AE11" i="19"/>
  <c r="AF11" i="19" s="1"/>
  <c r="B15" i="19"/>
  <c r="A16" i="19"/>
  <c r="P12" i="19"/>
  <c r="Q12" i="19" s="1"/>
  <c r="AM12" i="19"/>
  <c r="AI8" i="19"/>
  <c r="AW8" i="19" s="1"/>
  <c r="AG9" i="19"/>
  <c r="AZ8" i="19"/>
  <c r="AA8" i="19"/>
  <c r="AY7" i="19"/>
  <c r="AC7" i="19"/>
  <c r="AU7" i="19" s="1"/>
  <c r="P13" i="19"/>
  <c r="Q13" i="19" s="1"/>
  <c r="AM13" i="19"/>
  <c r="M15" i="19"/>
  <c r="S14" i="19"/>
  <c r="Y9" i="19"/>
  <c r="AS9" i="19" s="1"/>
  <c r="AX9" i="19"/>
  <c r="AG7" i="15"/>
  <c r="AZ7" i="15" s="1"/>
  <c r="AX7" i="15"/>
  <c r="Y7" i="15"/>
  <c r="AY7" i="18"/>
  <c r="AI8" i="18"/>
  <c r="AW8" i="18" s="1"/>
  <c r="AZ8" i="18"/>
  <c r="S12" i="18"/>
  <c r="M13" i="18"/>
  <c r="S11" i="18"/>
  <c r="AL10" i="18"/>
  <c r="J10" i="18"/>
  <c r="K10" i="18" s="1"/>
  <c r="AE10" i="18"/>
  <c r="AF10" i="18" s="1"/>
  <c r="I11" i="18"/>
  <c r="H11" i="18"/>
  <c r="A13" i="18"/>
  <c r="B12" i="18"/>
  <c r="AC7" i="18"/>
  <c r="AU7" i="18" s="1"/>
  <c r="W9" i="18"/>
  <c r="AU5" i="15"/>
  <c r="AA6" i="15"/>
  <c r="AG7" i="17"/>
  <c r="AZ7" i="17" s="1"/>
  <c r="AM11" i="17"/>
  <c r="P11" i="17"/>
  <c r="Q11" i="17" s="1"/>
  <c r="A13" i="17"/>
  <c r="B12" i="17"/>
  <c r="J10" i="17"/>
  <c r="K10" i="17" s="1"/>
  <c r="H11" i="17"/>
  <c r="I11" i="17" s="1"/>
  <c r="AE10" i="17"/>
  <c r="AF10" i="17" s="1"/>
  <c r="AL10" i="17"/>
  <c r="AX8" i="17"/>
  <c r="Y8" i="17"/>
  <c r="AS8" i="17" s="1"/>
  <c r="M13" i="17"/>
  <c r="AY6" i="17"/>
  <c r="AC6" i="17"/>
  <c r="AU6" i="17" s="1"/>
  <c r="B12" i="15"/>
  <c r="A13" i="15"/>
  <c r="P10" i="15"/>
  <c r="Q10" i="15" s="1"/>
  <c r="AM10" i="15"/>
  <c r="M13" i="15"/>
  <c r="S12" i="15" s="1"/>
  <c r="S11" i="15"/>
  <c r="AL9" i="15"/>
  <c r="J9" i="15"/>
  <c r="K9" i="15" s="1"/>
  <c r="I10" i="15"/>
  <c r="H10" i="15"/>
  <c r="AE9" i="15"/>
  <c r="AF9" i="15" s="1"/>
  <c r="Y7" i="13"/>
  <c r="AS7" i="13" s="1"/>
  <c r="AM10" i="13"/>
  <c r="Q10" i="13"/>
  <c r="AM9" i="13"/>
  <c r="Q9" i="13"/>
  <c r="AZ6" i="13"/>
  <c r="Y10" i="8"/>
  <c r="AA10" i="8" s="1"/>
  <c r="AM10" i="8" s="1"/>
  <c r="AC6" i="13"/>
  <c r="AU6" i="13" s="1"/>
  <c r="AF10" i="13"/>
  <c r="M12" i="13"/>
  <c r="S11" i="13" s="1"/>
  <c r="P11" i="13" s="1"/>
  <c r="H12" i="13"/>
  <c r="AL11" i="13"/>
  <c r="J11" i="13"/>
  <c r="K11" i="13" s="1"/>
  <c r="AE11" i="13"/>
  <c r="AF11" i="13" s="1"/>
  <c r="I12" i="13"/>
  <c r="U8" i="11"/>
  <c r="AK8" i="11" s="1"/>
  <c r="B17" i="13"/>
  <c r="A18" i="13"/>
  <c r="C14" i="11"/>
  <c r="B15" i="11"/>
  <c r="I12" i="11"/>
  <c r="J12" i="11" s="1"/>
  <c r="K11" i="11"/>
  <c r="L11" i="11" s="1"/>
  <c r="AD11" i="11"/>
  <c r="W11" i="11"/>
  <c r="X11" i="11" s="1"/>
  <c r="Y10" i="11"/>
  <c r="N12" i="11"/>
  <c r="S8" i="8"/>
  <c r="AK7" i="8"/>
  <c r="AD10" i="8"/>
  <c r="I11" i="8"/>
  <c r="J11" i="8" s="1"/>
  <c r="W11" i="8" s="1"/>
  <c r="X11" i="8" s="1"/>
  <c r="K10" i="8"/>
  <c r="L10" i="8" s="1"/>
  <c r="B14" i="8"/>
  <c r="C13" i="8"/>
  <c r="N13" i="8"/>
  <c r="Q12" i="8" s="1"/>
  <c r="AE12" i="8" s="1"/>
  <c r="W10" i="19" l="1"/>
  <c r="AI9" i="19"/>
  <c r="AW9" i="19" s="1"/>
  <c r="AZ9" i="19"/>
  <c r="M16" i="19"/>
  <c r="S15" i="19"/>
  <c r="AI7" i="17"/>
  <c r="AW7" i="17" s="1"/>
  <c r="A17" i="19"/>
  <c r="B16" i="19"/>
  <c r="AA9" i="19"/>
  <c r="AY8" i="19"/>
  <c r="AC8" i="19"/>
  <c r="AU8" i="19" s="1"/>
  <c r="P14" i="19"/>
  <c r="Q14" i="19" s="1"/>
  <c r="AM14" i="19"/>
  <c r="I13" i="19"/>
  <c r="J12" i="19"/>
  <c r="K12" i="19" s="1"/>
  <c r="H13" i="19"/>
  <c r="AE12" i="19"/>
  <c r="AF12" i="19" s="1"/>
  <c r="AL12" i="19"/>
  <c r="AI7" i="15"/>
  <c r="AW7" i="15" s="1"/>
  <c r="AS7" i="15"/>
  <c r="W8" i="15"/>
  <c r="A14" i="18"/>
  <c r="B13" i="18"/>
  <c r="I12" i="18"/>
  <c r="J11" i="18"/>
  <c r="K11" i="18" s="1"/>
  <c r="H12" i="18"/>
  <c r="AL11" i="18"/>
  <c r="AE11" i="18"/>
  <c r="AF11" i="18" s="1"/>
  <c r="AG9" i="18"/>
  <c r="AC6" i="15"/>
  <c r="AU6" i="15" s="1"/>
  <c r="AY6" i="15"/>
  <c r="P12" i="18"/>
  <c r="AM12" i="18"/>
  <c r="AX9" i="18"/>
  <c r="Y9" i="18"/>
  <c r="AS9" i="18" s="1"/>
  <c r="W10" i="18"/>
  <c r="P11" i="18"/>
  <c r="Q11" i="18" s="1"/>
  <c r="AM11" i="18"/>
  <c r="AA8" i="18"/>
  <c r="M14" i="18"/>
  <c r="S13" i="18" s="1"/>
  <c r="M14" i="17"/>
  <c r="S13" i="17" s="1"/>
  <c r="S12" i="17"/>
  <c r="AE11" i="17"/>
  <c r="AF11" i="17" s="1"/>
  <c r="J11" i="17"/>
  <c r="K11" i="17" s="1"/>
  <c r="AL11" i="17"/>
  <c r="H12" i="17"/>
  <c r="I12" i="17" s="1"/>
  <c r="W9" i="17"/>
  <c r="A14" i="17"/>
  <c r="B13" i="17"/>
  <c r="AA7" i="17"/>
  <c r="AG8" i="17"/>
  <c r="P12" i="15"/>
  <c r="AM12" i="15"/>
  <c r="M14" i="15"/>
  <c r="S13" i="15"/>
  <c r="AL10" i="15"/>
  <c r="AE10" i="15"/>
  <c r="AF10" i="15" s="1"/>
  <c r="I11" i="15"/>
  <c r="H11" i="15"/>
  <c r="J10" i="15"/>
  <c r="K10" i="15" s="1"/>
  <c r="A14" i="15"/>
  <c r="B13" i="15"/>
  <c r="P11" i="15"/>
  <c r="Q11" i="15" s="1"/>
  <c r="AM11" i="15"/>
  <c r="W8" i="13"/>
  <c r="AX8" i="13" s="1"/>
  <c r="AM11" i="13"/>
  <c r="Q11" i="13"/>
  <c r="AW6" i="13"/>
  <c r="AG7" i="13"/>
  <c r="AI7" i="13" s="1"/>
  <c r="AA7" i="13"/>
  <c r="AY7" i="13" s="1"/>
  <c r="Y11" i="8"/>
  <c r="AA11" i="8" s="1"/>
  <c r="AM11" i="8" s="1"/>
  <c r="AE12" i="13"/>
  <c r="AF12" i="13" s="1"/>
  <c r="I13" i="13"/>
  <c r="AL12" i="13"/>
  <c r="H13" i="13"/>
  <c r="J12" i="13"/>
  <c r="K12" i="13" s="1"/>
  <c r="B18" i="13"/>
  <c r="A19" i="13"/>
  <c r="M13" i="13"/>
  <c r="S12" i="13" s="1"/>
  <c r="P12" i="13" s="1"/>
  <c r="S9" i="11"/>
  <c r="U9" i="11" s="1"/>
  <c r="AK9" i="11" s="1"/>
  <c r="AD12" i="11"/>
  <c r="I13" i="11"/>
  <c r="J13" i="11" s="1"/>
  <c r="W12" i="11"/>
  <c r="X12" i="11" s="1"/>
  <c r="K12" i="11"/>
  <c r="L12" i="11" s="1"/>
  <c r="N13" i="11"/>
  <c r="Q11" i="11"/>
  <c r="AE11" i="11" s="1"/>
  <c r="C15" i="11"/>
  <c r="B16" i="11"/>
  <c r="AA10" i="11"/>
  <c r="AM10" i="11" s="1"/>
  <c r="U8" i="8"/>
  <c r="S9" i="8" s="1"/>
  <c r="I12" i="8"/>
  <c r="AD11" i="8"/>
  <c r="K11" i="8"/>
  <c r="L11" i="8" s="1"/>
  <c r="J12" i="8"/>
  <c r="W12" i="8" s="1"/>
  <c r="X12" i="8" s="1"/>
  <c r="B15" i="8"/>
  <c r="C14" i="8"/>
  <c r="N14" i="8"/>
  <c r="Q13" i="8" s="1"/>
  <c r="AE13" i="8" s="1"/>
  <c r="I14" i="19" l="1"/>
  <c r="J13" i="19"/>
  <c r="K13" i="19" s="1"/>
  <c r="H14" i="19"/>
  <c r="AE13" i="19"/>
  <c r="AF13" i="19" s="1"/>
  <c r="AL13" i="19"/>
  <c r="AM15" i="19"/>
  <c r="P15" i="19"/>
  <c r="Q15" i="19" s="1"/>
  <c r="S16" i="19"/>
  <c r="M17" i="19"/>
  <c r="AY9" i="19"/>
  <c r="AC9" i="19"/>
  <c r="AU9" i="19" s="1"/>
  <c r="AG10" i="19"/>
  <c r="A18" i="19"/>
  <c r="B17" i="19"/>
  <c r="AX10" i="19"/>
  <c r="Y10" i="19"/>
  <c r="AS10" i="19" s="1"/>
  <c r="AG8" i="15"/>
  <c r="AI8" i="15" s="1"/>
  <c r="AW8" i="15" s="1"/>
  <c r="Y8" i="15"/>
  <c r="AS8" i="15" s="1"/>
  <c r="AX8" i="15"/>
  <c r="P13" i="18"/>
  <c r="Q13" i="18" s="1"/>
  <c r="AM13" i="18"/>
  <c r="Y10" i="18"/>
  <c r="AS10" i="18" s="1"/>
  <c r="AX10" i="18"/>
  <c r="AA7" i="15"/>
  <c r="AG10" i="18"/>
  <c r="AI9" i="18"/>
  <c r="AW9" i="18" s="1"/>
  <c r="AZ9" i="18"/>
  <c r="B14" i="18"/>
  <c r="A15" i="18"/>
  <c r="M15" i="18"/>
  <c r="S14" i="18" s="1"/>
  <c r="AY8" i="18"/>
  <c r="AC8" i="18"/>
  <c r="AU8" i="18" s="1"/>
  <c r="Q12" i="18"/>
  <c r="H13" i="18"/>
  <c r="AE12" i="18"/>
  <c r="AF12" i="18" s="1"/>
  <c r="AL12" i="18"/>
  <c r="J12" i="18"/>
  <c r="K12" i="18" s="1"/>
  <c r="I13" i="18"/>
  <c r="AZ8" i="15"/>
  <c r="AM13" i="17"/>
  <c r="P13" i="17"/>
  <c r="AE12" i="17"/>
  <c r="AF12" i="17" s="1"/>
  <c r="J12" i="17"/>
  <c r="K12" i="17" s="1"/>
  <c r="AL12" i="17"/>
  <c r="H13" i="17"/>
  <c r="I13" i="17" s="1"/>
  <c r="AI8" i="17"/>
  <c r="AW8" i="17" s="1"/>
  <c r="AZ8" i="17"/>
  <c r="AY7" i="17"/>
  <c r="AC7" i="17"/>
  <c r="AU7" i="17" s="1"/>
  <c r="B14" i="17"/>
  <c r="A15" i="17"/>
  <c r="Y9" i="17"/>
  <c r="AS9" i="17" s="1"/>
  <c r="AX9" i="17"/>
  <c r="P12" i="17"/>
  <c r="Q12" i="17" s="1"/>
  <c r="AM12" i="17"/>
  <c r="M15" i="17"/>
  <c r="S14" i="17"/>
  <c r="Q12" i="15"/>
  <c r="M15" i="15"/>
  <c r="J11" i="15"/>
  <c r="K11" i="15" s="1"/>
  <c r="AL11" i="15"/>
  <c r="AE11" i="15"/>
  <c r="AF11" i="15" s="1"/>
  <c r="I12" i="15"/>
  <c r="H12" i="15"/>
  <c r="B14" i="15"/>
  <c r="A15" i="15"/>
  <c r="AM13" i="15"/>
  <c r="P13" i="15"/>
  <c r="Q13" i="15" s="1"/>
  <c r="Y8" i="13"/>
  <c r="AS8" i="13" s="1"/>
  <c r="AM12" i="13"/>
  <c r="Q12" i="13"/>
  <c r="AZ7" i="13"/>
  <c r="AC7" i="13"/>
  <c r="AU7" i="13" s="1"/>
  <c r="Y12" i="8"/>
  <c r="AA12" i="8" s="1"/>
  <c r="AM12" i="8" s="1"/>
  <c r="S10" i="11"/>
  <c r="M14" i="13"/>
  <c r="S13" i="13" s="1"/>
  <c r="P13" i="13" s="1"/>
  <c r="J13" i="13"/>
  <c r="K13" i="13" s="1"/>
  <c r="I14" i="13"/>
  <c r="AE13" i="13"/>
  <c r="AF13" i="13" s="1"/>
  <c r="H14" i="13"/>
  <c r="AL13" i="13"/>
  <c r="A20" i="13"/>
  <c r="B19" i="13"/>
  <c r="Y11" i="11"/>
  <c r="AA11" i="11" s="1"/>
  <c r="AM11" i="11" s="1"/>
  <c r="N14" i="11"/>
  <c r="Q12" i="11"/>
  <c r="AE12" i="11" s="1"/>
  <c r="C16" i="11"/>
  <c r="B17" i="11"/>
  <c r="K13" i="11"/>
  <c r="L13" i="11" s="1"/>
  <c r="I14" i="11"/>
  <c r="J14" i="11" s="1"/>
  <c r="AD13" i="11"/>
  <c r="W13" i="11"/>
  <c r="X13" i="11" s="1"/>
  <c r="B16" i="8"/>
  <c r="C15" i="8"/>
  <c r="K12" i="8"/>
  <c r="L12" i="8" s="1"/>
  <c r="AD12" i="8"/>
  <c r="I13" i="8"/>
  <c r="J13" i="8" s="1"/>
  <c r="W13" i="8" s="1"/>
  <c r="X13" i="8" s="1"/>
  <c r="N15" i="8"/>
  <c r="Q14" i="8" s="1"/>
  <c r="AE14" i="8" s="1"/>
  <c r="AM16" i="19" l="1"/>
  <c r="P16" i="19"/>
  <c r="Q16" i="19" s="1"/>
  <c r="B18" i="19"/>
  <c r="A19" i="19"/>
  <c r="AI10" i="19"/>
  <c r="AW10" i="19" s="1"/>
  <c r="AZ10" i="19"/>
  <c r="AA9" i="18"/>
  <c r="AA10" i="18" s="1"/>
  <c r="W11" i="19"/>
  <c r="AA10" i="19"/>
  <c r="M18" i="19"/>
  <c r="S17" i="19"/>
  <c r="AL14" i="19"/>
  <c r="I15" i="19"/>
  <c r="J14" i="19"/>
  <c r="K14" i="19" s="1"/>
  <c r="H15" i="19"/>
  <c r="AE14" i="19"/>
  <c r="AF14" i="19" s="1"/>
  <c r="AG9" i="15"/>
  <c r="W9" i="15"/>
  <c r="P14" i="18"/>
  <c r="Q14" i="18" s="1"/>
  <c r="AM14" i="18"/>
  <c r="W11" i="18"/>
  <c r="AL13" i="18"/>
  <c r="H14" i="18"/>
  <c r="J13" i="18"/>
  <c r="K13" i="18" s="1"/>
  <c r="AE13" i="18"/>
  <c r="AF13" i="18" s="1"/>
  <c r="I14" i="18"/>
  <c r="M16" i="18"/>
  <c r="S15" i="18" s="1"/>
  <c r="A16" i="18"/>
  <c r="B15" i="18"/>
  <c r="AZ10" i="18"/>
  <c r="AI10" i="18"/>
  <c r="AW10" i="18" s="1"/>
  <c r="AY9" i="18"/>
  <c r="AC9" i="18"/>
  <c r="AU9" i="18" s="1"/>
  <c r="AC7" i="15"/>
  <c r="AU7" i="15" s="1"/>
  <c r="AY7" i="15"/>
  <c r="AG9" i="17"/>
  <c r="AZ9" i="17" s="1"/>
  <c r="AA8" i="17"/>
  <c r="W10" i="17"/>
  <c r="AL13" i="17"/>
  <c r="AE13" i="17"/>
  <c r="AF13" i="17" s="1"/>
  <c r="J13" i="17"/>
  <c r="K13" i="17" s="1"/>
  <c r="H14" i="17"/>
  <c r="I14" i="17" s="1"/>
  <c r="Q13" i="17"/>
  <c r="AM14" i="17"/>
  <c r="P14" i="17"/>
  <c r="Q14" i="17" s="1"/>
  <c r="M16" i="17"/>
  <c r="A16" i="17"/>
  <c r="B15" i="17"/>
  <c r="W9" i="13"/>
  <c r="AX9" i="13" s="1"/>
  <c r="M16" i="15"/>
  <c r="S15" i="15" s="1"/>
  <c r="S14" i="15"/>
  <c r="B15" i="15"/>
  <c r="A16" i="15"/>
  <c r="I13" i="15"/>
  <c r="H13" i="15"/>
  <c r="J12" i="15"/>
  <c r="K12" i="15" s="1"/>
  <c r="AE12" i="15"/>
  <c r="AF12" i="15" s="1"/>
  <c r="AL12" i="15"/>
  <c r="AM13" i="13"/>
  <c r="Q13" i="13"/>
  <c r="AW7" i="13"/>
  <c r="AG8" i="13"/>
  <c r="AI8" i="13" s="1"/>
  <c r="AA8" i="13"/>
  <c r="AY8" i="13" s="1"/>
  <c r="Y13" i="8"/>
  <c r="AA13" i="8" s="1"/>
  <c r="AM13" i="8" s="1"/>
  <c r="A21" i="13"/>
  <c r="B20" i="13"/>
  <c r="U10" i="11"/>
  <c r="AK10" i="11" s="1"/>
  <c r="M15" i="13"/>
  <c r="I15" i="13"/>
  <c r="AL14" i="13"/>
  <c r="H15" i="13"/>
  <c r="AE14" i="13"/>
  <c r="AF14" i="13" s="1"/>
  <c r="J14" i="13"/>
  <c r="K14" i="13" s="1"/>
  <c r="Y12" i="11"/>
  <c r="AA12" i="11" s="1"/>
  <c r="AM12" i="11" s="1"/>
  <c r="B18" i="11"/>
  <c r="C17" i="11"/>
  <c r="N15" i="11"/>
  <c r="Q14" i="11" s="1"/>
  <c r="AE14" i="11" s="1"/>
  <c r="W14" i="11"/>
  <c r="X14" i="11" s="1"/>
  <c r="K14" i="11"/>
  <c r="L14" i="11" s="1"/>
  <c r="AD14" i="11"/>
  <c r="I15" i="11"/>
  <c r="J15" i="11" s="1"/>
  <c r="Q13" i="11"/>
  <c r="AE13" i="11" s="1"/>
  <c r="U9" i="8"/>
  <c r="S10" i="8" s="1"/>
  <c r="AK8" i="8"/>
  <c r="I14" i="8"/>
  <c r="J14" i="8" s="1"/>
  <c r="W14" i="8" s="1"/>
  <c r="X14" i="8" s="1"/>
  <c r="K13" i="8"/>
  <c r="L13" i="8" s="1"/>
  <c r="AD13" i="8"/>
  <c r="N16" i="8"/>
  <c r="Q15" i="8" s="1"/>
  <c r="AE15" i="8" s="1"/>
  <c r="B17" i="8"/>
  <c r="C16" i="8"/>
  <c r="AL15" i="19" l="1"/>
  <c r="J15" i="19"/>
  <c r="K15" i="19" s="1"/>
  <c r="AE15" i="19"/>
  <c r="AF15" i="19" s="1"/>
  <c r="I16" i="19"/>
  <c r="H16" i="19"/>
  <c r="P17" i="19"/>
  <c r="Q17" i="19" s="1"/>
  <c r="AM17" i="19"/>
  <c r="AG11" i="19"/>
  <c r="M19" i="19"/>
  <c r="A20" i="19"/>
  <c r="B19" i="19"/>
  <c r="AG11" i="18"/>
  <c r="AI11" i="18" s="1"/>
  <c r="AW11" i="18" s="1"/>
  <c r="AY10" i="19"/>
  <c r="AA11" i="19"/>
  <c r="AC10" i="19"/>
  <c r="AU10" i="19" s="1"/>
  <c r="Y11" i="19"/>
  <c r="AS11" i="19" s="1"/>
  <c r="AX11" i="19"/>
  <c r="AI9" i="15"/>
  <c r="AZ9" i="15"/>
  <c r="Y9" i="15"/>
  <c r="AS9" i="15" s="1"/>
  <c r="AX9" i="15"/>
  <c r="AM15" i="18"/>
  <c r="P15" i="18"/>
  <c r="Q15" i="18" s="1"/>
  <c r="AA8" i="15"/>
  <c r="I15" i="18"/>
  <c r="AE14" i="18"/>
  <c r="AF14" i="18" s="1"/>
  <c r="H15" i="18"/>
  <c r="AL14" i="18"/>
  <c r="J14" i="18"/>
  <c r="K14" i="18" s="1"/>
  <c r="Y11" i="18"/>
  <c r="AS11" i="18" s="1"/>
  <c r="AX11" i="18"/>
  <c r="W12" i="18"/>
  <c r="B16" i="18"/>
  <c r="A17" i="18"/>
  <c r="AA11" i="18"/>
  <c r="AY10" i="18"/>
  <c r="AC10" i="18"/>
  <c r="AU10" i="18" s="1"/>
  <c r="M17" i="18"/>
  <c r="S16" i="18"/>
  <c r="Y9" i="13"/>
  <c r="AS9" i="13" s="1"/>
  <c r="AI9" i="17"/>
  <c r="AW9" i="17" s="1"/>
  <c r="AX10" i="17"/>
  <c r="Y10" i="17"/>
  <c r="AS10" i="17" s="1"/>
  <c r="B16" i="17"/>
  <c r="A17" i="17"/>
  <c r="AL14" i="17"/>
  <c r="AE14" i="17"/>
  <c r="AF14" i="17" s="1"/>
  <c r="J14" i="17"/>
  <c r="K14" i="17" s="1"/>
  <c r="H15" i="17"/>
  <c r="I15" i="17" s="1"/>
  <c r="M17" i="17"/>
  <c r="S16" i="17"/>
  <c r="S15" i="17"/>
  <c r="AY8" i="17"/>
  <c r="AC8" i="17"/>
  <c r="AU8" i="17" s="1"/>
  <c r="P15" i="15"/>
  <c r="AM15" i="15"/>
  <c r="A17" i="15"/>
  <c r="B16" i="15"/>
  <c r="P14" i="15"/>
  <c r="Q14" i="15" s="1"/>
  <c r="AM14" i="15"/>
  <c r="I14" i="15"/>
  <c r="J13" i="15"/>
  <c r="K13" i="15" s="1"/>
  <c r="AE13" i="15"/>
  <c r="AF13" i="15" s="1"/>
  <c r="H14" i="15"/>
  <c r="AL13" i="15"/>
  <c r="M17" i="15"/>
  <c r="S16" i="15" s="1"/>
  <c r="AC8" i="13"/>
  <c r="AU8" i="13" s="1"/>
  <c r="AZ8" i="13"/>
  <c r="M16" i="13"/>
  <c r="S11" i="11"/>
  <c r="H16" i="13"/>
  <c r="AE15" i="13"/>
  <c r="AF15" i="13" s="1"/>
  <c r="I16" i="13"/>
  <c r="J15" i="13"/>
  <c r="K15" i="13" s="1"/>
  <c r="AL15" i="13"/>
  <c r="B21" i="13"/>
  <c r="A22" i="13"/>
  <c r="Y14" i="8"/>
  <c r="AA14" i="8" s="1"/>
  <c r="AM14" i="8" s="1"/>
  <c r="S14" i="13"/>
  <c r="P14" i="13" s="1"/>
  <c r="Y13" i="11"/>
  <c r="AA13" i="11" s="1"/>
  <c r="AM13" i="11" s="1"/>
  <c r="Q15" i="11"/>
  <c r="AE15" i="11" s="1"/>
  <c r="N16" i="11"/>
  <c r="B19" i="11"/>
  <c r="C18" i="11"/>
  <c r="I16" i="11"/>
  <c r="J16" i="11" s="1"/>
  <c r="K15" i="11"/>
  <c r="L15" i="11" s="1"/>
  <c r="AD15" i="11"/>
  <c r="W15" i="11"/>
  <c r="X15" i="11" s="1"/>
  <c r="AK9" i="8"/>
  <c r="I15" i="8"/>
  <c r="J15" i="8" s="1"/>
  <c r="W15" i="8" s="1"/>
  <c r="X15" i="8" s="1"/>
  <c r="K14" i="8"/>
  <c r="L14" i="8" s="1"/>
  <c r="AD14" i="8"/>
  <c r="B18" i="8"/>
  <c r="C17" i="8"/>
  <c r="N17" i="8"/>
  <c r="Q16" i="8" s="1"/>
  <c r="AE16" i="8" s="1"/>
  <c r="W10" i="13" l="1"/>
  <c r="Y10" i="13" s="1"/>
  <c r="AS10" i="13" s="1"/>
  <c r="AY11" i="19"/>
  <c r="AC11" i="19"/>
  <c r="AU11" i="19" s="1"/>
  <c r="H17" i="19"/>
  <c r="I17" i="19" s="1"/>
  <c r="AL16" i="19"/>
  <c r="J16" i="19"/>
  <c r="K16" i="19" s="1"/>
  <c r="AE16" i="19"/>
  <c r="AF16" i="19" s="1"/>
  <c r="AZ11" i="18"/>
  <c r="A21" i="19"/>
  <c r="B20" i="19"/>
  <c r="M20" i="19"/>
  <c r="W12" i="19"/>
  <c r="S18" i="19"/>
  <c r="AI11" i="19"/>
  <c r="AW11" i="19" s="1"/>
  <c r="AZ11" i="19"/>
  <c r="AW9" i="15"/>
  <c r="AG10" i="15"/>
  <c r="W10" i="15"/>
  <c r="M18" i="18"/>
  <c r="S17" i="18" s="1"/>
  <c r="A18" i="18"/>
  <c r="B17" i="18"/>
  <c r="J15" i="18"/>
  <c r="K15" i="18" s="1"/>
  <c r="AL15" i="18"/>
  <c r="AE15" i="18"/>
  <c r="AF15" i="18" s="1"/>
  <c r="I16" i="18"/>
  <c r="H16" i="18"/>
  <c r="AY8" i="15"/>
  <c r="AC8" i="15"/>
  <c r="AU8" i="15" s="1"/>
  <c r="AX12" i="18"/>
  <c r="Y12" i="18"/>
  <c r="AS12" i="18" s="1"/>
  <c r="AM16" i="18"/>
  <c r="P16" i="18"/>
  <c r="Q16" i="18" s="1"/>
  <c r="AG12" i="18"/>
  <c r="AY11" i="18"/>
  <c r="AC11" i="18"/>
  <c r="AU11" i="18" s="1"/>
  <c r="AG10" i="17"/>
  <c r="AI10" i="17" s="1"/>
  <c r="AW10" i="17" s="1"/>
  <c r="AA9" i="17"/>
  <c r="AC9" i="17" s="1"/>
  <c r="M18" i="17"/>
  <c r="P16" i="17"/>
  <c r="AM16" i="17"/>
  <c r="J15" i="17"/>
  <c r="K15" i="17" s="1"/>
  <c r="AL15" i="17"/>
  <c r="H16" i="17"/>
  <c r="I16" i="17" s="1"/>
  <c r="AE15" i="17"/>
  <c r="AF15" i="17" s="1"/>
  <c r="W11" i="17"/>
  <c r="AM15" i="17"/>
  <c r="P15" i="17"/>
  <c r="Q15" i="17" s="1"/>
  <c r="B17" i="17"/>
  <c r="A18" i="17"/>
  <c r="A18" i="15"/>
  <c r="B17" i="15"/>
  <c r="I15" i="15"/>
  <c r="J14" i="15"/>
  <c r="K14" i="15" s="1"/>
  <c r="H15" i="15"/>
  <c r="AL14" i="15"/>
  <c r="AE14" i="15"/>
  <c r="AF14" i="15" s="1"/>
  <c r="P16" i="15"/>
  <c r="Q16" i="15" s="1"/>
  <c r="AM16" i="15"/>
  <c r="M18" i="15"/>
  <c r="S17" i="15"/>
  <c r="Q15" i="15"/>
  <c r="AA9" i="13"/>
  <c r="AY9" i="13" s="1"/>
  <c r="AM14" i="13"/>
  <c r="Q14" i="13"/>
  <c r="AW8" i="13"/>
  <c r="AG9" i="13"/>
  <c r="AI9" i="13" s="1"/>
  <c r="AE16" i="13"/>
  <c r="AF16" i="13" s="1"/>
  <c r="J16" i="13"/>
  <c r="K16" i="13" s="1"/>
  <c r="AL16" i="13"/>
  <c r="H17" i="13"/>
  <c r="Y15" i="8"/>
  <c r="AA15" i="8" s="1"/>
  <c r="AM15" i="8" s="1"/>
  <c r="M17" i="13"/>
  <c r="S16" i="13" s="1"/>
  <c r="P16" i="13" s="1"/>
  <c r="B22" i="13"/>
  <c r="A23" i="13"/>
  <c r="U11" i="11"/>
  <c r="AK11" i="11" s="1"/>
  <c r="S15" i="13"/>
  <c r="P15" i="13" s="1"/>
  <c r="AD16" i="11"/>
  <c r="I17" i="11"/>
  <c r="J17" i="11" s="1"/>
  <c r="W16" i="11"/>
  <c r="X16" i="11" s="1"/>
  <c r="K16" i="11"/>
  <c r="L16" i="11" s="1"/>
  <c r="B20" i="11"/>
  <c r="C19" i="11"/>
  <c r="Y14" i="11"/>
  <c r="N17" i="11"/>
  <c r="Q16" i="11"/>
  <c r="AE16" i="11" s="1"/>
  <c r="U10" i="8"/>
  <c r="S11" i="8" s="1"/>
  <c r="I16" i="8"/>
  <c r="J16" i="8" s="1"/>
  <c r="W16" i="8" s="1"/>
  <c r="X16" i="8" s="1"/>
  <c r="AD15" i="8"/>
  <c r="K15" i="8"/>
  <c r="L15" i="8" s="1"/>
  <c r="N18" i="8"/>
  <c r="Q17" i="8" s="1"/>
  <c r="AE17" i="8" s="1"/>
  <c r="C18" i="8"/>
  <c r="B19" i="8"/>
  <c r="W11" i="13" l="1"/>
  <c r="AX11" i="13" s="1"/>
  <c r="AX10" i="13"/>
  <c r="AL17" i="19"/>
  <c r="J17" i="19"/>
  <c r="K17" i="19" s="1"/>
  <c r="AE17" i="19"/>
  <c r="AF17" i="19" s="1"/>
  <c r="H18" i="19"/>
  <c r="I18" i="19" s="1"/>
  <c r="AX12" i="19"/>
  <c r="Y12" i="19"/>
  <c r="AS12" i="19" s="1"/>
  <c r="W13" i="19"/>
  <c r="M21" i="19"/>
  <c r="S20" i="19" s="1"/>
  <c r="AM18" i="19"/>
  <c r="P18" i="19"/>
  <c r="Q18" i="19" s="1"/>
  <c r="S19" i="19"/>
  <c r="B21" i="19"/>
  <c r="A22" i="19"/>
  <c r="AA12" i="19"/>
  <c r="AA9" i="15"/>
  <c r="AY9" i="15" s="1"/>
  <c r="AG12" i="19"/>
  <c r="AI10" i="15"/>
  <c r="AW10" i="15" s="1"/>
  <c r="AZ10" i="15"/>
  <c r="AX10" i="15"/>
  <c r="Y10" i="15"/>
  <c r="AS10" i="15" s="1"/>
  <c r="AM17" i="18"/>
  <c r="P17" i="18"/>
  <c r="Q17" i="18" s="1"/>
  <c r="W13" i="18"/>
  <c r="AL16" i="18"/>
  <c r="J16" i="18"/>
  <c r="K16" i="18" s="1"/>
  <c r="H17" i="18"/>
  <c r="I17" i="18" s="1"/>
  <c r="AE16" i="18"/>
  <c r="AF16" i="18" s="1"/>
  <c r="AA12" i="18"/>
  <c r="AC9" i="15"/>
  <c r="AU9" i="15" s="1"/>
  <c r="AZ12" i="18"/>
  <c r="AI12" i="18"/>
  <c r="AW12" i="18" s="1"/>
  <c r="A19" i="18"/>
  <c r="B18" i="18"/>
  <c r="M19" i="18"/>
  <c r="S18" i="18"/>
  <c r="AY9" i="17"/>
  <c r="AZ10" i="17"/>
  <c r="AU9" i="17"/>
  <c r="AA10" i="17"/>
  <c r="AY10" i="17" s="1"/>
  <c r="Q16" i="17"/>
  <c r="AG11" i="17"/>
  <c r="A19" i="17"/>
  <c r="B18" i="17"/>
  <c r="Y11" i="17"/>
  <c r="AS11" i="17" s="1"/>
  <c r="AX11" i="17"/>
  <c r="AL16" i="17"/>
  <c r="J16" i="17"/>
  <c r="K16" i="17" s="1"/>
  <c r="AE16" i="17"/>
  <c r="AF16" i="17" s="1"/>
  <c r="H17" i="17"/>
  <c r="I17" i="17" s="1"/>
  <c r="M19" i="17"/>
  <c r="S18" i="17" s="1"/>
  <c r="S17" i="17"/>
  <c r="AM17" i="15"/>
  <c r="P17" i="15"/>
  <c r="Q17" i="15" s="1"/>
  <c r="B18" i="15"/>
  <c r="A19" i="15"/>
  <c r="M19" i="15"/>
  <c r="S18" i="15" s="1"/>
  <c r="H16" i="15"/>
  <c r="AE15" i="15"/>
  <c r="AF15" i="15" s="1"/>
  <c r="AL15" i="15"/>
  <c r="I16" i="15"/>
  <c r="J15" i="15"/>
  <c r="K15" i="15" s="1"/>
  <c r="AC9" i="13"/>
  <c r="AU9" i="13" s="1"/>
  <c r="AM16" i="13"/>
  <c r="AM15" i="13"/>
  <c r="Q15" i="13"/>
  <c r="AG10" i="13"/>
  <c r="AI10" i="13" s="1"/>
  <c r="AZ9" i="13"/>
  <c r="AW9" i="13"/>
  <c r="I17" i="13"/>
  <c r="J17" i="13" s="1"/>
  <c r="K17" i="13" s="1"/>
  <c r="Y16" i="8"/>
  <c r="AA16" i="8" s="1"/>
  <c r="AM16" i="8" s="1"/>
  <c r="S12" i="11"/>
  <c r="U12" i="11" s="1"/>
  <c r="AK12" i="11" s="1"/>
  <c r="M18" i="13"/>
  <c r="S17" i="13" s="1"/>
  <c r="P17" i="13" s="1"/>
  <c r="B23" i="13"/>
  <c r="A24" i="13"/>
  <c r="W17" i="11"/>
  <c r="X17" i="11" s="1"/>
  <c r="K17" i="11"/>
  <c r="L17" i="11" s="1"/>
  <c r="I18" i="11"/>
  <c r="J18" i="11" s="1"/>
  <c r="AD17" i="11"/>
  <c r="B21" i="11"/>
  <c r="C20" i="11"/>
  <c r="N18" i="11"/>
  <c r="Q17" i="11" s="1"/>
  <c r="AE17" i="11" s="1"/>
  <c r="AA14" i="11"/>
  <c r="AM14" i="11" s="1"/>
  <c r="AK10" i="8"/>
  <c r="K16" i="8"/>
  <c r="L16" i="8" s="1"/>
  <c r="I17" i="8"/>
  <c r="J17" i="8" s="1"/>
  <c r="W17" i="8" s="1"/>
  <c r="X17" i="8" s="1"/>
  <c r="AD16" i="8"/>
  <c r="N19" i="8"/>
  <c r="Q18" i="8"/>
  <c r="AE18" i="8" s="1"/>
  <c r="C19" i="8"/>
  <c r="B20" i="8"/>
  <c r="Y11" i="13" l="1"/>
  <c r="AS11" i="13" s="1"/>
  <c r="I19" i="19"/>
  <c r="J18" i="19"/>
  <c r="K18" i="19" s="1"/>
  <c r="H19" i="19"/>
  <c r="AL18" i="19"/>
  <c r="AE18" i="19"/>
  <c r="AF18" i="19" s="1"/>
  <c r="A23" i="19"/>
  <c r="B22" i="19"/>
  <c r="P19" i="19"/>
  <c r="Q19" i="19" s="1"/>
  <c r="AM19" i="19"/>
  <c r="AG13" i="19"/>
  <c r="AI12" i="19"/>
  <c r="AW12" i="19" s="1"/>
  <c r="AZ12" i="19"/>
  <c r="P20" i="19"/>
  <c r="AM20" i="19"/>
  <c r="M22" i="19"/>
  <c r="S21" i="19" s="1"/>
  <c r="W14" i="19"/>
  <c r="AX13" i="19"/>
  <c r="Y13" i="19"/>
  <c r="AS13" i="19" s="1"/>
  <c r="AY12" i="19"/>
  <c r="AC12" i="19"/>
  <c r="AU12" i="19" s="1"/>
  <c r="AG11" i="15"/>
  <c r="W11" i="15"/>
  <c r="Y11" i="15" s="1"/>
  <c r="H18" i="18"/>
  <c r="I18" i="18" s="1"/>
  <c r="AL17" i="18"/>
  <c r="AE17" i="18"/>
  <c r="AF17" i="18" s="1"/>
  <c r="J17" i="18"/>
  <c r="K17" i="18" s="1"/>
  <c r="AG13" i="18"/>
  <c r="AC10" i="17"/>
  <c r="AU10" i="17" s="1"/>
  <c r="AA10" i="15"/>
  <c r="S19" i="18"/>
  <c r="M20" i="18"/>
  <c r="Y13" i="18"/>
  <c r="AS13" i="18" s="1"/>
  <c r="AX13" i="18"/>
  <c r="W14" i="18"/>
  <c r="P18" i="18"/>
  <c r="Q18" i="18" s="1"/>
  <c r="AM18" i="18"/>
  <c r="B19" i="18"/>
  <c r="A20" i="18"/>
  <c r="AY12" i="18"/>
  <c r="AC12" i="18"/>
  <c r="AU12" i="18" s="1"/>
  <c r="AM17" i="17"/>
  <c r="P17" i="17"/>
  <c r="Q17" i="17" s="1"/>
  <c r="A20" i="17"/>
  <c r="B19" i="17"/>
  <c r="W12" i="17"/>
  <c r="M20" i="17"/>
  <c r="S19" i="17"/>
  <c r="AZ11" i="17"/>
  <c r="AI11" i="17"/>
  <c r="AW11" i="17" s="1"/>
  <c r="J17" i="17"/>
  <c r="K17" i="17" s="1"/>
  <c r="H18" i="17"/>
  <c r="I18" i="17" s="1"/>
  <c r="AL17" i="17"/>
  <c r="AE17" i="17"/>
  <c r="AF17" i="17" s="1"/>
  <c r="P18" i="17"/>
  <c r="AM18" i="17"/>
  <c r="M20" i="15"/>
  <c r="S19" i="15" s="1"/>
  <c r="AM18" i="15"/>
  <c r="P18" i="15"/>
  <c r="Q18" i="15" s="1"/>
  <c r="AL16" i="15"/>
  <c r="AE16" i="15"/>
  <c r="AF16" i="15" s="1"/>
  <c r="J16" i="15"/>
  <c r="K16" i="15" s="1"/>
  <c r="H17" i="15"/>
  <c r="I17" i="15" s="1"/>
  <c r="A20" i="15"/>
  <c r="B19" i="15"/>
  <c r="AA10" i="13"/>
  <c r="AY10" i="13" s="1"/>
  <c r="Y17" i="8"/>
  <c r="AA17" i="8" s="1"/>
  <c r="AM17" i="8" s="1"/>
  <c r="Q16" i="13"/>
  <c r="AM17" i="13"/>
  <c r="Q17" i="13"/>
  <c r="AZ10" i="13"/>
  <c r="H18" i="13"/>
  <c r="AL17" i="13"/>
  <c r="AE17" i="13"/>
  <c r="AF17" i="13" s="1"/>
  <c r="S13" i="11"/>
  <c r="U13" i="11" s="1"/>
  <c r="AK13" i="11" s="1"/>
  <c r="A25" i="13"/>
  <c r="B24" i="13"/>
  <c r="M19" i="13"/>
  <c r="S18" i="13" s="1"/>
  <c r="P18" i="13" s="1"/>
  <c r="Y15" i="11"/>
  <c r="AA15" i="11" s="1"/>
  <c r="AM15" i="11" s="1"/>
  <c r="AD18" i="11"/>
  <c r="I19" i="11"/>
  <c r="J19" i="11" s="1"/>
  <c r="W18" i="11"/>
  <c r="X18" i="11" s="1"/>
  <c r="K18" i="11"/>
  <c r="L18" i="11" s="1"/>
  <c r="B22" i="11"/>
  <c r="C21" i="11"/>
  <c r="N19" i="11"/>
  <c r="Q18" i="11" s="1"/>
  <c r="AE18" i="11" s="1"/>
  <c r="U11" i="8"/>
  <c r="S12" i="8" s="1"/>
  <c r="AD17" i="8"/>
  <c r="K17" i="8"/>
  <c r="L17" i="8" s="1"/>
  <c r="I18" i="8"/>
  <c r="J18" i="8" s="1"/>
  <c r="W18" i="8" s="1"/>
  <c r="X18" i="8" s="1"/>
  <c r="N20" i="8"/>
  <c r="Q19" i="8" s="1"/>
  <c r="AE19" i="8" s="1"/>
  <c r="B21" i="8"/>
  <c r="C20" i="8"/>
  <c r="W12" i="13" l="1"/>
  <c r="Y12" i="13" s="1"/>
  <c r="AS12" i="13" s="1"/>
  <c r="Q20" i="19"/>
  <c r="M23" i="19"/>
  <c r="S22" i="19" s="1"/>
  <c r="AA11" i="17"/>
  <c r="AY11" i="17" s="1"/>
  <c r="AA13" i="19"/>
  <c r="B23" i="19"/>
  <c r="A24" i="19"/>
  <c r="P21" i="19"/>
  <c r="Q21" i="19" s="1"/>
  <c r="AM21" i="19"/>
  <c r="AX14" i="19"/>
  <c r="Y14" i="19"/>
  <c r="AS14" i="19" s="1"/>
  <c r="AZ13" i="19"/>
  <c r="AI13" i="19"/>
  <c r="AW13" i="19" s="1"/>
  <c r="H20" i="19"/>
  <c r="AE19" i="19"/>
  <c r="AF19" i="19" s="1"/>
  <c r="I20" i="19"/>
  <c r="AL19" i="19"/>
  <c r="J19" i="19"/>
  <c r="K19" i="19" s="1"/>
  <c r="AX11" i="15"/>
  <c r="AS11" i="15"/>
  <c r="W12" i="15"/>
  <c r="AX12" i="15" s="1"/>
  <c r="AI11" i="15"/>
  <c r="AW11" i="15" s="1"/>
  <c r="AZ11" i="15"/>
  <c r="AL18" i="18"/>
  <c r="J18" i="18"/>
  <c r="K18" i="18" s="1"/>
  <c r="AE18" i="18"/>
  <c r="AF18" i="18" s="1"/>
  <c r="H19" i="18"/>
  <c r="I19" i="18" s="1"/>
  <c r="AM19" i="18"/>
  <c r="P19" i="18"/>
  <c r="Q19" i="18" s="1"/>
  <c r="A21" i="18"/>
  <c r="B20" i="18"/>
  <c r="AX14" i="18"/>
  <c r="Y14" i="18"/>
  <c r="AS14" i="18" s="1"/>
  <c r="AI13" i="18"/>
  <c r="AW13" i="18" s="1"/>
  <c r="AZ13" i="18"/>
  <c r="Q18" i="17"/>
  <c r="AC10" i="15"/>
  <c r="AU10" i="15" s="1"/>
  <c r="AY10" i="15"/>
  <c r="AA13" i="18"/>
  <c r="M21" i="18"/>
  <c r="S20" i="18" s="1"/>
  <c r="H19" i="17"/>
  <c r="I19" i="17" s="1"/>
  <c r="AE18" i="17"/>
  <c r="AF18" i="17" s="1"/>
  <c r="AL18" i="17"/>
  <c r="J18" i="17"/>
  <c r="K18" i="17" s="1"/>
  <c r="P19" i="17"/>
  <c r="Q19" i="17" s="1"/>
  <c r="AM19" i="17"/>
  <c r="B20" i="17"/>
  <c r="A21" i="17"/>
  <c r="M21" i="17"/>
  <c r="AG12" i="17"/>
  <c r="AX12" i="17"/>
  <c r="Y12" i="17"/>
  <c r="AS12" i="17" s="1"/>
  <c r="AL17" i="15"/>
  <c r="H18" i="15"/>
  <c r="I18" i="15" s="1"/>
  <c r="AE17" i="15"/>
  <c r="AF17" i="15" s="1"/>
  <c r="J17" i="15"/>
  <c r="K17" i="15" s="1"/>
  <c r="AM19" i="15"/>
  <c r="P19" i="15"/>
  <c r="Q19" i="15" s="1"/>
  <c r="A21" i="15"/>
  <c r="B20" i="15"/>
  <c r="M21" i="15"/>
  <c r="S20" i="15" s="1"/>
  <c r="AC10" i="13"/>
  <c r="AU10" i="13" s="1"/>
  <c r="Y18" i="8"/>
  <c r="AA18" i="8" s="1"/>
  <c r="AM18" i="8" s="1"/>
  <c r="AM18" i="13"/>
  <c r="Q18" i="13"/>
  <c r="AW10" i="13"/>
  <c r="AG11" i="13"/>
  <c r="AI11" i="13" s="1"/>
  <c r="I18" i="13"/>
  <c r="A26" i="13"/>
  <c r="B25" i="13"/>
  <c r="S14" i="11"/>
  <c r="M20" i="13"/>
  <c r="S19" i="13" s="1"/>
  <c r="P19" i="13" s="1"/>
  <c r="AD19" i="11"/>
  <c r="W19" i="11"/>
  <c r="X19" i="11" s="1"/>
  <c r="I20" i="11"/>
  <c r="J20" i="11" s="1"/>
  <c r="K19" i="11"/>
  <c r="L19" i="11" s="1"/>
  <c r="C22" i="11"/>
  <c r="B23" i="11"/>
  <c r="N20" i="11"/>
  <c r="Y16" i="11"/>
  <c r="AK11" i="8"/>
  <c r="U12" i="8"/>
  <c r="AK12" i="8" s="1"/>
  <c r="AD18" i="8"/>
  <c r="I19" i="8"/>
  <c r="J19" i="8" s="1"/>
  <c r="W19" i="8" s="1"/>
  <c r="X19" i="8" s="1"/>
  <c r="K18" i="8"/>
  <c r="L18" i="8" s="1"/>
  <c r="N21" i="8"/>
  <c r="Q20" i="8" s="1"/>
  <c r="AE20" i="8" s="1"/>
  <c r="C21" i="8"/>
  <c r="B22" i="8"/>
  <c r="W13" i="13" l="1"/>
  <c r="Y13" i="13" s="1"/>
  <c r="AS13" i="13" s="1"/>
  <c r="AX12" i="13"/>
  <c r="A25" i="19"/>
  <c r="B24" i="19"/>
  <c r="AC11" i="17"/>
  <c r="AU11" i="17" s="1"/>
  <c r="AG14" i="19"/>
  <c r="AY13" i="19"/>
  <c r="AC13" i="19"/>
  <c r="AU13" i="19" s="1"/>
  <c r="AL20" i="19"/>
  <c r="J20" i="19"/>
  <c r="K20" i="19" s="1"/>
  <c r="AE20" i="19"/>
  <c r="AF20" i="19" s="1"/>
  <c r="I21" i="19"/>
  <c r="H21" i="19"/>
  <c r="AM22" i="19"/>
  <c r="P22" i="19"/>
  <c r="Q22" i="19" s="1"/>
  <c r="W15" i="19"/>
  <c r="M24" i="19"/>
  <c r="S23" i="19"/>
  <c r="Y12" i="15"/>
  <c r="AS12" i="15" s="1"/>
  <c r="AG12" i="15"/>
  <c r="AG14" i="18"/>
  <c r="J19" i="18"/>
  <c r="K19" i="18" s="1"/>
  <c r="H20" i="18"/>
  <c r="I20" i="18" s="1"/>
  <c r="AE19" i="18"/>
  <c r="AF19" i="18" s="1"/>
  <c r="AL19" i="18"/>
  <c r="P20" i="18"/>
  <c r="Q20" i="18" s="1"/>
  <c r="AM20" i="18"/>
  <c r="AZ14" i="18"/>
  <c r="AI14" i="18"/>
  <c r="AW14" i="18" s="1"/>
  <c r="A22" i="18"/>
  <c r="B21" i="18"/>
  <c r="AY13" i="18"/>
  <c r="AC13" i="18"/>
  <c r="AU13" i="18" s="1"/>
  <c r="M22" i="18"/>
  <c r="S21" i="18"/>
  <c r="AA11" i="15"/>
  <c r="W15" i="18"/>
  <c r="Y19" i="8"/>
  <c r="AA19" i="8" s="1"/>
  <c r="AM19" i="8" s="1"/>
  <c r="M22" i="17"/>
  <c r="S21" i="17"/>
  <c r="S20" i="17"/>
  <c r="W13" i="17"/>
  <c r="AL19" i="17"/>
  <c r="J19" i="17"/>
  <c r="K19" i="17" s="1"/>
  <c r="AE19" i="17"/>
  <c r="AF19" i="17" s="1"/>
  <c r="H20" i="17"/>
  <c r="I20" i="17" s="1"/>
  <c r="AI12" i="17"/>
  <c r="AW12" i="17" s="1"/>
  <c r="AZ12" i="17"/>
  <c r="A22" i="17"/>
  <c r="B21" i="17"/>
  <c r="P20" i="15"/>
  <c r="Q20" i="15" s="1"/>
  <c r="AM20" i="15"/>
  <c r="H19" i="15"/>
  <c r="I19" i="15" s="1"/>
  <c r="AL18" i="15"/>
  <c r="AE18" i="15"/>
  <c r="AF18" i="15" s="1"/>
  <c r="J18" i="15"/>
  <c r="K18" i="15" s="1"/>
  <c r="A22" i="15"/>
  <c r="B21" i="15"/>
  <c r="M22" i="15"/>
  <c r="AA11" i="13"/>
  <c r="AY11" i="13" s="1"/>
  <c r="AM19" i="13"/>
  <c r="Q19" i="13"/>
  <c r="AZ11" i="13"/>
  <c r="AE18" i="13"/>
  <c r="AF18" i="13" s="1"/>
  <c r="J18" i="13"/>
  <c r="K18" i="13" s="1"/>
  <c r="AL18" i="13"/>
  <c r="H19" i="13"/>
  <c r="B26" i="13"/>
  <c r="A27" i="13"/>
  <c r="M21" i="13"/>
  <c r="S20" i="13" s="1"/>
  <c r="P20" i="13" s="1"/>
  <c r="U14" i="11"/>
  <c r="AK14" i="11" s="1"/>
  <c r="W20" i="11"/>
  <c r="X20" i="11" s="1"/>
  <c r="I21" i="11"/>
  <c r="J21" i="11" s="1"/>
  <c r="K20" i="11"/>
  <c r="L20" i="11" s="1"/>
  <c r="AD20" i="11"/>
  <c r="AA16" i="11"/>
  <c r="AM16" i="11" s="1"/>
  <c r="N21" i="11"/>
  <c r="Q20" i="11"/>
  <c r="AE20" i="11" s="1"/>
  <c r="Q19" i="11"/>
  <c r="AE19" i="11" s="1"/>
  <c r="B24" i="11"/>
  <c r="C23" i="11"/>
  <c r="S13" i="8"/>
  <c r="I20" i="8"/>
  <c r="J20" i="8" s="1"/>
  <c r="W20" i="8" s="1"/>
  <c r="X20" i="8" s="1"/>
  <c r="AD19" i="8"/>
  <c r="K19" i="8"/>
  <c r="L19" i="8" s="1"/>
  <c r="N22" i="8"/>
  <c r="Q21" i="8" s="1"/>
  <c r="AE21" i="8" s="1"/>
  <c r="B23" i="8"/>
  <c r="C22" i="8"/>
  <c r="AX13" i="13" l="1"/>
  <c r="W14" i="13"/>
  <c r="Y14" i="13" s="1"/>
  <c r="AS14" i="13" s="1"/>
  <c r="AE21" i="19"/>
  <c r="AF21" i="19" s="1"/>
  <c r="H22" i="19"/>
  <c r="I22" i="19" s="1"/>
  <c r="AL21" i="19"/>
  <c r="J21" i="19"/>
  <c r="K21" i="19" s="1"/>
  <c r="Y15" i="19"/>
  <c r="AS15" i="19" s="1"/>
  <c r="W16" i="19"/>
  <c r="AX15" i="19"/>
  <c r="AA14" i="19"/>
  <c r="Y20" i="8"/>
  <c r="AA20" i="8" s="1"/>
  <c r="AM20" i="8" s="1"/>
  <c r="AA12" i="17"/>
  <c r="AY12" i="17" s="1"/>
  <c r="AI14" i="19"/>
  <c r="AW14" i="19" s="1"/>
  <c r="AZ14" i="19"/>
  <c r="AM23" i="19"/>
  <c r="P23" i="19"/>
  <c r="Q23" i="19" s="1"/>
  <c r="M25" i="19"/>
  <c r="S24" i="19" s="1"/>
  <c r="A26" i="19"/>
  <c r="B25" i="19"/>
  <c r="W13" i="15"/>
  <c r="AX13" i="15" s="1"/>
  <c r="AI12" i="15"/>
  <c r="AW12" i="15" s="1"/>
  <c r="AZ12" i="15"/>
  <c r="H21" i="18"/>
  <c r="I21" i="18" s="1"/>
  <c r="AE20" i="18"/>
  <c r="AF20" i="18" s="1"/>
  <c r="J20" i="18"/>
  <c r="K20" i="18" s="1"/>
  <c r="AL20" i="18"/>
  <c r="AG15" i="18"/>
  <c r="AA14" i="18"/>
  <c r="Y15" i="18"/>
  <c r="AS15" i="18" s="1"/>
  <c r="AX15" i="18"/>
  <c r="P21" i="18"/>
  <c r="Q21" i="18" s="1"/>
  <c r="AM21" i="18"/>
  <c r="AC11" i="15"/>
  <c r="AU11" i="15" s="1"/>
  <c r="AY11" i="15"/>
  <c r="B22" i="18"/>
  <c r="A23" i="18"/>
  <c r="M23" i="18"/>
  <c r="S22" i="18" s="1"/>
  <c r="AE20" i="17"/>
  <c r="AF20" i="17" s="1"/>
  <c r="H21" i="17"/>
  <c r="I21" i="17" s="1"/>
  <c r="J20" i="17"/>
  <c r="K20" i="17" s="1"/>
  <c r="AL20" i="17"/>
  <c r="P20" i="17"/>
  <c r="Q20" i="17" s="1"/>
  <c r="AM20" i="17"/>
  <c r="B22" i="17"/>
  <c r="A23" i="17"/>
  <c r="AM21" i="17"/>
  <c r="P21" i="17"/>
  <c r="M23" i="17"/>
  <c r="S22" i="17"/>
  <c r="Y13" i="17"/>
  <c r="AS13" i="17" s="1"/>
  <c r="AX13" i="17"/>
  <c r="AG13" i="17"/>
  <c r="AL19" i="15"/>
  <c r="H20" i="15"/>
  <c r="I20" i="15" s="1"/>
  <c r="AE19" i="15"/>
  <c r="AF19" i="15" s="1"/>
  <c r="J19" i="15"/>
  <c r="K19" i="15" s="1"/>
  <c r="M23" i="15"/>
  <c r="S22" i="15" s="1"/>
  <c r="B22" i="15"/>
  <c r="A23" i="15"/>
  <c r="S21" i="15"/>
  <c r="AC11" i="13"/>
  <c r="AU11" i="13" s="1"/>
  <c r="AM20" i="13"/>
  <c r="Q20" i="13"/>
  <c r="AW11" i="13"/>
  <c r="AG12" i="13"/>
  <c r="AI12" i="13" s="1"/>
  <c r="I19" i="13"/>
  <c r="S15" i="11"/>
  <c r="U15" i="11" s="1"/>
  <c r="AK15" i="11" s="1"/>
  <c r="M22" i="13"/>
  <c r="B27" i="13"/>
  <c r="A28" i="13"/>
  <c r="Y17" i="11"/>
  <c r="AA17" i="11" s="1"/>
  <c r="AM17" i="11" s="1"/>
  <c r="W21" i="11"/>
  <c r="X21" i="11" s="1"/>
  <c r="I22" i="11"/>
  <c r="J22" i="11" s="1"/>
  <c r="K21" i="11"/>
  <c r="L21" i="11" s="1"/>
  <c r="AD21" i="11"/>
  <c r="B25" i="11"/>
  <c r="C24" i="11"/>
  <c r="N22" i="11"/>
  <c r="Q21" i="11"/>
  <c r="AE21" i="11" s="1"/>
  <c r="U13" i="8"/>
  <c r="S14" i="8" s="1"/>
  <c r="I21" i="8"/>
  <c r="J21" i="8" s="1"/>
  <c r="W21" i="8" s="1"/>
  <c r="X21" i="8" s="1"/>
  <c r="Y21" i="8" s="1"/>
  <c r="K20" i="8"/>
  <c r="L20" i="8" s="1"/>
  <c r="AD20" i="8"/>
  <c r="C23" i="8"/>
  <c r="B24" i="8"/>
  <c r="N23" i="8"/>
  <c r="Q22" i="8" s="1"/>
  <c r="AE22" i="8" s="1"/>
  <c r="AX14" i="13" l="1"/>
  <c r="Y13" i="15"/>
  <c r="AS13" i="15" s="1"/>
  <c r="AE22" i="19"/>
  <c r="AF22" i="19" s="1"/>
  <c r="H23" i="19"/>
  <c r="I23" i="19" s="1"/>
  <c r="AL22" i="19"/>
  <c r="J22" i="19"/>
  <c r="K22" i="19" s="1"/>
  <c r="AM24" i="19"/>
  <c r="P24" i="19"/>
  <c r="Q24" i="19" s="1"/>
  <c r="AX16" i="19"/>
  <c r="Y16" i="19"/>
  <c r="AS16" i="19" s="1"/>
  <c r="AG15" i="19"/>
  <c r="AC12" i="17"/>
  <c r="AU12" i="17" s="1"/>
  <c r="B26" i="19"/>
  <c r="A27" i="19"/>
  <c r="M26" i="19"/>
  <c r="AY14" i="19"/>
  <c r="AC14" i="19"/>
  <c r="AU14" i="19" s="1"/>
  <c r="AG13" i="15"/>
  <c r="AI13" i="15" s="1"/>
  <c r="AW13" i="15" s="1"/>
  <c r="AA12" i="15"/>
  <c r="AC12" i="15" s="1"/>
  <c r="AU12" i="15" s="1"/>
  <c r="AZ13" i="15"/>
  <c r="P22" i="18"/>
  <c r="Q22" i="18" s="1"/>
  <c r="AM22" i="18"/>
  <c r="AL21" i="18"/>
  <c r="J21" i="18"/>
  <c r="K21" i="18" s="1"/>
  <c r="H22" i="18"/>
  <c r="I22" i="18" s="1"/>
  <c r="AE21" i="18"/>
  <c r="AF21" i="18" s="1"/>
  <c r="AZ15" i="18"/>
  <c r="AI15" i="18"/>
  <c r="AW15" i="18" s="1"/>
  <c r="AY14" i="18"/>
  <c r="AC14" i="18"/>
  <c r="AU14" i="18" s="1"/>
  <c r="W16" i="18"/>
  <c r="M24" i="18"/>
  <c r="S23" i="18"/>
  <c r="A24" i="18"/>
  <c r="B23" i="18"/>
  <c r="AA13" i="17"/>
  <c r="Q21" i="17"/>
  <c r="W14" i="17"/>
  <c r="AX14" i="17" s="1"/>
  <c r="AE21" i="17"/>
  <c r="AF21" i="17" s="1"/>
  <c r="AL21" i="17"/>
  <c r="H22" i="17"/>
  <c r="I22" i="17" s="1"/>
  <c r="J21" i="17"/>
  <c r="K21" i="17" s="1"/>
  <c r="A24" i="17"/>
  <c r="B23" i="17"/>
  <c r="AM22" i="17"/>
  <c r="P22" i="17"/>
  <c r="Q22" i="17" s="1"/>
  <c r="M24" i="17"/>
  <c r="S23" i="17" s="1"/>
  <c r="AI13" i="17"/>
  <c r="AW13" i="17" s="1"/>
  <c r="AZ13" i="17"/>
  <c r="AM22" i="15"/>
  <c r="P22" i="15"/>
  <c r="AL20" i="15"/>
  <c r="J20" i="15"/>
  <c r="K20" i="15" s="1"/>
  <c r="H21" i="15"/>
  <c r="I21" i="15" s="1"/>
  <c r="AE20" i="15"/>
  <c r="AF20" i="15" s="1"/>
  <c r="A24" i="15"/>
  <c r="B23" i="15"/>
  <c r="AM21" i="15"/>
  <c r="P21" i="15"/>
  <c r="Q21" i="15" s="1"/>
  <c r="M24" i="15"/>
  <c r="S23" i="15" s="1"/>
  <c r="AA12" i="13"/>
  <c r="AC12" i="13" s="1"/>
  <c r="AU12" i="13" s="1"/>
  <c r="W15" i="13"/>
  <c r="AX15" i="13" s="1"/>
  <c r="AZ12" i="13"/>
  <c r="H20" i="13"/>
  <c r="J19" i="13"/>
  <c r="K19" i="13" s="1"/>
  <c r="AL19" i="13"/>
  <c r="AE19" i="13"/>
  <c r="AF19" i="13" s="1"/>
  <c r="M23" i="13"/>
  <c r="S16" i="11"/>
  <c r="A29" i="13"/>
  <c r="B28" i="13"/>
  <c r="S21" i="13"/>
  <c r="P21" i="13" s="1"/>
  <c r="Y18" i="11"/>
  <c r="AA18" i="11" s="1"/>
  <c r="AM18" i="11" s="1"/>
  <c r="AD22" i="11"/>
  <c r="K22" i="11"/>
  <c r="L22" i="11" s="1"/>
  <c r="I23" i="11"/>
  <c r="J23" i="11" s="1"/>
  <c r="W22" i="11"/>
  <c r="X22" i="11" s="1"/>
  <c r="N23" i="11"/>
  <c r="Q22" i="11" s="1"/>
  <c r="AE22" i="11" s="1"/>
  <c r="C25" i="11"/>
  <c r="B26" i="11"/>
  <c r="AA21" i="8"/>
  <c r="AM21" i="8" s="1"/>
  <c r="AK13" i="8"/>
  <c r="I22" i="8"/>
  <c r="J22" i="8" s="1"/>
  <c r="W22" i="8" s="1"/>
  <c r="X22" i="8" s="1"/>
  <c r="AD21" i="8"/>
  <c r="K21" i="8"/>
  <c r="L21" i="8" s="1"/>
  <c r="N24" i="8"/>
  <c r="C24" i="8"/>
  <c r="B25" i="8"/>
  <c r="W14" i="15" l="1"/>
  <c r="W17" i="19"/>
  <c r="AL23" i="19"/>
  <c r="J23" i="19"/>
  <c r="K23" i="19" s="1"/>
  <c r="AE23" i="19"/>
  <c r="AF23" i="19" s="1"/>
  <c r="H24" i="19"/>
  <c r="I24" i="19" s="1"/>
  <c r="AY12" i="15"/>
  <c r="AA15" i="19"/>
  <c r="AI15" i="19"/>
  <c r="AW15" i="19" s="1"/>
  <c r="AZ15" i="19"/>
  <c r="AG16" i="19"/>
  <c r="A28" i="19"/>
  <c r="B27" i="19"/>
  <c r="AX17" i="19"/>
  <c r="Y17" i="19"/>
  <c r="AS17" i="19" s="1"/>
  <c r="M27" i="19"/>
  <c r="S26" i="19" s="1"/>
  <c r="S25" i="19"/>
  <c r="AG14" i="15"/>
  <c r="AE22" i="18"/>
  <c r="AF22" i="18" s="1"/>
  <c r="H23" i="18"/>
  <c r="I23" i="18" s="1"/>
  <c r="AL22" i="18"/>
  <c r="J22" i="18"/>
  <c r="K22" i="18" s="1"/>
  <c r="AA15" i="18"/>
  <c r="B24" i="18"/>
  <c r="A25" i="18"/>
  <c r="AG16" i="18"/>
  <c r="AM23" i="18"/>
  <c r="P23" i="18"/>
  <c r="Q23" i="18" s="1"/>
  <c r="M25" i="18"/>
  <c r="S24" i="18" s="1"/>
  <c r="Y16" i="18"/>
  <c r="AS16" i="18" s="1"/>
  <c r="AX16" i="18"/>
  <c r="W17" i="18"/>
  <c r="AA13" i="15"/>
  <c r="Y14" i="17"/>
  <c r="AS14" i="17" s="1"/>
  <c r="AG14" i="17"/>
  <c r="AZ14" i="17" s="1"/>
  <c r="AC13" i="17"/>
  <c r="AU13" i="17" s="1"/>
  <c r="AY13" i="17"/>
  <c r="M25" i="17"/>
  <c r="S24" i="17"/>
  <c r="AM23" i="17"/>
  <c r="P23" i="17"/>
  <c r="Q23" i="17" s="1"/>
  <c r="AY12" i="13"/>
  <c r="AL22" i="17"/>
  <c r="J22" i="17"/>
  <c r="K22" i="17" s="1"/>
  <c r="AE22" i="17"/>
  <c r="AF22" i="17" s="1"/>
  <c r="H23" i="17"/>
  <c r="I23" i="17" s="1"/>
  <c r="A25" i="17"/>
  <c r="B24" i="17"/>
  <c r="W15" i="17"/>
  <c r="P23" i="15"/>
  <c r="Q23" i="15" s="1"/>
  <c r="AM23" i="15"/>
  <c r="AE21" i="15"/>
  <c r="AF21" i="15" s="1"/>
  <c r="H22" i="15"/>
  <c r="I22" i="15" s="1"/>
  <c r="J21" i="15"/>
  <c r="K21" i="15" s="1"/>
  <c r="AL21" i="15"/>
  <c r="B24" i="15"/>
  <c r="A25" i="15"/>
  <c r="M25" i="15"/>
  <c r="S24" i="15" s="1"/>
  <c r="Q22" i="15"/>
  <c r="AA13" i="13"/>
  <c r="AY13" i="13" s="1"/>
  <c r="Y15" i="13"/>
  <c r="AM21" i="13"/>
  <c r="Q21" i="13"/>
  <c r="AW12" i="13"/>
  <c r="AG13" i="13"/>
  <c r="AI13" i="13" s="1"/>
  <c r="I20" i="13"/>
  <c r="A30" i="13"/>
  <c r="B29" i="13"/>
  <c r="U16" i="11"/>
  <c r="AK16" i="11" s="1"/>
  <c r="M24" i="13"/>
  <c r="S23" i="13" s="1"/>
  <c r="P23" i="13" s="1"/>
  <c r="S22" i="13"/>
  <c r="P22" i="13" s="1"/>
  <c r="AD23" i="11"/>
  <c r="I24" i="11"/>
  <c r="J24" i="11" s="1"/>
  <c r="K23" i="11"/>
  <c r="L23" i="11" s="1"/>
  <c r="W23" i="11"/>
  <c r="X23" i="11" s="1"/>
  <c r="Y19" i="11"/>
  <c r="C26" i="11"/>
  <c r="B27" i="11"/>
  <c r="Y22" i="8"/>
  <c r="AA22" i="8" s="1"/>
  <c r="AM22" i="8" s="1"/>
  <c r="N24" i="11"/>
  <c r="Q23" i="11"/>
  <c r="AE23" i="11" s="1"/>
  <c r="U14" i="8"/>
  <c r="K22" i="8"/>
  <c r="L22" i="8" s="1"/>
  <c r="I23" i="8"/>
  <c r="J23" i="8" s="1"/>
  <c r="W23" i="8" s="1"/>
  <c r="X23" i="8" s="1"/>
  <c r="AD22" i="8"/>
  <c r="N25" i="8"/>
  <c r="Q24" i="8" s="1"/>
  <c r="AE24" i="8" s="1"/>
  <c r="Q23" i="8"/>
  <c r="AE23" i="8" s="1"/>
  <c r="B26" i="8"/>
  <c r="C25" i="8"/>
  <c r="AX14" i="15" l="1"/>
  <c r="Y14" i="15"/>
  <c r="AS14" i="15" s="1"/>
  <c r="W15" i="15"/>
  <c r="H25" i="19"/>
  <c r="I25" i="19" s="1"/>
  <c r="AL24" i="19"/>
  <c r="J24" i="19"/>
  <c r="K24" i="19" s="1"/>
  <c r="AE24" i="19"/>
  <c r="AF24" i="19" s="1"/>
  <c r="AY15" i="19"/>
  <c r="AC15" i="19"/>
  <c r="AU15" i="19" s="1"/>
  <c r="P25" i="19"/>
  <c r="Q25" i="19" s="1"/>
  <c r="AM25" i="19"/>
  <c r="AI16" i="19"/>
  <c r="AW16" i="19" s="1"/>
  <c r="AZ16" i="19"/>
  <c r="M28" i="19"/>
  <c r="W18" i="19"/>
  <c r="A29" i="19"/>
  <c r="B28" i="19"/>
  <c r="AM26" i="19"/>
  <c r="P26" i="19"/>
  <c r="AI14" i="15"/>
  <c r="AW14" i="15" s="1"/>
  <c r="AZ14" i="15"/>
  <c r="AG15" i="15"/>
  <c r="J23" i="18"/>
  <c r="K23" i="18" s="1"/>
  <c r="AE23" i="18"/>
  <c r="AF23" i="18" s="1"/>
  <c r="H24" i="18"/>
  <c r="I24" i="18" s="1"/>
  <c r="AL23" i="18"/>
  <c r="A26" i="18"/>
  <c r="B25" i="18"/>
  <c r="AM24" i="18"/>
  <c r="P24" i="18"/>
  <c r="Q24" i="18" s="1"/>
  <c r="AY15" i="18"/>
  <c r="AC15" i="18"/>
  <c r="AU15" i="18" s="1"/>
  <c r="M26" i="18"/>
  <c r="S25" i="18"/>
  <c r="AC13" i="15"/>
  <c r="AU13" i="15" s="1"/>
  <c r="AY13" i="15"/>
  <c r="AX17" i="18"/>
  <c r="Y17" i="18"/>
  <c r="AS17" i="18" s="1"/>
  <c r="AI16" i="18"/>
  <c r="AW16" i="18" s="1"/>
  <c r="AZ16" i="18"/>
  <c r="AA14" i="17"/>
  <c r="AI14" i="17"/>
  <c r="AW14" i="17" s="1"/>
  <c r="AX15" i="17"/>
  <c r="Y15" i="17"/>
  <c r="AS15" i="17" s="1"/>
  <c r="H24" i="17"/>
  <c r="I24" i="17" s="1"/>
  <c r="AL23" i="17"/>
  <c r="J23" i="17"/>
  <c r="K23" i="17" s="1"/>
  <c r="AE23" i="17"/>
  <c r="AF23" i="17" s="1"/>
  <c r="B25" i="17"/>
  <c r="A26" i="17"/>
  <c r="AG15" i="17"/>
  <c r="P24" i="17"/>
  <c r="Q24" i="17" s="1"/>
  <c r="AM24" i="17"/>
  <c r="M26" i="17"/>
  <c r="AC13" i="13"/>
  <c r="AU13" i="13" s="1"/>
  <c r="J22" i="15"/>
  <c r="K22" i="15" s="1"/>
  <c r="AE22" i="15"/>
  <c r="AF22" i="15" s="1"/>
  <c r="H23" i="15"/>
  <c r="I23" i="15" s="1"/>
  <c r="AL22" i="15"/>
  <c r="A26" i="15"/>
  <c r="B25" i="15"/>
  <c r="P24" i="15"/>
  <c r="Q24" i="15" s="1"/>
  <c r="AM24" i="15"/>
  <c r="M26" i="15"/>
  <c r="S25" i="15" s="1"/>
  <c r="AS15" i="13"/>
  <c r="W16" i="13"/>
  <c r="AM23" i="13"/>
  <c r="Q23" i="13"/>
  <c r="AM22" i="13"/>
  <c r="Q22" i="13"/>
  <c r="AZ13" i="13"/>
  <c r="AL20" i="13"/>
  <c r="H21" i="13"/>
  <c r="AE20" i="13"/>
  <c r="AF20" i="13" s="1"/>
  <c r="J20" i="13"/>
  <c r="K20" i="13" s="1"/>
  <c r="B30" i="13"/>
  <c r="A31" i="13"/>
  <c r="S17" i="11"/>
  <c r="M25" i="13"/>
  <c r="S24" i="13" s="1"/>
  <c r="P24" i="13" s="1"/>
  <c r="W24" i="11"/>
  <c r="X24" i="11" s="1"/>
  <c r="I25" i="11"/>
  <c r="J25" i="11" s="1"/>
  <c r="AD24" i="11"/>
  <c r="K24" i="11"/>
  <c r="L24" i="11" s="1"/>
  <c r="B28" i="11"/>
  <c r="C27" i="11"/>
  <c r="AA19" i="11"/>
  <c r="AM19" i="11" s="1"/>
  <c r="N25" i="11"/>
  <c r="Q24" i="11"/>
  <c r="AE24" i="11" s="1"/>
  <c r="Y23" i="8"/>
  <c r="AA23" i="8" s="1"/>
  <c r="AM23" i="8" s="1"/>
  <c r="AK14" i="8"/>
  <c r="S15" i="8"/>
  <c r="AD23" i="8"/>
  <c r="K23" i="8"/>
  <c r="L23" i="8" s="1"/>
  <c r="I24" i="8"/>
  <c r="J24" i="8" s="1"/>
  <c r="W24" i="8" s="1"/>
  <c r="X24" i="8" s="1"/>
  <c r="C26" i="8"/>
  <c r="B27" i="8"/>
  <c r="N26" i="8"/>
  <c r="Q25" i="8" s="1"/>
  <c r="AE25" i="8" s="1"/>
  <c r="Y15" i="15" l="1"/>
  <c r="AS15" i="15" s="1"/>
  <c r="AX15" i="15"/>
  <c r="Q26" i="19"/>
  <c r="AL25" i="19"/>
  <c r="J25" i="19"/>
  <c r="K25" i="19" s="1"/>
  <c r="AE25" i="19"/>
  <c r="AF25" i="19" s="1"/>
  <c r="H26" i="19"/>
  <c r="I26" i="19" s="1"/>
  <c r="M29" i="19"/>
  <c r="S28" i="19" s="1"/>
  <c r="S27" i="19"/>
  <c r="AG17" i="18"/>
  <c r="AG17" i="19"/>
  <c r="B29" i="19"/>
  <c r="A30" i="19"/>
  <c r="AA16" i="19"/>
  <c r="Y18" i="19"/>
  <c r="AS18" i="19" s="1"/>
  <c r="AX18" i="19"/>
  <c r="AA14" i="15"/>
  <c r="AZ15" i="15"/>
  <c r="AI15" i="15"/>
  <c r="AW15" i="15" s="1"/>
  <c r="AL24" i="18"/>
  <c r="J24" i="18"/>
  <c r="K24" i="18" s="1"/>
  <c r="H25" i="18"/>
  <c r="I25" i="18" s="1"/>
  <c r="AE24" i="18"/>
  <c r="AF24" i="18" s="1"/>
  <c r="P25" i="18"/>
  <c r="Q25" i="18" s="1"/>
  <c r="AM25" i="18"/>
  <c r="A27" i="18"/>
  <c r="B26" i="18"/>
  <c r="AI17" i="18"/>
  <c r="AW17" i="18" s="1"/>
  <c r="AZ17" i="18"/>
  <c r="W18" i="18"/>
  <c r="M27" i="18"/>
  <c r="S26" i="18" s="1"/>
  <c r="AA16" i="18"/>
  <c r="AC14" i="15"/>
  <c r="AU14" i="15" s="1"/>
  <c r="AY14" i="15"/>
  <c r="AY14" i="17"/>
  <c r="AC14" i="17"/>
  <c r="AL24" i="17"/>
  <c r="J24" i="17"/>
  <c r="K24" i="17" s="1"/>
  <c r="AE24" i="17"/>
  <c r="AF24" i="17" s="1"/>
  <c r="H25" i="17"/>
  <c r="I25" i="17" s="1"/>
  <c r="AI15" i="17"/>
  <c r="AW15" i="17" s="1"/>
  <c r="AZ15" i="17"/>
  <c r="A27" i="17"/>
  <c r="B26" i="17"/>
  <c r="M27" i="17"/>
  <c r="S26" i="17" s="1"/>
  <c r="W16" i="17"/>
  <c r="S25" i="17"/>
  <c r="AA14" i="13"/>
  <c r="AY14" i="13" s="1"/>
  <c r="P25" i="15"/>
  <c r="Q25" i="15" s="1"/>
  <c r="AM25" i="15"/>
  <c r="J23" i="15"/>
  <c r="K23" i="15" s="1"/>
  <c r="H24" i="15"/>
  <c r="I24" i="15" s="1"/>
  <c r="AE23" i="15"/>
  <c r="AF23" i="15" s="1"/>
  <c r="AL23" i="15"/>
  <c r="B26" i="15"/>
  <c r="A27" i="15"/>
  <c r="M27" i="15"/>
  <c r="AX16" i="13"/>
  <c r="Y16" i="13"/>
  <c r="AM24" i="13"/>
  <c r="Q24" i="13"/>
  <c r="AW13" i="13"/>
  <c r="AG14" i="13"/>
  <c r="AI14" i="13" s="1"/>
  <c r="I21" i="13"/>
  <c r="B31" i="13"/>
  <c r="A32" i="13"/>
  <c r="U17" i="11"/>
  <c r="AK17" i="11" s="1"/>
  <c r="M26" i="13"/>
  <c r="S25" i="13" s="1"/>
  <c r="P25" i="13" s="1"/>
  <c r="B29" i="11"/>
  <c r="C28" i="11"/>
  <c r="W25" i="11"/>
  <c r="X25" i="11" s="1"/>
  <c r="K25" i="11"/>
  <c r="L25" i="11" s="1"/>
  <c r="I26" i="11"/>
  <c r="J26" i="11" s="1"/>
  <c r="AD25" i="11"/>
  <c r="N26" i="11"/>
  <c r="Q25" i="11"/>
  <c r="AE25" i="11" s="1"/>
  <c r="Y20" i="11"/>
  <c r="Y24" i="8"/>
  <c r="AA24" i="8" s="1"/>
  <c r="AM24" i="8" s="1"/>
  <c r="U15" i="8"/>
  <c r="S16" i="8" s="1"/>
  <c r="K24" i="8"/>
  <c r="L24" i="8" s="1"/>
  <c r="AD24" i="8"/>
  <c r="I25" i="8"/>
  <c r="J25" i="8" s="1"/>
  <c r="W25" i="8" s="1"/>
  <c r="X25" i="8" s="1"/>
  <c r="C27" i="8"/>
  <c r="B28" i="8"/>
  <c r="N27" i="8"/>
  <c r="Q26" i="8" s="1"/>
  <c r="AE26" i="8" s="1"/>
  <c r="W16" i="15" l="1"/>
  <c r="W19" i="19"/>
  <c r="J26" i="19"/>
  <c r="K26" i="19" s="1"/>
  <c r="H27" i="19"/>
  <c r="I27" i="19" s="1"/>
  <c r="AL26" i="19"/>
  <c r="AE26" i="19"/>
  <c r="AF26" i="19" s="1"/>
  <c r="AG16" i="15"/>
  <c r="AI16" i="15" s="1"/>
  <c r="AW16" i="15" s="1"/>
  <c r="A31" i="19"/>
  <c r="B30" i="19"/>
  <c r="AX19" i="19"/>
  <c r="Y19" i="19"/>
  <c r="AS19" i="19" s="1"/>
  <c r="P28" i="19"/>
  <c r="AM28" i="19"/>
  <c r="AZ17" i="19"/>
  <c r="AI17" i="19"/>
  <c r="AW17" i="19" s="1"/>
  <c r="AY16" i="19"/>
  <c r="AC16" i="19"/>
  <c r="AU16" i="19" s="1"/>
  <c r="P27" i="19"/>
  <c r="Q27" i="19" s="1"/>
  <c r="AM27" i="19"/>
  <c r="M30" i="19"/>
  <c r="S29" i="19" s="1"/>
  <c r="AG18" i="18"/>
  <c r="P26" i="18"/>
  <c r="Q26" i="18" s="1"/>
  <c r="AM26" i="18"/>
  <c r="AY16" i="18"/>
  <c r="AC16" i="18"/>
  <c r="AU16" i="18" s="1"/>
  <c r="M28" i="18"/>
  <c r="S27" i="18" s="1"/>
  <c r="B27" i="18"/>
  <c r="A28" i="18"/>
  <c r="Y18" i="18"/>
  <c r="AS18" i="18" s="1"/>
  <c r="AX18" i="18"/>
  <c r="AA15" i="15"/>
  <c r="AZ18" i="18"/>
  <c r="AI18" i="18"/>
  <c r="AW18" i="18" s="1"/>
  <c r="H26" i="18"/>
  <c r="I26" i="18" s="1"/>
  <c r="AE25" i="18"/>
  <c r="AF25" i="18" s="1"/>
  <c r="AL25" i="18"/>
  <c r="J25" i="18"/>
  <c r="K25" i="18" s="1"/>
  <c r="AU14" i="17"/>
  <c r="AA15" i="17"/>
  <c r="P26" i="17"/>
  <c r="AM26" i="17"/>
  <c r="J25" i="17"/>
  <c r="K25" i="17" s="1"/>
  <c r="H26" i="17"/>
  <c r="I26" i="17" s="1"/>
  <c r="AE25" i="17"/>
  <c r="AF25" i="17" s="1"/>
  <c r="AL25" i="17"/>
  <c r="AG16" i="17"/>
  <c r="AM25" i="17"/>
  <c r="P25" i="17"/>
  <c r="Q25" i="17" s="1"/>
  <c r="Y16" i="17"/>
  <c r="AS16" i="17" s="1"/>
  <c r="AX16" i="17"/>
  <c r="M28" i="17"/>
  <c r="A28" i="17"/>
  <c r="B27" i="17"/>
  <c r="AC14" i="13"/>
  <c r="AU14" i="13" s="1"/>
  <c r="H25" i="15"/>
  <c r="I25" i="15" s="1"/>
  <c r="AE24" i="15"/>
  <c r="AF24" i="15" s="1"/>
  <c r="AL24" i="15"/>
  <c r="J24" i="15"/>
  <c r="K24" i="15" s="1"/>
  <c r="B27" i="15"/>
  <c r="A28" i="15"/>
  <c r="M28" i="15"/>
  <c r="S27" i="15" s="1"/>
  <c r="S26" i="15"/>
  <c r="AS16" i="13"/>
  <c r="W17" i="13"/>
  <c r="AM25" i="13"/>
  <c r="Q25" i="13"/>
  <c r="AZ14" i="13"/>
  <c r="J21" i="13"/>
  <c r="K21" i="13" s="1"/>
  <c r="H22" i="13"/>
  <c r="AL21" i="13"/>
  <c r="AE21" i="13"/>
  <c r="AF21" i="13" s="1"/>
  <c r="S18" i="11"/>
  <c r="B32" i="13"/>
  <c r="A33" i="13"/>
  <c r="M27" i="13"/>
  <c r="S26" i="13" s="1"/>
  <c r="P26" i="13" s="1"/>
  <c r="C29" i="11"/>
  <c r="B30" i="11"/>
  <c r="AD26" i="11"/>
  <c r="I27" i="11"/>
  <c r="J27" i="11" s="1"/>
  <c r="K26" i="11"/>
  <c r="L26" i="11" s="1"/>
  <c r="W26" i="11"/>
  <c r="X26" i="11" s="1"/>
  <c r="AA20" i="11"/>
  <c r="AM20" i="11" s="1"/>
  <c r="N27" i="11"/>
  <c r="Q26" i="11" s="1"/>
  <c r="AE26" i="11" s="1"/>
  <c r="Y25" i="8"/>
  <c r="AA25" i="8" s="1"/>
  <c r="AM25" i="8" s="1"/>
  <c r="AK15" i="8"/>
  <c r="AD25" i="8"/>
  <c r="K25" i="8"/>
  <c r="L25" i="8" s="1"/>
  <c r="I26" i="8"/>
  <c r="J26" i="8" s="1"/>
  <c r="W26" i="8" s="1"/>
  <c r="X26" i="8" s="1"/>
  <c r="N28" i="8"/>
  <c r="Q27" i="8" s="1"/>
  <c r="AE27" i="8" s="1"/>
  <c r="B29" i="8"/>
  <c r="C28" i="8"/>
  <c r="Y16" i="15" l="1"/>
  <c r="AS16" i="15" s="1"/>
  <c r="AX16" i="15"/>
  <c r="Q28" i="19"/>
  <c r="AG18" i="19"/>
  <c r="AI18" i="19" s="1"/>
  <c r="AW18" i="19" s="1"/>
  <c r="H28" i="19"/>
  <c r="I28" i="19" s="1"/>
  <c r="AE27" i="19"/>
  <c r="AF27" i="19" s="1"/>
  <c r="AL27" i="19"/>
  <c r="J27" i="19"/>
  <c r="K27" i="19" s="1"/>
  <c r="AG17" i="15"/>
  <c r="AI17" i="15" s="1"/>
  <c r="AW17" i="15" s="1"/>
  <c r="P29" i="19"/>
  <c r="Q29" i="19" s="1"/>
  <c r="AM29" i="19"/>
  <c r="B31" i="19"/>
  <c r="A32" i="19"/>
  <c r="M31" i="19"/>
  <c r="S30" i="19" s="1"/>
  <c r="AA17" i="19"/>
  <c r="W20" i="19"/>
  <c r="AZ18" i="19"/>
  <c r="AZ16" i="15"/>
  <c r="AG19" i="18"/>
  <c r="AZ19" i="18" s="1"/>
  <c r="AL26" i="18"/>
  <c r="J26" i="18"/>
  <c r="K26" i="18" s="1"/>
  <c r="AE26" i="18"/>
  <c r="AF26" i="18" s="1"/>
  <c r="H27" i="18"/>
  <c r="I27" i="18" s="1"/>
  <c r="P27" i="18"/>
  <c r="Q27" i="18" s="1"/>
  <c r="AM27" i="18"/>
  <c r="AY15" i="15"/>
  <c r="AC15" i="15"/>
  <c r="AU15" i="15" s="1"/>
  <c r="M29" i="18"/>
  <c r="S28" i="18"/>
  <c r="W19" i="18"/>
  <c r="AA17" i="18"/>
  <c r="A29" i="18"/>
  <c r="B28" i="18"/>
  <c r="AA15" i="13"/>
  <c r="AC15" i="13" s="1"/>
  <c r="AY15" i="17"/>
  <c r="AC15" i="17"/>
  <c r="AU15" i="17" s="1"/>
  <c r="W17" i="17"/>
  <c r="H27" i="17"/>
  <c r="I27" i="17" s="1"/>
  <c r="AE26" i="17"/>
  <c r="AF26" i="17" s="1"/>
  <c r="J26" i="17"/>
  <c r="K26" i="17" s="1"/>
  <c r="AL26" i="17"/>
  <c r="A29" i="17"/>
  <c r="B28" i="17"/>
  <c r="Y17" i="17"/>
  <c r="AS17" i="17" s="1"/>
  <c r="AX17" i="17"/>
  <c r="AZ16" i="17"/>
  <c r="AI16" i="17"/>
  <c r="AW16" i="17" s="1"/>
  <c r="M29" i="17"/>
  <c r="S27" i="17"/>
  <c r="Q26" i="17"/>
  <c r="AM27" i="15"/>
  <c r="P27" i="15"/>
  <c r="AM26" i="15"/>
  <c r="P26" i="15"/>
  <c r="Q26" i="15" s="1"/>
  <c r="M29" i="15"/>
  <c r="S28" i="15"/>
  <c r="A29" i="15"/>
  <c r="B28" i="15"/>
  <c r="H26" i="15"/>
  <c r="I26" i="15" s="1"/>
  <c r="J25" i="15"/>
  <c r="K25" i="15" s="1"/>
  <c r="AE25" i="15"/>
  <c r="AF25" i="15" s="1"/>
  <c r="AL25" i="15"/>
  <c r="Y17" i="13"/>
  <c r="AX17" i="13"/>
  <c r="AM26" i="13"/>
  <c r="Q26" i="13"/>
  <c r="AW14" i="13"/>
  <c r="AG15" i="13"/>
  <c r="AI15" i="13" s="1"/>
  <c r="I22" i="13"/>
  <c r="A34" i="13"/>
  <c r="B33" i="13"/>
  <c r="U18" i="11"/>
  <c r="AK18" i="11" s="1"/>
  <c r="M28" i="13"/>
  <c r="S27" i="13" s="1"/>
  <c r="P27" i="13" s="1"/>
  <c r="AD27" i="11"/>
  <c r="K27" i="11"/>
  <c r="L27" i="11" s="1"/>
  <c r="W27" i="11"/>
  <c r="X27" i="11" s="1"/>
  <c r="I28" i="11"/>
  <c r="J28" i="11" s="1"/>
  <c r="N28" i="11"/>
  <c r="C30" i="11"/>
  <c r="B31" i="11"/>
  <c r="Y21" i="11"/>
  <c r="Y26" i="8"/>
  <c r="AA26" i="8" s="1"/>
  <c r="AM26" i="8" s="1"/>
  <c r="U16" i="8"/>
  <c r="AD26" i="8"/>
  <c r="K26" i="8"/>
  <c r="L26" i="8" s="1"/>
  <c r="I27" i="8"/>
  <c r="J27" i="8" s="1"/>
  <c r="W27" i="8" s="1"/>
  <c r="X27" i="8" s="1"/>
  <c r="C29" i="8"/>
  <c r="B30" i="8"/>
  <c r="N29" i="8"/>
  <c r="Q28" i="8" s="1"/>
  <c r="AE28" i="8" s="1"/>
  <c r="AY15" i="13" l="1"/>
  <c r="W17" i="15"/>
  <c r="AX17" i="15" s="1"/>
  <c r="AG19" i="19"/>
  <c r="AI19" i="19" s="1"/>
  <c r="AW19" i="19" s="1"/>
  <c r="AI19" i="18"/>
  <c r="AW19" i="18" s="1"/>
  <c r="AX20" i="19"/>
  <c r="Y20" i="19"/>
  <c r="AS20" i="19" s="1"/>
  <c r="AZ17" i="15"/>
  <c r="AY17" i="19"/>
  <c r="AC17" i="19"/>
  <c r="AU17" i="19" s="1"/>
  <c r="AG18" i="15"/>
  <c r="AI18" i="15" s="1"/>
  <c r="AW18" i="15" s="1"/>
  <c r="M32" i="19"/>
  <c r="S31" i="19" s="1"/>
  <c r="AL28" i="19"/>
  <c r="J28" i="19"/>
  <c r="K28" i="19" s="1"/>
  <c r="AE28" i="19"/>
  <c r="AF28" i="19" s="1"/>
  <c r="H29" i="19"/>
  <c r="I29" i="19" s="1"/>
  <c r="AM30" i="19"/>
  <c r="P30" i="19"/>
  <c r="Q30" i="19" s="1"/>
  <c r="A33" i="19"/>
  <c r="B32" i="19"/>
  <c r="AZ18" i="15"/>
  <c r="H28" i="18"/>
  <c r="I28" i="18" s="1"/>
  <c r="J27" i="18"/>
  <c r="K27" i="18" s="1"/>
  <c r="AL27" i="18"/>
  <c r="AE27" i="18"/>
  <c r="AF27" i="18" s="1"/>
  <c r="AY17" i="18"/>
  <c r="AC17" i="18"/>
  <c r="AU17" i="18" s="1"/>
  <c r="Y19" i="18"/>
  <c r="AS19" i="18" s="1"/>
  <c r="AX19" i="18"/>
  <c r="AM28" i="18"/>
  <c r="P28" i="18"/>
  <c r="Q28" i="18" s="1"/>
  <c r="A30" i="18"/>
  <c r="B29" i="18"/>
  <c r="M30" i="18"/>
  <c r="AA16" i="15"/>
  <c r="AG20" i="18"/>
  <c r="AG19" i="15"/>
  <c r="AI19" i="15" s="1"/>
  <c r="AW19" i="15" s="1"/>
  <c r="AG17" i="17"/>
  <c r="AZ17" i="17" s="1"/>
  <c r="AA16" i="17"/>
  <c r="M30" i="17"/>
  <c r="S29" i="17" s="1"/>
  <c r="A30" i="17"/>
  <c r="B29" i="17"/>
  <c r="P27" i="17"/>
  <c r="Q27" i="17" s="1"/>
  <c r="AM27" i="17"/>
  <c r="AZ19" i="15"/>
  <c r="H28" i="17"/>
  <c r="I28" i="17" s="1"/>
  <c r="J27" i="17"/>
  <c r="K27" i="17" s="1"/>
  <c r="AL27" i="17"/>
  <c r="AE27" i="17"/>
  <c r="AF27" i="17" s="1"/>
  <c r="S28" i="17"/>
  <c r="W18" i="17"/>
  <c r="H27" i="15"/>
  <c r="I27" i="15" s="1"/>
  <c r="J26" i="15"/>
  <c r="K26" i="15" s="1"/>
  <c r="AE26" i="15"/>
  <c r="AF26" i="15" s="1"/>
  <c r="AL26" i="15"/>
  <c r="M30" i="15"/>
  <c r="S29" i="15"/>
  <c r="P28" i="15"/>
  <c r="Q28" i="15" s="1"/>
  <c r="AM28" i="15"/>
  <c r="Q27" i="15"/>
  <c r="A30" i="15"/>
  <c r="B29" i="15"/>
  <c r="AU15" i="13"/>
  <c r="AA16" i="13"/>
  <c r="AS17" i="13"/>
  <c r="W18" i="13"/>
  <c r="AM27" i="13"/>
  <c r="Q27" i="13"/>
  <c r="AW15" i="13"/>
  <c r="AZ15" i="13"/>
  <c r="AL22" i="13"/>
  <c r="J22" i="13"/>
  <c r="K22" i="13" s="1"/>
  <c r="H23" i="13"/>
  <c r="AE22" i="13"/>
  <c r="AF22" i="13" s="1"/>
  <c r="S19" i="11"/>
  <c r="U19" i="11" s="1"/>
  <c r="B34" i="13"/>
  <c r="A35" i="13"/>
  <c r="M29" i="13"/>
  <c r="W28" i="11"/>
  <c r="X28" i="11" s="1"/>
  <c r="K28" i="11"/>
  <c r="L28" i="11" s="1"/>
  <c r="I29" i="11"/>
  <c r="J29" i="11" s="1"/>
  <c r="AD28" i="11"/>
  <c r="AA21" i="11"/>
  <c r="AM21" i="11" s="1"/>
  <c r="B32" i="11"/>
  <c r="C31" i="11"/>
  <c r="N29" i="11"/>
  <c r="Q28" i="11"/>
  <c r="AE28" i="11" s="1"/>
  <c r="Q27" i="11"/>
  <c r="AE27" i="11" s="1"/>
  <c r="Y27" i="8"/>
  <c r="AA27" i="8" s="1"/>
  <c r="AM27" i="8" s="1"/>
  <c r="AK16" i="8"/>
  <c r="S17" i="8"/>
  <c r="I28" i="8"/>
  <c r="J28" i="8" s="1"/>
  <c r="W28" i="8" s="1"/>
  <c r="X28" i="8" s="1"/>
  <c r="K27" i="8"/>
  <c r="L27" i="8" s="1"/>
  <c r="AD27" i="8"/>
  <c r="N30" i="8"/>
  <c r="Q29" i="8" s="1"/>
  <c r="AE29" i="8" s="1"/>
  <c r="B31" i="8"/>
  <c r="C30" i="8"/>
  <c r="Y17" i="15" l="1"/>
  <c r="AS17" i="15" s="1"/>
  <c r="AZ19" i="19"/>
  <c r="AE29" i="19"/>
  <c r="AF29" i="19" s="1"/>
  <c r="H30" i="19"/>
  <c r="I30" i="19" s="1"/>
  <c r="AL29" i="19"/>
  <c r="J29" i="19"/>
  <c r="K29" i="19" s="1"/>
  <c r="AA18" i="19"/>
  <c r="AM31" i="19"/>
  <c r="P31" i="19"/>
  <c r="Q31" i="19" s="1"/>
  <c r="A34" i="19"/>
  <c r="B33" i="19"/>
  <c r="AG20" i="19"/>
  <c r="M33" i="19"/>
  <c r="S32" i="19" s="1"/>
  <c r="W21" i="19"/>
  <c r="W20" i="18"/>
  <c r="AA18" i="18"/>
  <c r="A31" i="18"/>
  <c r="B30" i="18"/>
  <c r="M31" i="18"/>
  <c r="AZ20" i="18"/>
  <c r="AI20" i="18"/>
  <c r="AW20" i="18" s="1"/>
  <c r="H29" i="18"/>
  <c r="I29" i="18" s="1"/>
  <c r="AL28" i="18"/>
  <c r="AE28" i="18"/>
  <c r="AF28" i="18" s="1"/>
  <c r="J28" i="18"/>
  <c r="K28" i="18" s="1"/>
  <c r="AY16" i="15"/>
  <c r="AC16" i="15"/>
  <c r="AU16" i="15" s="1"/>
  <c r="AX20" i="18"/>
  <c r="Y20" i="18"/>
  <c r="AS20" i="18" s="1"/>
  <c r="S29" i="18"/>
  <c r="AG20" i="15"/>
  <c r="AI20" i="15" s="1"/>
  <c r="AW20" i="15" s="1"/>
  <c r="AI17" i="17"/>
  <c r="AW17" i="17" s="1"/>
  <c r="AY16" i="17"/>
  <c r="AC16" i="17"/>
  <c r="AU16" i="17" s="1"/>
  <c r="AL28" i="17"/>
  <c r="AE28" i="17"/>
  <c r="AF28" i="17" s="1"/>
  <c r="J28" i="17"/>
  <c r="K28" i="17" s="1"/>
  <c r="H29" i="17"/>
  <c r="I29" i="17" s="1"/>
  <c r="AX18" i="17"/>
  <c r="Y18" i="17"/>
  <c r="AS18" i="17" s="1"/>
  <c r="AM28" i="17"/>
  <c r="P28" i="17"/>
  <c r="Q28" i="17" s="1"/>
  <c r="A31" i="17"/>
  <c r="B30" i="17"/>
  <c r="M31" i="17"/>
  <c r="S30" i="17"/>
  <c r="AM29" i="17"/>
  <c r="P29" i="17"/>
  <c r="M31" i="15"/>
  <c r="S30" i="15" s="1"/>
  <c r="A31" i="15"/>
  <c r="B30" i="15"/>
  <c r="AL27" i="15"/>
  <c r="H28" i="15"/>
  <c r="I28" i="15" s="1"/>
  <c r="AE27" i="15"/>
  <c r="AF27" i="15" s="1"/>
  <c r="J27" i="15"/>
  <c r="K27" i="15" s="1"/>
  <c r="AM29" i="15"/>
  <c r="P29" i="15"/>
  <c r="Q29" i="15" s="1"/>
  <c r="AX18" i="13"/>
  <c r="Y18" i="13"/>
  <c r="AS18" i="13" s="1"/>
  <c r="AY16" i="13"/>
  <c r="AC16" i="13"/>
  <c r="AG16" i="13"/>
  <c r="AI16" i="13" s="1"/>
  <c r="I23" i="13"/>
  <c r="AK19" i="11"/>
  <c r="S20" i="11"/>
  <c r="U20" i="11" s="1"/>
  <c r="AK20" i="11" s="1"/>
  <c r="B35" i="13"/>
  <c r="A36" i="13"/>
  <c r="M30" i="13"/>
  <c r="S29" i="13" s="1"/>
  <c r="P29" i="13" s="1"/>
  <c r="S28" i="13"/>
  <c r="P28" i="13" s="1"/>
  <c r="W29" i="11"/>
  <c r="X29" i="11" s="1"/>
  <c r="K29" i="11"/>
  <c r="L29" i="11" s="1"/>
  <c r="AD29" i="11"/>
  <c r="I30" i="11"/>
  <c r="J30" i="11" s="1"/>
  <c r="Y22" i="11"/>
  <c r="N30" i="11"/>
  <c r="B33" i="11"/>
  <c r="C32" i="11"/>
  <c r="Y28" i="8"/>
  <c r="AA28" i="8" s="1"/>
  <c r="AM28" i="8" s="1"/>
  <c r="U17" i="8"/>
  <c r="AK17" i="8" s="1"/>
  <c r="I29" i="8"/>
  <c r="J29" i="8" s="1"/>
  <c r="W29" i="8" s="1"/>
  <c r="X29" i="8" s="1"/>
  <c r="K28" i="8"/>
  <c r="L28" i="8" s="1"/>
  <c r="AD28" i="8"/>
  <c r="B32" i="8"/>
  <c r="C31" i="8"/>
  <c r="N31" i="8"/>
  <c r="Q30" i="8" s="1"/>
  <c r="AE30" i="8" s="1"/>
  <c r="W18" i="15" l="1"/>
  <c r="AX18" i="15" s="1"/>
  <c r="AE30" i="19"/>
  <c r="AF30" i="19" s="1"/>
  <c r="H31" i="19"/>
  <c r="I31" i="19" s="1"/>
  <c r="AL30" i="19"/>
  <c r="J30" i="19"/>
  <c r="K30" i="19" s="1"/>
  <c r="AX21" i="19"/>
  <c r="Y21" i="19"/>
  <c r="AS21" i="19" s="1"/>
  <c r="AY18" i="19"/>
  <c r="AC18" i="19"/>
  <c r="AU18" i="19" s="1"/>
  <c r="AA17" i="17"/>
  <c r="AY17" i="17" s="1"/>
  <c r="AA17" i="15"/>
  <c r="M34" i="19"/>
  <c r="S33" i="19" s="1"/>
  <c r="AM32" i="19"/>
  <c r="P32" i="19"/>
  <c r="Q32" i="19" s="1"/>
  <c r="AI20" i="19"/>
  <c r="AW20" i="19" s="1"/>
  <c r="AZ20" i="19"/>
  <c r="B34" i="19"/>
  <c r="A35" i="19"/>
  <c r="AZ20" i="15"/>
  <c r="W21" i="18"/>
  <c r="AG21" i="18"/>
  <c r="AC17" i="15"/>
  <c r="AU17" i="15" s="1"/>
  <c r="AY17" i="15"/>
  <c r="AG18" i="17"/>
  <c r="AZ18" i="17" s="1"/>
  <c r="AM29" i="18"/>
  <c r="P29" i="18"/>
  <c r="Q29" i="18" s="1"/>
  <c r="M32" i="18"/>
  <c r="S31" i="18"/>
  <c r="S30" i="18"/>
  <c r="AL29" i="18"/>
  <c r="AE29" i="18"/>
  <c r="AF29" i="18" s="1"/>
  <c r="J29" i="18"/>
  <c r="K29" i="18" s="1"/>
  <c r="H30" i="18"/>
  <c r="I30" i="18" s="1"/>
  <c r="Y21" i="18"/>
  <c r="AS21" i="18" s="1"/>
  <c r="AX21" i="18"/>
  <c r="B31" i="18"/>
  <c r="A32" i="18"/>
  <c r="AY18" i="18"/>
  <c r="AC18" i="18"/>
  <c r="AU18" i="18" s="1"/>
  <c r="AG21" i="15"/>
  <c r="AI21" i="15" s="1"/>
  <c r="AW21" i="15" s="1"/>
  <c r="Q29" i="17"/>
  <c r="AL29" i="17"/>
  <c r="AE29" i="17"/>
  <c r="AF29" i="17" s="1"/>
  <c r="J29" i="17"/>
  <c r="K29" i="17" s="1"/>
  <c r="H30" i="17"/>
  <c r="I30" i="17" s="1"/>
  <c r="W19" i="17"/>
  <c r="A32" i="17"/>
  <c r="B31" i="17"/>
  <c r="AM30" i="17"/>
  <c r="P30" i="17"/>
  <c r="Q30" i="17" s="1"/>
  <c r="M32" i="17"/>
  <c r="S31" i="17"/>
  <c r="AL28" i="15"/>
  <c r="J28" i="15"/>
  <c r="K28" i="15" s="1"/>
  <c r="AE28" i="15"/>
  <c r="AF28" i="15" s="1"/>
  <c r="H29" i="15"/>
  <c r="I29" i="15" s="1"/>
  <c r="B31" i="15"/>
  <c r="A32" i="15"/>
  <c r="M32" i="15"/>
  <c r="S31" i="15" s="1"/>
  <c r="P30" i="15"/>
  <c r="Q30" i="15" s="1"/>
  <c r="AM30" i="15"/>
  <c r="AU16" i="13"/>
  <c r="AA17" i="13"/>
  <c r="AM28" i="13"/>
  <c r="Q28" i="13"/>
  <c r="AM29" i="13"/>
  <c r="Q29" i="13"/>
  <c r="AW16" i="13"/>
  <c r="AZ16" i="13"/>
  <c r="H24" i="13"/>
  <c r="AL23" i="13"/>
  <c r="J23" i="13"/>
  <c r="K23" i="13" s="1"/>
  <c r="AE23" i="13"/>
  <c r="AF23" i="13" s="1"/>
  <c r="S21" i="11"/>
  <c r="U21" i="11" s="1"/>
  <c r="AK21" i="11" s="1"/>
  <c r="M31" i="13"/>
  <c r="S30" i="13" s="1"/>
  <c r="P30" i="13" s="1"/>
  <c r="B36" i="13"/>
  <c r="A37" i="13"/>
  <c r="AD30" i="11"/>
  <c r="I31" i="11"/>
  <c r="J31" i="11" s="1"/>
  <c r="K30" i="11"/>
  <c r="L30" i="11" s="1"/>
  <c r="W30" i="11"/>
  <c r="X30" i="11" s="1"/>
  <c r="AA22" i="11"/>
  <c r="AM22" i="11" s="1"/>
  <c r="B34" i="11"/>
  <c r="C33" i="11"/>
  <c r="N31" i="11"/>
  <c r="Q30" i="11"/>
  <c r="AE30" i="11" s="1"/>
  <c r="Q29" i="11"/>
  <c r="AE29" i="11" s="1"/>
  <c r="Y29" i="8"/>
  <c r="AA29" i="8" s="1"/>
  <c r="AM29" i="8" s="1"/>
  <c r="S18" i="8"/>
  <c r="I30" i="8"/>
  <c r="J30" i="8" s="1"/>
  <c r="W30" i="8" s="1"/>
  <c r="X30" i="8" s="1"/>
  <c r="K29" i="8"/>
  <c r="L29" i="8" s="1"/>
  <c r="AD29" i="8"/>
  <c r="C32" i="8"/>
  <c r="B33" i="8"/>
  <c r="N32" i="8"/>
  <c r="Q31" i="8" s="1"/>
  <c r="AE31" i="8" s="1"/>
  <c r="Y18" i="15" l="1"/>
  <c r="AS18" i="15" s="1"/>
  <c r="W22" i="19"/>
  <c r="Y22" i="19" s="1"/>
  <c r="AS22" i="19" s="1"/>
  <c r="P33" i="19"/>
  <c r="Q33" i="19" s="1"/>
  <c r="AM33" i="19"/>
  <c r="AL31" i="19"/>
  <c r="J31" i="19"/>
  <c r="K31" i="19" s="1"/>
  <c r="AE31" i="19"/>
  <c r="AF31" i="19" s="1"/>
  <c r="H32" i="19"/>
  <c r="I32" i="19" s="1"/>
  <c r="AX22" i="19"/>
  <c r="M35" i="19"/>
  <c r="S34" i="19" s="1"/>
  <c r="AG21" i="19"/>
  <c r="AI18" i="17"/>
  <c r="AW18" i="17" s="1"/>
  <c r="AA18" i="17"/>
  <c r="AY18" i="17" s="1"/>
  <c r="A36" i="19"/>
  <c r="B35" i="19"/>
  <c r="AC17" i="17"/>
  <c r="AU17" i="17" s="1"/>
  <c r="AA19" i="19"/>
  <c r="AA18" i="15"/>
  <c r="AC18" i="15" s="1"/>
  <c r="AU18" i="15" s="1"/>
  <c r="AZ21" i="15"/>
  <c r="W22" i="18"/>
  <c r="AL30" i="18"/>
  <c r="J30" i="18"/>
  <c r="K30" i="18" s="1"/>
  <c r="AE30" i="18"/>
  <c r="AF30" i="18" s="1"/>
  <c r="H31" i="18"/>
  <c r="I31" i="18" s="1"/>
  <c r="AA19" i="18"/>
  <c r="B32" i="18"/>
  <c r="A33" i="18"/>
  <c r="AY18" i="15"/>
  <c r="AM30" i="18"/>
  <c r="P30" i="18"/>
  <c r="Q30" i="18" s="1"/>
  <c r="AX22" i="18"/>
  <c r="Y22" i="18"/>
  <c r="AS22" i="18" s="1"/>
  <c r="P31" i="18"/>
  <c r="AM31" i="18"/>
  <c r="AG22" i="15"/>
  <c r="AZ22" i="15" s="1"/>
  <c r="M33" i="18"/>
  <c r="S32" i="18" s="1"/>
  <c r="AI21" i="18"/>
  <c r="AW21" i="18" s="1"/>
  <c r="AZ21" i="18"/>
  <c r="AG19" i="17"/>
  <c r="AI19" i="17" s="1"/>
  <c r="AW19" i="17" s="1"/>
  <c r="AM31" i="17"/>
  <c r="P31" i="17"/>
  <c r="Q31" i="17" s="1"/>
  <c r="AX19" i="17"/>
  <c r="Y19" i="17"/>
  <c r="AS19" i="17" s="1"/>
  <c r="M33" i="17"/>
  <c r="S32" i="17" s="1"/>
  <c r="B32" i="17"/>
  <c r="A33" i="17"/>
  <c r="AL30" i="17"/>
  <c r="H31" i="17"/>
  <c r="I31" i="17" s="1"/>
  <c r="AE30" i="17"/>
  <c r="AF30" i="17" s="1"/>
  <c r="J30" i="17"/>
  <c r="K30" i="17" s="1"/>
  <c r="AE29" i="15"/>
  <c r="AF29" i="15" s="1"/>
  <c r="H30" i="15"/>
  <c r="I30" i="15" s="1"/>
  <c r="AL29" i="15"/>
  <c r="J29" i="15"/>
  <c r="K29" i="15" s="1"/>
  <c r="AM31" i="15"/>
  <c r="P31" i="15"/>
  <c r="Q31" i="15" s="1"/>
  <c r="M33" i="15"/>
  <c r="S32" i="15"/>
  <c r="B32" i="15"/>
  <c r="A33" i="15"/>
  <c r="AY17" i="13"/>
  <c r="AC17" i="13"/>
  <c r="AU17" i="13" s="1"/>
  <c r="AM30" i="13"/>
  <c r="Q30" i="13"/>
  <c r="AG17" i="13"/>
  <c r="AI17" i="13" s="1"/>
  <c r="I24" i="13"/>
  <c r="S22" i="11"/>
  <c r="B37" i="13"/>
  <c r="A38" i="13"/>
  <c r="M32" i="13"/>
  <c r="AD31" i="11"/>
  <c r="I32" i="11"/>
  <c r="J32" i="11" s="1"/>
  <c r="W31" i="11"/>
  <c r="X31" i="11" s="1"/>
  <c r="K31" i="11"/>
  <c r="L31" i="11" s="1"/>
  <c r="Y23" i="11"/>
  <c r="N32" i="11"/>
  <c r="B35" i="11"/>
  <c r="C34" i="11"/>
  <c r="Y30" i="8"/>
  <c r="AA30" i="8" s="1"/>
  <c r="AM30" i="8" s="1"/>
  <c r="U18" i="8"/>
  <c r="AK18" i="8" s="1"/>
  <c r="K30" i="8"/>
  <c r="L30" i="8" s="1"/>
  <c r="I31" i="8"/>
  <c r="J31" i="8" s="1"/>
  <c r="W31" i="8" s="1"/>
  <c r="X31" i="8" s="1"/>
  <c r="AD30" i="8"/>
  <c r="C33" i="8"/>
  <c r="B34" i="8"/>
  <c r="N33" i="8"/>
  <c r="Q32" i="8" s="1"/>
  <c r="AE32" i="8" s="1"/>
  <c r="W19" i="15" l="1"/>
  <c r="Y19" i="15" s="1"/>
  <c r="AS19" i="15" s="1"/>
  <c r="W23" i="19"/>
  <c r="Y23" i="19" s="1"/>
  <c r="AS23" i="19" s="1"/>
  <c r="H33" i="19"/>
  <c r="I33" i="19" s="1"/>
  <c r="AL32" i="19"/>
  <c r="J32" i="19"/>
  <c r="K32" i="19" s="1"/>
  <c r="AE32" i="19"/>
  <c r="AF32" i="19" s="1"/>
  <c r="P34" i="19"/>
  <c r="Q34" i="19" s="1"/>
  <c r="AM34" i="19"/>
  <c r="AC18" i="17"/>
  <c r="AI21" i="19"/>
  <c r="AW21" i="19" s="1"/>
  <c r="AZ21" i="19"/>
  <c r="AY19" i="19"/>
  <c r="AC19" i="19"/>
  <c r="AU19" i="19" s="1"/>
  <c r="AZ19" i="17"/>
  <c r="M36" i="19"/>
  <c r="S35" i="19" s="1"/>
  <c r="A37" i="19"/>
  <c r="B36" i="19"/>
  <c r="AI22" i="15"/>
  <c r="AW22" i="15" s="1"/>
  <c r="H32" i="18"/>
  <c r="I32" i="18" s="1"/>
  <c r="AE31" i="18"/>
  <c r="AF31" i="18" s="1"/>
  <c r="AL31" i="18"/>
  <c r="J31" i="18"/>
  <c r="K31" i="18" s="1"/>
  <c r="AG22" i="18"/>
  <c r="AY19" i="18"/>
  <c r="AC19" i="18"/>
  <c r="AU19" i="18" s="1"/>
  <c r="M34" i="18"/>
  <c r="S33" i="18" s="1"/>
  <c r="P32" i="18"/>
  <c r="Q32" i="18" s="1"/>
  <c r="AM32" i="18"/>
  <c r="AA19" i="15"/>
  <c r="Q31" i="18"/>
  <c r="W23" i="18"/>
  <c r="B33" i="18"/>
  <c r="A34" i="18"/>
  <c r="AG20" i="17"/>
  <c r="AZ20" i="17" s="1"/>
  <c r="W20" i="17"/>
  <c r="AX20" i="17" s="1"/>
  <c r="P32" i="17"/>
  <c r="Q32" i="17" s="1"/>
  <c r="AM32" i="17"/>
  <c r="AL31" i="17"/>
  <c r="H32" i="17"/>
  <c r="I32" i="17" s="1"/>
  <c r="AE31" i="17"/>
  <c r="AF31" i="17" s="1"/>
  <c r="J31" i="17"/>
  <c r="K31" i="17" s="1"/>
  <c r="M34" i="17"/>
  <c r="S33" i="17" s="1"/>
  <c r="A34" i="17"/>
  <c r="B33" i="17"/>
  <c r="P32" i="15"/>
  <c r="Q32" i="15" s="1"/>
  <c r="AM32" i="15"/>
  <c r="M34" i="15"/>
  <c r="S33" i="15" s="1"/>
  <c r="J30" i="15"/>
  <c r="K30" i="15" s="1"/>
  <c r="AL30" i="15"/>
  <c r="AE30" i="15"/>
  <c r="AF30" i="15" s="1"/>
  <c r="H31" i="15"/>
  <c r="I31" i="15" s="1"/>
  <c r="A34" i="15"/>
  <c r="B33" i="15"/>
  <c r="AA18" i="13"/>
  <c r="AY18" i="13" s="1"/>
  <c r="AW17" i="13"/>
  <c r="AZ17" i="13"/>
  <c r="AG18" i="13"/>
  <c r="AI18" i="13" s="1"/>
  <c r="AE24" i="13"/>
  <c r="AF24" i="13" s="1"/>
  <c r="AL24" i="13"/>
  <c r="H25" i="13"/>
  <c r="J24" i="13"/>
  <c r="K24" i="13" s="1"/>
  <c r="U22" i="11"/>
  <c r="AK22" i="11" s="1"/>
  <c r="M33" i="13"/>
  <c r="B38" i="13"/>
  <c r="A39" i="13"/>
  <c r="S31" i="13"/>
  <c r="P31" i="13" s="1"/>
  <c r="W32" i="11"/>
  <c r="X32" i="11" s="1"/>
  <c r="K32" i="11"/>
  <c r="L32" i="11" s="1"/>
  <c r="I33" i="11"/>
  <c r="J33" i="11" s="1"/>
  <c r="AD32" i="11"/>
  <c r="B36" i="11"/>
  <c r="C35" i="11"/>
  <c r="AA23" i="11"/>
  <c r="AM23" i="11" s="1"/>
  <c r="N33" i="11"/>
  <c r="Q32" i="11" s="1"/>
  <c r="AE32" i="11" s="1"/>
  <c r="Q31" i="11"/>
  <c r="AE31" i="11" s="1"/>
  <c r="Y31" i="8"/>
  <c r="AA31" i="8" s="1"/>
  <c r="AM31" i="8" s="1"/>
  <c r="S19" i="8"/>
  <c r="AD31" i="8"/>
  <c r="K31" i="8"/>
  <c r="L31" i="8" s="1"/>
  <c r="I32" i="8"/>
  <c r="J32" i="8" s="1"/>
  <c r="W32" i="8" s="1"/>
  <c r="X32" i="8" s="1"/>
  <c r="N34" i="8"/>
  <c r="Q33" i="8" s="1"/>
  <c r="AE33" i="8" s="1"/>
  <c r="C34" i="8"/>
  <c r="B35" i="8"/>
  <c r="W20" i="15" l="1"/>
  <c r="AX19" i="15"/>
  <c r="Y20" i="15"/>
  <c r="AS20" i="15" s="1"/>
  <c r="AX20" i="15"/>
  <c r="AX23" i="19"/>
  <c r="AA20" i="19"/>
  <c r="AC20" i="19" s="1"/>
  <c r="AU20" i="19" s="1"/>
  <c r="AG22" i="19"/>
  <c r="AZ22" i="19" s="1"/>
  <c r="AM35" i="19"/>
  <c r="P35" i="19"/>
  <c r="Q35" i="19" s="1"/>
  <c r="H34" i="19"/>
  <c r="I34" i="19" s="1"/>
  <c r="AL33" i="19"/>
  <c r="J33" i="19"/>
  <c r="K33" i="19" s="1"/>
  <c r="AE33" i="19"/>
  <c r="AF33" i="19" s="1"/>
  <c r="AY20" i="19"/>
  <c r="A38" i="19"/>
  <c r="B37" i="19"/>
  <c r="M37" i="19"/>
  <c r="S36" i="19" s="1"/>
  <c r="AI22" i="19"/>
  <c r="AW22" i="19" s="1"/>
  <c r="AU18" i="17"/>
  <c r="AA19" i="17"/>
  <c r="W24" i="19"/>
  <c r="AG23" i="15"/>
  <c r="AA20" i="18"/>
  <c r="P33" i="18"/>
  <c r="Q33" i="18" s="1"/>
  <c r="AM33" i="18"/>
  <c r="J32" i="18"/>
  <c r="K32" i="18" s="1"/>
  <c r="AL32" i="18"/>
  <c r="AE32" i="18"/>
  <c r="AF32" i="18" s="1"/>
  <c r="H33" i="18"/>
  <c r="I33" i="18" s="1"/>
  <c r="AY19" i="15"/>
  <c r="AC19" i="15"/>
  <c r="AU19" i="15" s="1"/>
  <c r="AA20" i="15"/>
  <c r="AZ22" i="18"/>
  <c r="AI22" i="18"/>
  <c r="AW22" i="18" s="1"/>
  <c r="AY20" i="18"/>
  <c r="AC20" i="18"/>
  <c r="AU20" i="18" s="1"/>
  <c r="AI20" i="17"/>
  <c r="AW20" i="17" s="1"/>
  <c r="A35" i="18"/>
  <c r="B34" i="18"/>
  <c r="M35" i="18"/>
  <c r="Y23" i="18"/>
  <c r="AS23" i="18" s="1"/>
  <c r="AX23" i="18"/>
  <c r="Y20" i="17"/>
  <c r="AG21" i="17"/>
  <c r="AZ21" i="17" s="1"/>
  <c r="H33" i="17"/>
  <c r="I33" i="17" s="1"/>
  <c r="AL32" i="17"/>
  <c r="J32" i="17"/>
  <c r="K32" i="17" s="1"/>
  <c r="AE32" i="17"/>
  <c r="AF32" i="17" s="1"/>
  <c r="AM33" i="17"/>
  <c r="P33" i="17"/>
  <c r="Q33" i="17" s="1"/>
  <c r="B34" i="17"/>
  <c r="A35" i="17"/>
  <c r="M35" i="17"/>
  <c r="S34" i="17" s="1"/>
  <c r="J31" i="15"/>
  <c r="K31" i="15" s="1"/>
  <c r="H32" i="15"/>
  <c r="I32" i="15" s="1"/>
  <c r="AE31" i="15"/>
  <c r="AF31" i="15" s="1"/>
  <c r="AL31" i="15"/>
  <c r="P33" i="15"/>
  <c r="Q33" i="15" s="1"/>
  <c r="AM33" i="15"/>
  <c r="A35" i="15"/>
  <c r="B34" i="15"/>
  <c r="M35" i="15"/>
  <c r="S34" i="15"/>
  <c r="AC18" i="13"/>
  <c r="AU18" i="13" s="1"/>
  <c r="AM31" i="13"/>
  <c r="Q31" i="13"/>
  <c r="AZ18" i="13"/>
  <c r="AW18" i="13"/>
  <c r="AG19" i="13"/>
  <c r="AI19" i="13" s="1"/>
  <c r="I25" i="13"/>
  <c r="S23" i="11"/>
  <c r="M34" i="13"/>
  <c r="S33" i="13" s="1"/>
  <c r="P33" i="13" s="1"/>
  <c r="S32" i="13"/>
  <c r="P32" i="13" s="1"/>
  <c r="A40" i="13"/>
  <c r="B39" i="13"/>
  <c r="Y24" i="11"/>
  <c r="AA24" i="11" s="1"/>
  <c r="AM24" i="11" s="1"/>
  <c r="AD33" i="11"/>
  <c r="W33" i="11"/>
  <c r="X33" i="11" s="1"/>
  <c r="K33" i="11"/>
  <c r="L33" i="11" s="1"/>
  <c r="I34" i="11"/>
  <c r="J34" i="11" s="1"/>
  <c r="C36" i="11"/>
  <c r="B37" i="11"/>
  <c r="N34" i="11"/>
  <c r="Q33" i="11"/>
  <c r="AE33" i="11" s="1"/>
  <c r="Y32" i="8"/>
  <c r="AA32" i="8" s="1"/>
  <c r="AM32" i="8" s="1"/>
  <c r="U19" i="8"/>
  <c r="AK19" i="8" s="1"/>
  <c r="AD32" i="8"/>
  <c r="I33" i="8"/>
  <c r="J33" i="8" s="1"/>
  <c r="W33" i="8" s="1"/>
  <c r="X33" i="8" s="1"/>
  <c r="K32" i="8"/>
  <c r="L32" i="8" s="1"/>
  <c r="N35" i="8"/>
  <c r="Q34" i="8" s="1"/>
  <c r="AE34" i="8" s="1"/>
  <c r="C35" i="8"/>
  <c r="B36" i="8"/>
  <c r="W21" i="15" l="1"/>
  <c r="AX21" i="15" s="1"/>
  <c r="AG23" i="19"/>
  <c r="AZ23" i="19" s="1"/>
  <c r="AA21" i="19"/>
  <c r="AY21" i="19" s="1"/>
  <c r="AM36" i="19"/>
  <c r="P36" i="19"/>
  <c r="Q36" i="19" s="1"/>
  <c r="J34" i="19"/>
  <c r="K34" i="19" s="1"/>
  <c r="AL34" i="19"/>
  <c r="H35" i="19"/>
  <c r="I35" i="19" s="1"/>
  <c r="AE34" i="19"/>
  <c r="AF34" i="19" s="1"/>
  <c r="AI23" i="19"/>
  <c r="AW23" i="19" s="1"/>
  <c r="AX24" i="19"/>
  <c r="Y24" i="19"/>
  <c r="AS24" i="19" s="1"/>
  <c r="M38" i="19"/>
  <c r="S37" i="19" s="1"/>
  <c r="AY19" i="17"/>
  <c r="AC19" i="17"/>
  <c r="AU19" i="17" s="1"/>
  <c r="A39" i="19"/>
  <c r="B38" i="19"/>
  <c r="AI23" i="15"/>
  <c r="AZ23" i="15"/>
  <c r="H34" i="18"/>
  <c r="I34" i="18" s="1"/>
  <c r="AE33" i="18"/>
  <c r="AF33" i="18" s="1"/>
  <c r="AL33" i="18"/>
  <c r="J33" i="18"/>
  <c r="K33" i="18" s="1"/>
  <c r="W24" i="18"/>
  <c r="AA21" i="18"/>
  <c r="M36" i="18"/>
  <c r="S34" i="18"/>
  <c r="A36" i="18"/>
  <c r="B35" i="18"/>
  <c r="AG23" i="18"/>
  <c r="AI21" i="17"/>
  <c r="AW21" i="17" s="1"/>
  <c r="AY20" i="15"/>
  <c r="AC20" i="15"/>
  <c r="AU20" i="15" s="1"/>
  <c r="AS20" i="17"/>
  <c r="W21" i="17"/>
  <c r="AM34" i="17"/>
  <c r="P34" i="17"/>
  <c r="Q34" i="17" s="1"/>
  <c r="M36" i="17"/>
  <c r="S35" i="17" s="1"/>
  <c r="H34" i="17"/>
  <c r="I34" i="17" s="1"/>
  <c r="AL33" i="17"/>
  <c r="J33" i="17"/>
  <c r="K33" i="17" s="1"/>
  <c r="AE33" i="17"/>
  <c r="AF33" i="17" s="1"/>
  <c r="A36" i="17"/>
  <c r="B35" i="17"/>
  <c r="AL32" i="15"/>
  <c r="H33" i="15"/>
  <c r="I33" i="15" s="1"/>
  <c r="AE32" i="15"/>
  <c r="AF32" i="15" s="1"/>
  <c r="J32" i="15"/>
  <c r="K32" i="15" s="1"/>
  <c r="M36" i="15"/>
  <c r="S35" i="15" s="1"/>
  <c r="A36" i="15"/>
  <c r="B35" i="15"/>
  <c r="AM34" i="15"/>
  <c r="P34" i="15"/>
  <c r="Q34" i="15" s="1"/>
  <c r="AA19" i="13"/>
  <c r="AM32" i="13"/>
  <c r="Q32" i="13"/>
  <c r="AM33" i="13"/>
  <c r="Q33" i="13"/>
  <c r="AW19" i="13"/>
  <c r="AZ19" i="13"/>
  <c r="J25" i="13"/>
  <c r="K25" i="13" s="1"/>
  <c r="AE25" i="13"/>
  <c r="AF25" i="13" s="1"/>
  <c r="H26" i="13"/>
  <c r="AL25" i="13"/>
  <c r="U23" i="11"/>
  <c r="AK23" i="11" s="1"/>
  <c r="M35" i="13"/>
  <c r="S34" i="13" s="1"/>
  <c r="P34" i="13" s="1"/>
  <c r="B40" i="13"/>
  <c r="A41" i="13"/>
  <c r="W34" i="11"/>
  <c r="X34" i="11" s="1"/>
  <c r="AD34" i="11"/>
  <c r="I35" i="11"/>
  <c r="J35" i="11" s="1"/>
  <c r="K34" i="11"/>
  <c r="L34" i="11" s="1"/>
  <c r="Y25" i="11"/>
  <c r="N35" i="11"/>
  <c r="Q34" i="11"/>
  <c r="AE34" i="11" s="1"/>
  <c r="B38" i="11"/>
  <c r="C37" i="11"/>
  <c r="Y33" i="8"/>
  <c r="S20" i="8"/>
  <c r="U20" i="8" s="1"/>
  <c r="B37" i="8"/>
  <c r="C36" i="8"/>
  <c r="N36" i="8"/>
  <c r="Q35" i="8" s="1"/>
  <c r="AE35" i="8" s="1"/>
  <c r="I34" i="8"/>
  <c r="J34" i="8" s="1"/>
  <c r="W34" i="8" s="1"/>
  <c r="X34" i="8" s="1"/>
  <c r="K33" i="8"/>
  <c r="L33" i="8" s="1"/>
  <c r="AD33" i="8"/>
  <c r="Y21" i="15" l="1"/>
  <c r="AS21" i="15" s="1"/>
  <c r="W22" i="15"/>
  <c r="W25" i="19"/>
  <c r="Y25" i="19" s="1"/>
  <c r="AS25" i="19" s="1"/>
  <c r="AC21" i="19"/>
  <c r="AU21" i="19" s="1"/>
  <c r="H36" i="19"/>
  <c r="I36" i="19" s="1"/>
  <c r="AE35" i="19"/>
  <c r="AF35" i="19" s="1"/>
  <c r="J35" i="19"/>
  <c r="K35" i="19" s="1"/>
  <c r="AL35" i="19"/>
  <c r="P37" i="19"/>
  <c r="Q37" i="19" s="1"/>
  <c r="AM37" i="19"/>
  <c r="A40" i="19"/>
  <c r="B39" i="19"/>
  <c r="AG24" i="19"/>
  <c r="AA20" i="17"/>
  <c r="AG22" i="17"/>
  <c r="M39" i="19"/>
  <c r="S38" i="19" s="1"/>
  <c r="AA21" i="15"/>
  <c r="AW23" i="15"/>
  <c r="AG24" i="15"/>
  <c r="M37" i="18"/>
  <c r="S36" i="18"/>
  <c r="AY21" i="18"/>
  <c r="AC21" i="18"/>
  <c r="AU21" i="18" s="1"/>
  <c r="AZ23" i="18"/>
  <c r="AI23" i="18"/>
  <c r="AW23" i="18" s="1"/>
  <c r="Y24" i="18"/>
  <c r="AS24" i="18" s="1"/>
  <c r="W25" i="18"/>
  <c r="AX24" i="18"/>
  <c r="A37" i="18"/>
  <c r="B36" i="18"/>
  <c r="AL34" i="18"/>
  <c r="AE34" i="18"/>
  <c r="AF34" i="18" s="1"/>
  <c r="H35" i="18"/>
  <c r="I35" i="18" s="1"/>
  <c r="J34" i="18"/>
  <c r="K34" i="18" s="1"/>
  <c r="AC21" i="15"/>
  <c r="AU21" i="15" s="1"/>
  <c r="AY21" i="15"/>
  <c r="P34" i="18"/>
  <c r="Q34" i="18" s="1"/>
  <c r="AM34" i="18"/>
  <c r="S35" i="18"/>
  <c r="AX21" i="17"/>
  <c r="Y21" i="17"/>
  <c r="AM35" i="17"/>
  <c r="P35" i="17"/>
  <c r="Q35" i="17" s="1"/>
  <c r="B36" i="17"/>
  <c r="A37" i="17"/>
  <c r="AL34" i="17"/>
  <c r="AE34" i="17"/>
  <c r="AF34" i="17" s="1"/>
  <c r="J34" i="17"/>
  <c r="K34" i="17" s="1"/>
  <c r="H35" i="17"/>
  <c r="I35" i="17" s="1"/>
  <c r="AI22" i="17"/>
  <c r="AW22" i="17" s="1"/>
  <c r="AZ22" i="17"/>
  <c r="M37" i="17"/>
  <c r="AL33" i="15"/>
  <c r="J33" i="15"/>
  <c r="K33" i="15" s="1"/>
  <c r="AE33" i="15"/>
  <c r="AF33" i="15" s="1"/>
  <c r="H34" i="15"/>
  <c r="I34" i="15" s="1"/>
  <c r="A37" i="15"/>
  <c r="B36" i="15"/>
  <c r="AM35" i="15"/>
  <c r="P35" i="15"/>
  <c r="Q35" i="15" s="1"/>
  <c r="M37" i="15"/>
  <c r="S36" i="15"/>
  <c r="AY19" i="13"/>
  <c r="AC19" i="13"/>
  <c r="AU19" i="13" s="1"/>
  <c r="AM34" i="13"/>
  <c r="Q34" i="13"/>
  <c r="AG20" i="13"/>
  <c r="AI20" i="13" s="1"/>
  <c r="AW20" i="13" s="1"/>
  <c r="I26" i="13"/>
  <c r="S24" i="11"/>
  <c r="B41" i="13"/>
  <c r="A42" i="13"/>
  <c r="M36" i="13"/>
  <c r="S35" i="13" s="1"/>
  <c r="P35" i="13" s="1"/>
  <c r="W35" i="11"/>
  <c r="X35" i="11" s="1"/>
  <c r="AD35" i="11"/>
  <c r="K35" i="11"/>
  <c r="L35" i="11" s="1"/>
  <c r="I36" i="11"/>
  <c r="J36" i="11" s="1"/>
  <c r="B39" i="11"/>
  <c r="C38" i="11"/>
  <c r="AA25" i="11"/>
  <c r="AM25" i="11" s="1"/>
  <c r="N36" i="11"/>
  <c r="Q35" i="11"/>
  <c r="AE35" i="11" s="1"/>
  <c r="S21" i="8"/>
  <c r="AK20" i="8"/>
  <c r="AD34" i="8"/>
  <c r="I35" i="8"/>
  <c r="J35" i="8" s="1"/>
  <c r="W35" i="8" s="1"/>
  <c r="X35" i="8" s="1"/>
  <c r="K34" i="8"/>
  <c r="L34" i="8" s="1"/>
  <c r="N37" i="8"/>
  <c r="C37" i="8"/>
  <c r="B38" i="8"/>
  <c r="Y22" i="15" l="1"/>
  <c r="AS22" i="15" s="1"/>
  <c r="W23" i="15"/>
  <c r="AX22" i="15"/>
  <c r="AX25" i="19"/>
  <c r="AA22" i="19"/>
  <c r="AY22" i="19" s="1"/>
  <c r="AL36" i="19"/>
  <c r="J36" i="19"/>
  <c r="K36" i="19" s="1"/>
  <c r="AE36" i="19"/>
  <c r="AF36" i="19" s="1"/>
  <c r="H37" i="19"/>
  <c r="I37" i="19" s="1"/>
  <c r="W26" i="19"/>
  <c r="AY20" i="17"/>
  <c r="AC20" i="17"/>
  <c r="AU20" i="17" s="1"/>
  <c r="M40" i="19"/>
  <c r="S39" i="19" s="1"/>
  <c r="AI24" i="19"/>
  <c r="AW24" i="19" s="1"/>
  <c r="AZ24" i="19"/>
  <c r="AM38" i="19"/>
  <c r="P38" i="19"/>
  <c r="Q38" i="19" s="1"/>
  <c r="B40" i="19"/>
  <c r="A41" i="19"/>
  <c r="AA22" i="15"/>
  <c r="AI24" i="15"/>
  <c r="AW24" i="15" s="1"/>
  <c r="AZ24" i="15"/>
  <c r="H36" i="18"/>
  <c r="I36" i="18" s="1"/>
  <c r="AL35" i="18"/>
  <c r="J35" i="18"/>
  <c r="K35" i="18" s="1"/>
  <c r="AE35" i="18"/>
  <c r="AF35" i="18" s="1"/>
  <c r="AY22" i="15"/>
  <c r="AC22" i="15"/>
  <c r="AU22" i="15" s="1"/>
  <c r="B37" i="18"/>
  <c r="A38" i="18"/>
  <c r="AA22" i="18"/>
  <c r="AX25" i="18"/>
  <c r="Y25" i="18"/>
  <c r="AS25" i="18" s="1"/>
  <c r="AM36" i="18"/>
  <c r="P36" i="18"/>
  <c r="AG24" i="18"/>
  <c r="AM35" i="18"/>
  <c r="P35" i="18"/>
  <c r="Q35" i="18" s="1"/>
  <c r="M38" i="18"/>
  <c r="S37" i="18" s="1"/>
  <c r="AS21" i="17"/>
  <c r="W22" i="17"/>
  <c r="AG23" i="17"/>
  <c r="AI23" i="17" s="1"/>
  <c r="AW23" i="17" s="1"/>
  <c r="AL35" i="17"/>
  <c r="J35" i="17"/>
  <c r="K35" i="17" s="1"/>
  <c r="AE35" i="17"/>
  <c r="AF35" i="17" s="1"/>
  <c r="H36" i="17"/>
  <c r="I36" i="17" s="1"/>
  <c r="B37" i="17"/>
  <c r="A38" i="17"/>
  <c r="AZ23" i="17"/>
  <c r="S37" i="17"/>
  <c r="M38" i="17"/>
  <c r="S36" i="17"/>
  <c r="AL34" i="15"/>
  <c r="J34" i="15"/>
  <c r="K34" i="15" s="1"/>
  <c r="H35" i="15"/>
  <c r="I35" i="15" s="1"/>
  <c r="AE34" i="15"/>
  <c r="AF34" i="15" s="1"/>
  <c r="M38" i="15"/>
  <c r="S37" i="15" s="1"/>
  <c r="A38" i="15"/>
  <c r="B37" i="15"/>
  <c r="P36" i="15"/>
  <c r="Q36" i="15" s="1"/>
  <c r="AM36" i="15"/>
  <c r="AA20" i="13"/>
  <c r="AZ20" i="13"/>
  <c r="AM35" i="13"/>
  <c r="Q35" i="13"/>
  <c r="AG21" i="13"/>
  <c r="AI21" i="13" s="1"/>
  <c r="H27" i="13"/>
  <c r="J26" i="13"/>
  <c r="K26" i="13" s="1"/>
  <c r="AL26" i="13"/>
  <c r="AE26" i="13"/>
  <c r="AF26" i="13" s="1"/>
  <c r="U24" i="11"/>
  <c r="AK24" i="11" s="1"/>
  <c r="M37" i="13"/>
  <c r="S36" i="13" s="1"/>
  <c r="P36" i="13" s="1"/>
  <c r="A43" i="13"/>
  <c r="B42" i="13"/>
  <c r="AD36" i="11"/>
  <c r="K36" i="11"/>
  <c r="L36" i="11" s="1"/>
  <c r="W36" i="11"/>
  <c r="X36" i="11" s="1"/>
  <c r="I37" i="11"/>
  <c r="J37" i="11" s="1"/>
  <c r="C39" i="11"/>
  <c r="B40" i="11"/>
  <c r="N37" i="11"/>
  <c r="Q36" i="11"/>
  <c r="AE36" i="11" s="1"/>
  <c r="Y26" i="11"/>
  <c r="I36" i="8"/>
  <c r="J36" i="8" s="1"/>
  <c r="W36" i="8" s="1"/>
  <c r="X36" i="8" s="1"/>
  <c r="K35" i="8"/>
  <c r="L35" i="8" s="1"/>
  <c r="AD35" i="8"/>
  <c r="N38" i="8"/>
  <c r="Q37" i="8" s="1"/>
  <c r="AE37" i="8" s="1"/>
  <c r="Q36" i="8"/>
  <c r="AE36" i="8" s="1"/>
  <c r="B39" i="8"/>
  <c r="C38" i="8"/>
  <c r="Y23" i="15" l="1"/>
  <c r="AS23" i="15" s="1"/>
  <c r="AX23" i="15"/>
  <c r="AC22" i="19"/>
  <c r="AU22" i="19" s="1"/>
  <c r="AL37" i="19"/>
  <c r="J37" i="19"/>
  <c r="K37" i="19" s="1"/>
  <c r="AE37" i="19"/>
  <c r="AF37" i="19" s="1"/>
  <c r="H38" i="19"/>
  <c r="I38" i="19" s="1"/>
  <c r="P39" i="19"/>
  <c r="Q39" i="19" s="1"/>
  <c r="AM39" i="19"/>
  <c r="AG25" i="19"/>
  <c r="B41" i="19"/>
  <c r="A42" i="19"/>
  <c r="M41" i="19"/>
  <c r="S40" i="19" s="1"/>
  <c r="Y26" i="19"/>
  <c r="AS26" i="19" s="1"/>
  <c r="AX26" i="19"/>
  <c r="AA21" i="17"/>
  <c r="AG25" i="15"/>
  <c r="Q36" i="18"/>
  <c r="AM37" i="18"/>
  <c r="P37" i="18"/>
  <c r="Q37" i="18" s="1"/>
  <c r="W26" i="18"/>
  <c r="M39" i="18"/>
  <c r="S38" i="18" s="1"/>
  <c r="H37" i="18"/>
  <c r="I37" i="18" s="1"/>
  <c r="AL36" i="18"/>
  <c r="J36" i="18"/>
  <c r="K36" i="18" s="1"/>
  <c r="AE36" i="18"/>
  <c r="AF36" i="18" s="1"/>
  <c r="AY22" i="18"/>
  <c r="AC22" i="18"/>
  <c r="AU22" i="18" s="1"/>
  <c r="AA23" i="15"/>
  <c r="AI24" i="18"/>
  <c r="AW24" i="18" s="1"/>
  <c r="AZ24" i="18"/>
  <c r="A39" i="18"/>
  <c r="B38" i="18"/>
  <c r="AG24" i="17"/>
  <c r="AZ24" i="17" s="1"/>
  <c r="Y22" i="17"/>
  <c r="AX22" i="17"/>
  <c r="H37" i="17"/>
  <c r="I37" i="17" s="1"/>
  <c r="AL36" i="17"/>
  <c r="J36" i="17"/>
  <c r="K36" i="17" s="1"/>
  <c r="AE36" i="17"/>
  <c r="AF36" i="17" s="1"/>
  <c r="P36" i="17"/>
  <c r="Q36" i="17" s="1"/>
  <c r="AM36" i="17"/>
  <c r="M39" i="17"/>
  <c r="P37" i="17"/>
  <c r="AM37" i="17"/>
  <c r="AI24" i="17"/>
  <c r="AW24" i="17" s="1"/>
  <c r="A39" i="17"/>
  <c r="B38" i="17"/>
  <c r="P37" i="15"/>
  <c r="Q37" i="15" s="1"/>
  <c r="AM37" i="15"/>
  <c r="J35" i="15"/>
  <c r="K35" i="15" s="1"/>
  <c r="H36" i="15"/>
  <c r="I36" i="15" s="1"/>
  <c r="AE35" i="15"/>
  <c r="AF35" i="15" s="1"/>
  <c r="AL35" i="15"/>
  <c r="A39" i="15"/>
  <c r="B38" i="15"/>
  <c r="M39" i="15"/>
  <c r="AC20" i="13"/>
  <c r="AY20" i="13"/>
  <c r="AM36" i="13"/>
  <c r="Q36" i="13"/>
  <c r="AW21" i="13"/>
  <c r="AZ21" i="13"/>
  <c r="I27" i="13"/>
  <c r="S25" i="11"/>
  <c r="U25" i="11" s="1"/>
  <c r="AK25" i="11" s="1"/>
  <c r="A44" i="13"/>
  <c r="B43" i="13"/>
  <c r="M38" i="13"/>
  <c r="S37" i="13" s="1"/>
  <c r="P37" i="13" s="1"/>
  <c r="AD37" i="11"/>
  <c r="I38" i="11"/>
  <c r="J38" i="11" s="1"/>
  <c r="W37" i="11"/>
  <c r="X37" i="11" s="1"/>
  <c r="K37" i="11"/>
  <c r="L37" i="11" s="1"/>
  <c r="C40" i="11"/>
  <c r="B41" i="11"/>
  <c r="AA26" i="11"/>
  <c r="AM26" i="11" s="1"/>
  <c r="N38" i="11"/>
  <c r="U21" i="8"/>
  <c r="I37" i="8"/>
  <c r="J37" i="8" s="1"/>
  <c r="W37" i="8" s="1"/>
  <c r="X37" i="8" s="1"/>
  <c r="K36" i="8"/>
  <c r="L36" i="8" s="1"/>
  <c r="AD36" i="8"/>
  <c r="B40" i="8"/>
  <c r="C39" i="8"/>
  <c r="N39" i="8"/>
  <c r="Q38" i="8" s="1"/>
  <c r="AE38" i="8" s="1"/>
  <c r="W24" i="15" l="1"/>
  <c r="AX24" i="15" s="1"/>
  <c r="AA23" i="19"/>
  <c r="AY23" i="19" s="1"/>
  <c r="W27" i="19"/>
  <c r="J38" i="19"/>
  <c r="K38" i="19" s="1"/>
  <c r="H39" i="19"/>
  <c r="I39" i="19" s="1"/>
  <c r="AE38" i="19"/>
  <c r="AF38" i="19" s="1"/>
  <c r="AL38" i="19"/>
  <c r="AX27" i="19"/>
  <c r="Y27" i="19"/>
  <c r="AS27" i="19" s="1"/>
  <c r="AY21" i="17"/>
  <c r="AC21" i="17"/>
  <c r="AU21" i="17" s="1"/>
  <c r="AA22" i="17"/>
  <c r="AM40" i="19"/>
  <c r="P40" i="19"/>
  <c r="Q40" i="19" s="1"/>
  <c r="AZ25" i="19"/>
  <c r="AI25" i="19"/>
  <c r="AW25" i="19" s="1"/>
  <c r="M42" i="19"/>
  <c r="A43" i="19"/>
  <c r="B42" i="19"/>
  <c r="AI25" i="15"/>
  <c r="AW25" i="15" s="1"/>
  <c r="AZ25" i="15"/>
  <c r="AA23" i="18"/>
  <c r="AC23" i="18" s="1"/>
  <c r="AU23" i="18" s="1"/>
  <c r="AL37" i="18"/>
  <c r="J37" i="18"/>
  <c r="K37" i="18" s="1"/>
  <c r="H38" i="18"/>
  <c r="I38" i="18" s="1"/>
  <c r="AE37" i="18"/>
  <c r="AF37" i="18" s="1"/>
  <c r="AC23" i="15"/>
  <c r="AU23" i="15" s="1"/>
  <c r="AY23" i="15"/>
  <c r="M40" i="18"/>
  <c r="S39" i="18" s="1"/>
  <c r="AY23" i="18"/>
  <c r="AM38" i="18"/>
  <c r="P38" i="18"/>
  <c r="Q38" i="18" s="1"/>
  <c r="A40" i="18"/>
  <c r="B39" i="18"/>
  <c r="AX26" i="18"/>
  <c r="Y26" i="18"/>
  <c r="AS26" i="18" s="1"/>
  <c r="AG25" i="18"/>
  <c r="AS22" i="17"/>
  <c r="W23" i="17"/>
  <c r="Q37" i="17"/>
  <c r="J37" i="17"/>
  <c r="K37" i="17" s="1"/>
  <c r="AL37" i="17"/>
  <c r="AE37" i="17"/>
  <c r="AF37" i="17" s="1"/>
  <c r="H38" i="17"/>
  <c r="I38" i="17" s="1"/>
  <c r="AG25" i="17"/>
  <c r="M40" i="17"/>
  <c r="S39" i="17"/>
  <c r="B39" i="17"/>
  <c r="A40" i="17"/>
  <c r="S38" i="17"/>
  <c r="H37" i="15"/>
  <c r="I37" i="15" s="1"/>
  <c r="AE36" i="15"/>
  <c r="AF36" i="15" s="1"/>
  <c r="AL36" i="15"/>
  <c r="J36" i="15"/>
  <c r="K36" i="15" s="1"/>
  <c r="M40" i="15"/>
  <c r="S38" i="15"/>
  <c r="A40" i="15"/>
  <c r="B39" i="15"/>
  <c r="AA21" i="13"/>
  <c r="AU20" i="13"/>
  <c r="AG22" i="13"/>
  <c r="AM37" i="13"/>
  <c r="Q37" i="13"/>
  <c r="AE27" i="13"/>
  <c r="AF27" i="13" s="1"/>
  <c r="J27" i="13"/>
  <c r="K27" i="13" s="1"/>
  <c r="AL27" i="13"/>
  <c r="H28" i="13"/>
  <c r="S26" i="11"/>
  <c r="A45" i="13"/>
  <c r="B44" i="13"/>
  <c r="M39" i="13"/>
  <c r="Y27" i="11"/>
  <c r="AA27" i="11" s="1"/>
  <c r="AM27" i="11" s="1"/>
  <c r="W38" i="11"/>
  <c r="X38" i="11" s="1"/>
  <c r="I39" i="11"/>
  <c r="J39" i="11" s="1"/>
  <c r="AD38" i="11"/>
  <c r="K38" i="11"/>
  <c r="L38" i="11" s="1"/>
  <c r="B42" i="11"/>
  <c r="C41" i="11"/>
  <c r="N39" i="11"/>
  <c r="Q37" i="11"/>
  <c r="AE37" i="11" s="1"/>
  <c r="AK21" i="8"/>
  <c r="S22" i="8"/>
  <c r="AD37" i="8"/>
  <c r="I38" i="8"/>
  <c r="J38" i="8" s="1"/>
  <c r="W38" i="8" s="1"/>
  <c r="X38" i="8" s="1"/>
  <c r="K37" i="8"/>
  <c r="L37" i="8" s="1"/>
  <c r="C40" i="8"/>
  <c r="B41" i="8"/>
  <c r="N40" i="8"/>
  <c r="Q39" i="8" s="1"/>
  <c r="AE39" i="8" s="1"/>
  <c r="Y24" i="15" l="1"/>
  <c r="AS24" i="15" s="1"/>
  <c r="AC23" i="19"/>
  <c r="AU23" i="19" s="1"/>
  <c r="AG26" i="19"/>
  <c r="AI26" i="19" s="1"/>
  <c r="AW26" i="19" s="1"/>
  <c r="W28" i="19"/>
  <c r="A44" i="19"/>
  <c r="B43" i="19"/>
  <c r="J39" i="19"/>
  <c r="K39" i="19" s="1"/>
  <c r="AE39" i="19"/>
  <c r="AF39" i="19" s="1"/>
  <c r="AL39" i="19"/>
  <c r="H40" i="19"/>
  <c r="I40" i="19" s="1"/>
  <c r="M43" i="19"/>
  <c r="S41" i="19"/>
  <c r="AY22" i="17"/>
  <c r="AC22" i="17"/>
  <c r="AG26" i="15"/>
  <c r="AA24" i="18"/>
  <c r="AL38" i="18"/>
  <c r="H39" i="18"/>
  <c r="I39" i="18" s="1"/>
  <c r="AE38" i="18"/>
  <c r="AF38" i="18" s="1"/>
  <c r="J38" i="18"/>
  <c r="K38" i="18" s="1"/>
  <c r="AA24" i="15"/>
  <c r="A41" i="18"/>
  <c r="B40" i="18"/>
  <c r="AI25" i="18"/>
  <c r="AW25" i="18" s="1"/>
  <c r="AZ25" i="18"/>
  <c r="AY24" i="18"/>
  <c r="AC24" i="18"/>
  <c r="AU24" i="18" s="1"/>
  <c r="W27" i="18"/>
  <c r="P39" i="18"/>
  <c r="Q39" i="18" s="1"/>
  <c r="AM39" i="18"/>
  <c r="M41" i="18"/>
  <c r="Y23" i="17"/>
  <c r="AS23" i="17" s="1"/>
  <c r="AX23" i="17"/>
  <c r="W24" i="17"/>
  <c r="H39" i="17"/>
  <c r="I39" i="17" s="1"/>
  <c r="AE38" i="17"/>
  <c r="AF38" i="17" s="1"/>
  <c r="J38" i="17"/>
  <c r="K38" i="17" s="1"/>
  <c r="AL38" i="17"/>
  <c r="P38" i="17"/>
  <c r="Q38" i="17" s="1"/>
  <c r="AM38" i="17"/>
  <c r="B40" i="17"/>
  <c r="A41" i="17"/>
  <c r="P39" i="17"/>
  <c r="AM39" i="17"/>
  <c r="AZ25" i="17"/>
  <c r="AI25" i="17"/>
  <c r="AW25" i="17" s="1"/>
  <c r="M41" i="17"/>
  <c r="S40" i="17" s="1"/>
  <c r="AE37" i="15"/>
  <c r="AF37" i="15" s="1"/>
  <c r="H38" i="15"/>
  <c r="I38" i="15" s="1"/>
  <c r="AL37" i="15"/>
  <c r="J37" i="15"/>
  <c r="K37" i="15" s="1"/>
  <c r="AM38" i="15"/>
  <c r="P38" i="15"/>
  <c r="Q38" i="15" s="1"/>
  <c r="M41" i="15"/>
  <c r="S40" i="15" s="1"/>
  <c r="S39" i="15"/>
  <c r="A41" i="15"/>
  <c r="B40" i="15"/>
  <c r="AY21" i="13"/>
  <c r="AC21" i="13"/>
  <c r="AU21" i="13" s="1"/>
  <c r="AZ22" i="13"/>
  <c r="AI22" i="13"/>
  <c r="AW22" i="13" s="1"/>
  <c r="I28" i="13"/>
  <c r="U26" i="11"/>
  <c r="AK26" i="11" s="1"/>
  <c r="M40" i="13"/>
  <c r="S39" i="13" s="1"/>
  <c r="P39" i="13" s="1"/>
  <c r="S38" i="13"/>
  <c r="P38" i="13" s="1"/>
  <c r="B45" i="13"/>
  <c r="A46" i="13"/>
  <c r="Y28" i="11"/>
  <c r="AA28" i="11" s="1"/>
  <c r="AM28" i="11" s="1"/>
  <c r="W39" i="11"/>
  <c r="X39" i="11" s="1"/>
  <c r="K39" i="11"/>
  <c r="L39" i="11" s="1"/>
  <c r="AD39" i="11"/>
  <c r="I40" i="11"/>
  <c r="J40" i="11" s="1"/>
  <c r="N40" i="11"/>
  <c r="Q39" i="11"/>
  <c r="AE39" i="11" s="1"/>
  <c r="B43" i="11"/>
  <c r="C42" i="11"/>
  <c r="Q38" i="11"/>
  <c r="AE38" i="11" s="1"/>
  <c r="U22" i="8"/>
  <c r="AK22" i="8" s="1"/>
  <c r="K38" i="8"/>
  <c r="L38" i="8" s="1"/>
  <c r="I39" i="8"/>
  <c r="J39" i="8" s="1"/>
  <c r="W39" i="8" s="1"/>
  <c r="X39" i="8" s="1"/>
  <c r="AD38" i="8"/>
  <c r="C41" i="8"/>
  <c r="B42" i="8"/>
  <c r="N41" i="8"/>
  <c r="Q40" i="8" s="1"/>
  <c r="AE40" i="8" s="1"/>
  <c r="W25" i="15" l="1"/>
  <c r="Y25" i="15" s="1"/>
  <c r="AS25" i="15" s="1"/>
  <c r="W26" i="15"/>
  <c r="AX26" i="15" s="1"/>
  <c r="AX25" i="15"/>
  <c r="Y26" i="15"/>
  <c r="AS26" i="15" s="1"/>
  <c r="AZ26" i="19"/>
  <c r="AA24" i="19"/>
  <c r="AY24" i="19" s="1"/>
  <c r="AL40" i="19"/>
  <c r="J40" i="19"/>
  <c r="K40" i="19" s="1"/>
  <c r="AE40" i="19"/>
  <c r="AF40" i="19" s="1"/>
  <c r="H41" i="19"/>
  <c r="I41" i="19" s="1"/>
  <c r="M44" i="19"/>
  <c r="S43" i="19" s="1"/>
  <c r="AG27" i="19"/>
  <c r="P41" i="19"/>
  <c r="Q41" i="19" s="1"/>
  <c r="AM41" i="19"/>
  <c r="AU22" i="17"/>
  <c r="AA23" i="17"/>
  <c r="S42" i="19"/>
  <c r="B44" i="19"/>
  <c r="A45" i="19"/>
  <c r="AX28" i="19"/>
  <c r="Y28" i="19"/>
  <c r="AS28" i="19" s="1"/>
  <c r="AZ26" i="15"/>
  <c r="AI26" i="15"/>
  <c r="AW26" i="15" s="1"/>
  <c r="A42" i="18"/>
  <c r="B41" i="18"/>
  <c r="AY24" i="15"/>
  <c r="AC24" i="15"/>
  <c r="AU24" i="15" s="1"/>
  <c r="M42" i="18"/>
  <c r="S41" i="18" s="1"/>
  <c r="S40" i="18"/>
  <c r="AA25" i="18"/>
  <c r="J39" i="18"/>
  <c r="K39" i="18" s="1"/>
  <c r="AL39" i="18"/>
  <c r="AE39" i="18"/>
  <c r="AF39" i="18" s="1"/>
  <c r="H40" i="18"/>
  <c r="I40" i="18" s="1"/>
  <c r="AX27" i="18"/>
  <c r="Y27" i="18"/>
  <c r="AS27" i="18" s="1"/>
  <c r="AG26" i="18"/>
  <c r="Y24" i="17"/>
  <c r="AS24" i="17" s="1"/>
  <c r="W25" i="17"/>
  <c r="AX24" i="17"/>
  <c r="P40" i="17"/>
  <c r="Q40" i="17" s="1"/>
  <c r="AM40" i="17"/>
  <c r="H40" i="17"/>
  <c r="I40" i="17" s="1"/>
  <c r="AE39" i="17"/>
  <c r="AF39" i="17" s="1"/>
  <c r="AL39" i="17"/>
  <c r="J39" i="17"/>
  <c r="K39" i="17" s="1"/>
  <c r="A42" i="17"/>
  <c r="B41" i="17"/>
  <c r="AG26" i="17"/>
  <c r="M42" i="17"/>
  <c r="S41" i="17"/>
  <c r="Q39" i="17"/>
  <c r="AM40" i="15"/>
  <c r="P40" i="15"/>
  <c r="B41" i="15"/>
  <c r="A42" i="15"/>
  <c r="AM39" i="15"/>
  <c r="P39" i="15"/>
  <c r="Q39" i="15" s="1"/>
  <c r="AL38" i="15"/>
  <c r="J38" i="15"/>
  <c r="K38" i="15" s="1"/>
  <c r="AE38" i="15"/>
  <c r="AF38" i="15" s="1"/>
  <c r="H39" i="15"/>
  <c r="I39" i="15" s="1"/>
  <c r="M42" i="15"/>
  <c r="S41" i="15" s="1"/>
  <c r="AA22" i="13"/>
  <c r="AG23" i="13"/>
  <c r="AI23" i="13" s="1"/>
  <c r="AW23" i="13" s="1"/>
  <c r="AM39" i="13"/>
  <c r="Q39" i="13"/>
  <c r="AM38" i="13"/>
  <c r="Q38" i="13"/>
  <c r="H29" i="13"/>
  <c r="J28" i="13"/>
  <c r="K28" i="13" s="1"/>
  <c r="AL28" i="13"/>
  <c r="AE28" i="13"/>
  <c r="AF28" i="13" s="1"/>
  <c r="S27" i="11"/>
  <c r="U27" i="11" s="1"/>
  <c r="AK27" i="11" s="1"/>
  <c r="M41" i="13"/>
  <c r="S40" i="13" s="1"/>
  <c r="P40" i="13" s="1"/>
  <c r="A47" i="13"/>
  <c r="B46" i="13"/>
  <c r="AD40" i="11"/>
  <c r="K40" i="11"/>
  <c r="L40" i="11" s="1"/>
  <c r="W40" i="11"/>
  <c r="X40" i="11" s="1"/>
  <c r="I41" i="11"/>
  <c r="J41" i="11" s="1"/>
  <c r="B44" i="11"/>
  <c r="C43" i="11"/>
  <c r="N41" i="11"/>
  <c r="Q40" i="11" s="1"/>
  <c r="AE40" i="11" s="1"/>
  <c r="Y29" i="11"/>
  <c r="S23" i="8"/>
  <c r="AD39" i="8"/>
  <c r="K39" i="8"/>
  <c r="L39" i="8" s="1"/>
  <c r="I40" i="8"/>
  <c r="J40" i="8" s="1"/>
  <c r="W40" i="8" s="1"/>
  <c r="X40" i="8" s="1"/>
  <c r="N42" i="8"/>
  <c r="Q41" i="8" s="1"/>
  <c r="AE41" i="8" s="1"/>
  <c r="B43" i="8"/>
  <c r="C42" i="8"/>
  <c r="W27" i="15" l="1"/>
  <c r="AC24" i="19"/>
  <c r="AU24" i="19" s="1"/>
  <c r="J41" i="19"/>
  <c r="K41" i="19" s="1"/>
  <c r="AE41" i="19"/>
  <c r="AF41" i="19" s="1"/>
  <c r="H42" i="19"/>
  <c r="I42" i="19" s="1"/>
  <c r="AL41" i="19"/>
  <c r="P43" i="19"/>
  <c r="AM43" i="19"/>
  <c r="AY23" i="17"/>
  <c r="AC23" i="17"/>
  <c r="AU23" i="17" s="1"/>
  <c r="AZ27" i="19"/>
  <c r="AI27" i="19"/>
  <c r="AW27" i="19" s="1"/>
  <c r="M45" i="19"/>
  <c r="W29" i="19"/>
  <c r="A46" i="19"/>
  <c r="B45" i="19"/>
  <c r="AA25" i="19"/>
  <c r="P42" i="19"/>
  <c r="Q42" i="19" s="1"/>
  <c r="AM42" i="19"/>
  <c r="AG27" i="15"/>
  <c r="AM41" i="18"/>
  <c r="P41" i="18"/>
  <c r="J40" i="18"/>
  <c r="K40" i="18" s="1"/>
  <c r="H41" i="18"/>
  <c r="I41" i="18" s="1"/>
  <c r="AL40" i="18"/>
  <c r="AE40" i="18"/>
  <c r="AF40" i="18" s="1"/>
  <c r="M43" i="18"/>
  <c r="AA25" i="15"/>
  <c r="AZ26" i="18"/>
  <c r="AI26" i="18"/>
  <c r="AW26" i="18" s="1"/>
  <c r="W28" i="18"/>
  <c r="AY25" i="18"/>
  <c r="AC25" i="18"/>
  <c r="AU25" i="18" s="1"/>
  <c r="P40" i="18"/>
  <c r="Q40" i="18" s="1"/>
  <c r="AM40" i="18"/>
  <c r="A43" i="18"/>
  <c r="B42" i="18"/>
  <c r="AX25" i="17"/>
  <c r="Y25" i="17"/>
  <c r="AS25" i="17" s="1"/>
  <c r="AM41" i="17"/>
  <c r="P41" i="17"/>
  <c r="Q41" i="17" s="1"/>
  <c r="A43" i="17"/>
  <c r="B42" i="17"/>
  <c r="AL40" i="17"/>
  <c r="H41" i="17"/>
  <c r="I41" i="17" s="1"/>
  <c r="AE40" i="17"/>
  <c r="AF40" i="17" s="1"/>
  <c r="J40" i="17"/>
  <c r="K40" i="17" s="1"/>
  <c r="M43" i="17"/>
  <c r="S42" i="17"/>
  <c r="AI26" i="17"/>
  <c r="AW26" i="17" s="1"/>
  <c r="AZ26" i="17"/>
  <c r="J39" i="15"/>
  <c r="K39" i="15" s="1"/>
  <c r="H40" i="15"/>
  <c r="I40" i="15" s="1"/>
  <c r="AL39" i="15"/>
  <c r="AE39" i="15"/>
  <c r="AF39" i="15" s="1"/>
  <c r="B42" i="15"/>
  <c r="A43" i="15"/>
  <c r="P41" i="15"/>
  <c r="Q41" i="15" s="1"/>
  <c r="AM41" i="15"/>
  <c r="Q40" i="15"/>
  <c r="M43" i="15"/>
  <c r="S42" i="15"/>
  <c r="AY22" i="13"/>
  <c r="AC22" i="13"/>
  <c r="AU22" i="13" s="1"/>
  <c r="AZ23" i="13"/>
  <c r="AM40" i="13"/>
  <c r="Q40" i="13"/>
  <c r="AG24" i="13"/>
  <c r="AI24" i="13" s="1"/>
  <c r="I29" i="13"/>
  <c r="S28" i="11"/>
  <c r="A48" i="13"/>
  <c r="B47" i="13"/>
  <c r="M42" i="13"/>
  <c r="AD41" i="11"/>
  <c r="I42" i="11"/>
  <c r="J42" i="11" s="1"/>
  <c r="W41" i="11"/>
  <c r="X41" i="11" s="1"/>
  <c r="K41" i="11"/>
  <c r="L41" i="11" s="1"/>
  <c r="B45" i="11"/>
  <c r="C44" i="11"/>
  <c r="AA29" i="11"/>
  <c r="AM29" i="11" s="1"/>
  <c r="N42" i="11"/>
  <c r="Q41" i="11" s="1"/>
  <c r="AE41" i="11" s="1"/>
  <c r="U23" i="8"/>
  <c r="AK23" i="8" s="1"/>
  <c r="AD40" i="8"/>
  <c r="I41" i="8"/>
  <c r="J41" i="8" s="1"/>
  <c r="W41" i="8" s="1"/>
  <c r="X41" i="8" s="1"/>
  <c r="K40" i="8"/>
  <c r="L40" i="8" s="1"/>
  <c r="B44" i="8"/>
  <c r="C43" i="8"/>
  <c r="N43" i="8"/>
  <c r="Y27" i="15" l="1"/>
  <c r="AS27" i="15" s="1"/>
  <c r="AX27" i="15"/>
  <c r="A47" i="19"/>
  <c r="B46" i="19"/>
  <c r="AA24" i="17"/>
  <c r="AX29" i="19"/>
  <c r="Y29" i="19"/>
  <c r="AS29" i="19" s="1"/>
  <c r="M46" i="19"/>
  <c r="S45" i="19" s="1"/>
  <c r="Q43" i="19"/>
  <c r="H43" i="19"/>
  <c r="I43" i="19" s="1"/>
  <c r="AE42" i="19"/>
  <c r="AF42" i="19" s="1"/>
  <c r="AL42" i="19"/>
  <c r="J42" i="19"/>
  <c r="K42" i="19" s="1"/>
  <c r="S44" i="19"/>
  <c r="AY25" i="19"/>
  <c r="AC25" i="19"/>
  <c r="AU25" i="19" s="1"/>
  <c r="AG28" i="19"/>
  <c r="AI27" i="15"/>
  <c r="AW27" i="15" s="1"/>
  <c r="AZ27" i="15"/>
  <c r="J41" i="18"/>
  <c r="K41" i="18" s="1"/>
  <c r="H42" i="18"/>
  <c r="I42" i="18" s="1"/>
  <c r="AE41" i="18"/>
  <c r="AF41" i="18" s="1"/>
  <c r="AL41" i="18"/>
  <c r="Y28" i="18"/>
  <c r="AS28" i="18" s="1"/>
  <c r="AX28" i="18"/>
  <c r="A44" i="18"/>
  <c r="B43" i="18"/>
  <c r="AG27" i="18"/>
  <c r="AY25" i="15"/>
  <c r="AC25" i="15"/>
  <c r="AU25" i="15" s="1"/>
  <c r="Q41" i="18"/>
  <c r="M44" i="18"/>
  <c r="AA26" i="18"/>
  <c r="S42" i="18"/>
  <c r="W26" i="17"/>
  <c r="J41" i="17"/>
  <c r="K41" i="17" s="1"/>
  <c r="AL41" i="17"/>
  <c r="AE41" i="17"/>
  <c r="AF41" i="17" s="1"/>
  <c r="H42" i="17"/>
  <c r="I42" i="17" s="1"/>
  <c r="AM42" i="17"/>
  <c r="P42" i="17"/>
  <c r="Q42" i="17" s="1"/>
  <c r="S43" i="17"/>
  <c r="M44" i="17"/>
  <c r="A44" i="17"/>
  <c r="B43" i="17"/>
  <c r="AG27" i="17"/>
  <c r="H41" i="15"/>
  <c r="I41" i="15" s="1"/>
  <c r="AE40" i="15"/>
  <c r="AF40" i="15" s="1"/>
  <c r="J40" i="15"/>
  <c r="K40" i="15" s="1"/>
  <c r="AL40" i="15"/>
  <c r="B43" i="15"/>
  <c r="A44" i="15"/>
  <c r="M44" i="15"/>
  <c r="P42" i="15"/>
  <c r="Q42" i="15" s="1"/>
  <c r="AM42" i="15"/>
  <c r="AA23" i="13"/>
  <c r="AY23" i="13" s="1"/>
  <c r="AZ24" i="13"/>
  <c r="AW24" i="13"/>
  <c r="AE29" i="13"/>
  <c r="AF29" i="13" s="1"/>
  <c r="J29" i="13"/>
  <c r="K29" i="13" s="1"/>
  <c r="AL29" i="13"/>
  <c r="H30" i="13"/>
  <c r="U28" i="11"/>
  <c r="AK28" i="11" s="1"/>
  <c r="M43" i="13"/>
  <c r="S42" i="13" s="1"/>
  <c r="P42" i="13" s="1"/>
  <c r="A49" i="13"/>
  <c r="B48" i="13"/>
  <c r="S41" i="13"/>
  <c r="P41" i="13" s="1"/>
  <c r="Y30" i="11"/>
  <c r="AA30" i="11" s="1"/>
  <c r="AM30" i="11" s="1"/>
  <c r="W42" i="11"/>
  <c r="X42" i="11" s="1"/>
  <c r="I43" i="11"/>
  <c r="J43" i="11" s="1"/>
  <c r="AD42" i="11"/>
  <c r="K42" i="11"/>
  <c r="L42" i="11" s="1"/>
  <c r="B46" i="11"/>
  <c r="C45" i="11"/>
  <c r="N43" i="11"/>
  <c r="S24" i="8"/>
  <c r="I42" i="8"/>
  <c r="J42" i="8" s="1"/>
  <c r="W42" i="8" s="1"/>
  <c r="X42" i="8" s="1"/>
  <c r="AD41" i="8"/>
  <c r="K41" i="8"/>
  <c r="L41" i="8" s="1"/>
  <c r="N44" i="8"/>
  <c r="Q43" i="8" s="1"/>
  <c r="AE43" i="8" s="1"/>
  <c r="Q42" i="8"/>
  <c r="AE42" i="8" s="1"/>
  <c r="B45" i="8"/>
  <c r="C44" i="8"/>
  <c r="W28" i="15" l="1"/>
  <c r="AX28" i="15" s="1"/>
  <c r="AA26" i="19"/>
  <c r="AY26" i="19" s="1"/>
  <c r="W30" i="19"/>
  <c r="Y30" i="19" s="1"/>
  <c r="AS30" i="19" s="1"/>
  <c r="H44" i="19"/>
  <c r="I44" i="19" s="1"/>
  <c r="AE43" i="19"/>
  <c r="AF43" i="19" s="1"/>
  <c r="AL43" i="19"/>
  <c r="J43" i="19"/>
  <c r="K43" i="19" s="1"/>
  <c r="AM45" i="19"/>
  <c r="P45" i="19"/>
  <c r="P44" i="19"/>
  <c r="Q44" i="19" s="1"/>
  <c r="AM44" i="19"/>
  <c r="M47" i="19"/>
  <c r="S46" i="19" s="1"/>
  <c r="AI28" i="19"/>
  <c r="AW28" i="19" s="1"/>
  <c r="AZ28" i="19"/>
  <c r="AY24" i="17"/>
  <c r="AC24" i="17"/>
  <c r="AU24" i="17" s="1"/>
  <c r="AA25" i="17"/>
  <c r="A48" i="19"/>
  <c r="B47" i="19"/>
  <c r="AG28" i="15"/>
  <c r="W29" i="18"/>
  <c r="H43" i="18"/>
  <c r="I43" i="18" s="1"/>
  <c r="AE42" i="18"/>
  <c r="AF42" i="18" s="1"/>
  <c r="AL42" i="18"/>
  <c r="J42" i="18"/>
  <c r="K42" i="18" s="1"/>
  <c r="AA26" i="15"/>
  <c r="AX29" i="18"/>
  <c r="Y29" i="18"/>
  <c r="AS29" i="18" s="1"/>
  <c r="P42" i="18"/>
  <c r="Q42" i="18" s="1"/>
  <c r="AM42" i="18"/>
  <c r="AY26" i="18"/>
  <c r="AC26" i="18"/>
  <c r="AU26" i="18" s="1"/>
  <c r="AZ27" i="18"/>
  <c r="AI27" i="18"/>
  <c r="AW27" i="18" s="1"/>
  <c r="M45" i="18"/>
  <c r="S44" i="18" s="1"/>
  <c r="S43" i="18"/>
  <c r="A45" i="18"/>
  <c r="B44" i="18"/>
  <c r="AX26" i="17"/>
  <c r="Y26" i="17"/>
  <c r="AS26" i="17" s="1"/>
  <c r="AL42" i="17"/>
  <c r="J42" i="17"/>
  <c r="K42" i="17" s="1"/>
  <c r="H43" i="17"/>
  <c r="I43" i="17" s="1"/>
  <c r="AE42" i="17"/>
  <c r="AF42" i="17" s="1"/>
  <c r="AI27" i="17"/>
  <c r="AW27" i="17" s="1"/>
  <c r="AZ27" i="17"/>
  <c r="AM43" i="17"/>
  <c r="P43" i="17"/>
  <c r="Q43" i="17" s="1"/>
  <c r="A45" i="17"/>
  <c r="B44" i="17"/>
  <c r="M45" i="17"/>
  <c r="S44" i="17" s="1"/>
  <c r="AC23" i="13"/>
  <c r="AU23" i="13" s="1"/>
  <c r="H42" i="15"/>
  <c r="I42" i="15" s="1"/>
  <c r="J41" i="15"/>
  <c r="K41" i="15" s="1"/>
  <c r="AE41" i="15"/>
  <c r="AF41" i="15" s="1"/>
  <c r="AL41" i="15"/>
  <c r="M45" i="15"/>
  <c r="S44" i="15" s="1"/>
  <c r="B44" i="15"/>
  <c r="A45" i="15"/>
  <c r="S43" i="15"/>
  <c r="AG25" i="13"/>
  <c r="AI25" i="13" s="1"/>
  <c r="AM41" i="13"/>
  <c r="Q41" i="13"/>
  <c r="AM42" i="13"/>
  <c r="Q42" i="13"/>
  <c r="I30" i="13"/>
  <c r="S29" i="11"/>
  <c r="U29" i="11" s="1"/>
  <c r="B49" i="13"/>
  <c r="A50" i="13"/>
  <c r="M44" i="13"/>
  <c r="W43" i="11"/>
  <c r="X43" i="11" s="1"/>
  <c r="K43" i="11"/>
  <c r="L43" i="11" s="1"/>
  <c r="AD43" i="11"/>
  <c r="I44" i="11"/>
  <c r="J44" i="11" s="1"/>
  <c r="N44" i="11"/>
  <c r="Q43" i="11" s="1"/>
  <c r="AE43" i="11" s="1"/>
  <c r="C46" i="11"/>
  <c r="B47" i="11"/>
  <c r="Y31" i="11"/>
  <c r="Q42" i="11"/>
  <c r="AE42" i="11" s="1"/>
  <c r="U24" i="8"/>
  <c r="S25" i="8" s="1"/>
  <c r="C45" i="8"/>
  <c r="B46" i="8"/>
  <c r="N45" i="8"/>
  <c r="AD42" i="8"/>
  <c r="I43" i="8"/>
  <c r="J43" i="8" s="1"/>
  <c r="W43" i="8" s="1"/>
  <c r="X43" i="8" s="1"/>
  <c r="K42" i="8"/>
  <c r="L42" i="8" s="1"/>
  <c r="Y28" i="15" l="1"/>
  <c r="AS28" i="15" s="1"/>
  <c r="AC26" i="19"/>
  <c r="AU26" i="19" s="1"/>
  <c r="AX30" i="19"/>
  <c r="W31" i="19"/>
  <c r="AX31" i="19" s="1"/>
  <c r="AG29" i="19"/>
  <c r="AI29" i="19" s="1"/>
  <c r="AW29" i="19" s="1"/>
  <c r="AE44" i="19"/>
  <c r="AF44" i="19" s="1"/>
  <c r="H45" i="19"/>
  <c r="I45" i="19" s="1"/>
  <c r="J44" i="19"/>
  <c r="K44" i="19" s="1"/>
  <c r="AL44" i="19"/>
  <c r="AY25" i="17"/>
  <c r="AC25" i="17"/>
  <c r="AU25" i="17" s="1"/>
  <c r="AA26" i="17"/>
  <c r="M48" i="19"/>
  <c r="AZ29" i="19"/>
  <c r="AM46" i="19"/>
  <c r="P46" i="19"/>
  <c r="Q46" i="19" s="1"/>
  <c r="Q45" i="19"/>
  <c r="A49" i="19"/>
  <c r="B48" i="19"/>
  <c r="AZ28" i="15"/>
  <c r="AI28" i="15"/>
  <c r="AW28" i="15" s="1"/>
  <c r="AG28" i="18"/>
  <c r="W30" i="18"/>
  <c r="AM44" i="18"/>
  <c r="P44" i="18"/>
  <c r="AI28" i="18"/>
  <c r="AW28" i="18" s="1"/>
  <c r="AZ28" i="18"/>
  <c r="B45" i="18"/>
  <c r="A46" i="18"/>
  <c r="AC26" i="15"/>
  <c r="AU26" i="15" s="1"/>
  <c r="AY26" i="15"/>
  <c r="P43" i="18"/>
  <c r="Q43" i="18" s="1"/>
  <c r="AM43" i="18"/>
  <c r="AE43" i="18"/>
  <c r="AF43" i="18" s="1"/>
  <c r="J43" i="18"/>
  <c r="K43" i="18" s="1"/>
  <c r="AL43" i="18"/>
  <c r="H44" i="18"/>
  <c r="I44" i="18" s="1"/>
  <c r="AA27" i="18"/>
  <c r="M46" i="18"/>
  <c r="S45" i="18" s="1"/>
  <c r="AX30" i="18"/>
  <c r="Y30" i="18"/>
  <c r="AS30" i="18" s="1"/>
  <c r="W27" i="17"/>
  <c r="AL43" i="17"/>
  <c r="H44" i="17"/>
  <c r="I44" i="17" s="1"/>
  <c r="AE43" i="17"/>
  <c r="AF43" i="17" s="1"/>
  <c r="J43" i="17"/>
  <c r="K43" i="17" s="1"/>
  <c r="M46" i="17"/>
  <c r="AG28" i="17"/>
  <c r="P44" i="17"/>
  <c r="Q44" i="17" s="1"/>
  <c r="AM44" i="17"/>
  <c r="B45" i="17"/>
  <c r="A46" i="17"/>
  <c r="AA24" i="13"/>
  <c r="AY24" i="13" s="1"/>
  <c r="AM44" i="15"/>
  <c r="P44" i="15"/>
  <c r="A46" i="15"/>
  <c r="B45" i="15"/>
  <c r="AM43" i="15"/>
  <c r="P43" i="15"/>
  <c r="Q43" i="15" s="1"/>
  <c r="AE42" i="15"/>
  <c r="AF42" i="15" s="1"/>
  <c r="AL42" i="15"/>
  <c r="H43" i="15"/>
  <c r="I43" i="15" s="1"/>
  <c r="J42" i="15"/>
  <c r="K42" i="15" s="1"/>
  <c r="M46" i="15"/>
  <c r="S45" i="15" s="1"/>
  <c r="AC24" i="13"/>
  <c r="AU24" i="13" s="1"/>
  <c r="AZ25" i="13"/>
  <c r="AW25" i="13"/>
  <c r="AG26" i="13"/>
  <c r="AI26" i="13" s="1"/>
  <c r="J30" i="13"/>
  <c r="K30" i="13" s="1"/>
  <c r="AE30" i="13"/>
  <c r="AF30" i="13" s="1"/>
  <c r="H31" i="13"/>
  <c r="AL30" i="13"/>
  <c r="AK29" i="11"/>
  <c r="S30" i="11"/>
  <c r="U30" i="11" s="1"/>
  <c r="AK30" i="11" s="1"/>
  <c r="M45" i="13"/>
  <c r="S44" i="13" s="1"/>
  <c r="P44" i="13" s="1"/>
  <c r="S43" i="13"/>
  <c r="P43" i="13" s="1"/>
  <c r="B50" i="13"/>
  <c r="A51" i="13"/>
  <c r="W44" i="11"/>
  <c r="X44" i="11" s="1"/>
  <c r="K44" i="11"/>
  <c r="L44" i="11" s="1"/>
  <c r="AD44" i="11"/>
  <c r="I45" i="11"/>
  <c r="J45" i="11" s="1"/>
  <c r="N45" i="11"/>
  <c r="Q44" i="11"/>
  <c r="AE44" i="11" s="1"/>
  <c r="AA31" i="11"/>
  <c r="AM31" i="11" s="1"/>
  <c r="C47" i="11"/>
  <c r="B48" i="11"/>
  <c r="AK24" i="8"/>
  <c r="I44" i="8"/>
  <c r="J44" i="8" s="1"/>
  <c r="W44" i="8" s="1"/>
  <c r="X44" i="8" s="1"/>
  <c r="AD43" i="8"/>
  <c r="K43" i="8"/>
  <c r="L43" i="8" s="1"/>
  <c r="C46" i="8"/>
  <c r="B47" i="8"/>
  <c r="N46" i="8"/>
  <c r="Q45" i="8" s="1"/>
  <c r="AE45" i="8" s="1"/>
  <c r="Q44" i="8"/>
  <c r="AE44" i="8" s="1"/>
  <c r="W29" i="15" l="1"/>
  <c r="Y31" i="19"/>
  <c r="AS31" i="19" s="1"/>
  <c r="AA27" i="19"/>
  <c r="AC27" i="19" s="1"/>
  <c r="AU27" i="19" s="1"/>
  <c r="AG30" i="19"/>
  <c r="AI30" i="19" s="1"/>
  <c r="AW30" i="19" s="1"/>
  <c r="H46" i="19"/>
  <c r="I46" i="19" s="1"/>
  <c r="J45" i="19"/>
  <c r="K45" i="19" s="1"/>
  <c r="AL45" i="19"/>
  <c r="AE45" i="19"/>
  <c r="AF45" i="19" s="1"/>
  <c r="B49" i="19"/>
  <c r="A50" i="19"/>
  <c r="AY26" i="17"/>
  <c r="AC26" i="17"/>
  <c r="AU26" i="17" s="1"/>
  <c r="AZ30" i="19"/>
  <c r="M49" i="19"/>
  <c r="S47" i="19"/>
  <c r="AA27" i="17"/>
  <c r="AC27" i="17" s="1"/>
  <c r="AU27" i="17" s="1"/>
  <c r="AG29" i="15"/>
  <c r="AA27" i="15"/>
  <c r="AY27" i="15" s="1"/>
  <c r="AG29" i="18"/>
  <c r="AC27" i="15"/>
  <c r="AU27" i="15" s="1"/>
  <c r="AA28" i="15"/>
  <c r="AY27" i="17"/>
  <c r="W31" i="18"/>
  <c r="B46" i="18"/>
  <c r="A47" i="18"/>
  <c r="AE44" i="18"/>
  <c r="AF44" i="18" s="1"/>
  <c r="H45" i="18"/>
  <c r="I45" i="18" s="1"/>
  <c r="J44" i="18"/>
  <c r="K44" i="18" s="1"/>
  <c r="AL44" i="18"/>
  <c r="AM45" i="18"/>
  <c r="P45" i="18"/>
  <c r="Q45" i="18" s="1"/>
  <c r="M47" i="18"/>
  <c r="S46" i="18" s="1"/>
  <c r="AZ29" i="18"/>
  <c r="AI29" i="18"/>
  <c r="AW29" i="18" s="1"/>
  <c r="AY27" i="18"/>
  <c r="AC27" i="18"/>
  <c r="AU27" i="18" s="1"/>
  <c r="Q44" i="18"/>
  <c r="AX27" i="17"/>
  <c r="Y27" i="17"/>
  <c r="AS27" i="17" s="1"/>
  <c r="J44" i="17"/>
  <c r="K44" i="17" s="1"/>
  <c r="AL44" i="17"/>
  <c r="AE44" i="17"/>
  <c r="AF44" i="17" s="1"/>
  <c r="H45" i="17"/>
  <c r="I45" i="17" s="1"/>
  <c r="S46" i="17"/>
  <c r="M47" i="17"/>
  <c r="S45" i="17"/>
  <c r="AA28" i="17"/>
  <c r="AI28" i="17"/>
  <c r="AW28" i="17" s="1"/>
  <c r="AZ28" i="17"/>
  <c r="A47" i="17"/>
  <c r="B46" i="17"/>
  <c r="AA25" i="13"/>
  <c r="AY25" i="13" s="1"/>
  <c r="J43" i="15"/>
  <c r="K43" i="15" s="1"/>
  <c r="AE43" i="15"/>
  <c r="AF43" i="15" s="1"/>
  <c r="H44" i="15"/>
  <c r="I44" i="15" s="1"/>
  <c r="AL43" i="15"/>
  <c r="P45" i="15"/>
  <c r="Q45" i="15" s="1"/>
  <c r="AM45" i="15"/>
  <c r="M47" i="15"/>
  <c r="S46" i="15" s="1"/>
  <c r="A47" i="15"/>
  <c r="B46" i="15"/>
  <c r="Q44" i="15"/>
  <c r="S31" i="11"/>
  <c r="U31" i="11" s="1"/>
  <c r="AK31" i="11" s="1"/>
  <c r="AM43" i="13"/>
  <c r="Q43" i="13"/>
  <c r="AM44" i="13"/>
  <c r="Q44" i="13"/>
  <c r="AZ26" i="13"/>
  <c r="I31" i="13"/>
  <c r="M46" i="13"/>
  <c r="S45" i="13" s="1"/>
  <c r="P45" i="13" s="1"/>
  <c r="A52" i="13"/>
  <c r="B51" i="13"/>
  <c r="W45" i="11"/>
  <c r="X45" i="11" s="1"/>
  <c r="K45" i="11"/>
  <c r="L45" i="11" s="1"/>
  <c r="AD45" i="11"/>
  <c r="I46" i="11"/>
  <c r="J46" i="11" s="1"/>
  <c r="C48" i="11"/>
  <c r="B49" i="11"/>
  <c r="N46" i="11"/>
  <c r="Y32" i="11"/>
  <c r="U25" i="8"/>
  <c r="I45" i="8"/>
  <c r="J45" i="8" s="1"/>
  <c r="W45" i="8" s="1"/>
  <c r="X45" i="8" s="1"/>
  <c r="K44" i="8"/>
  <c r="L44" i="8" s="1"/>
  <c r="AD44" i="8"/>
  <c r="N47" i="8"/>
  <c r="Q46" i="8" s="1"/>
  <c r="AE46" i="8" s="1"/>
  <c r="B48" i="8"/>
  <c r="C47" i="8"/>
  <c r="AX29" i="15" l="1"/>
  <c r="Y29" i="15"/>
  <c r="AY27" i="19"/>
  <c r="W32" i="19"/>
  <c r="AX32" i="19" s="1"/>
  <c r="AL46" i="19"/>
  <c r="H47" i="19"/>
  <c r="I47" i="19" s="1"/>
  <c r="J46" i="19"/>
  <c r="K46" i="19" s="1"/>
  <c r="AE46" i="19"/>
  <c r="AF46" i="19" s="1"/>
  <c r="AA28" i="19"/>
  <c r="AM47" i="19"/>
  <c r="P47" i="19"/>
  <c r="Q47" i="19" s="1"/>
  <c r="AG31" i="19"/>
  <c r="M50" i="19"/>
  <c r="S49" i="19" s="1"/>
  <c r="B50" i="19"/>
  <c r="A51" i="19"/>
  <c r="S48" i="19"/>
  <c r="AI29" i="15"/>
  <c r="AW29" i="15" s="1"/>
  <c r="AZ29" i="15"/>
  <c r="AL45" i="18"/>
  <c r="J45" i="18"/>
  <c r="K45" i="18" s="1"/>
  <c r="H46" i="18"/>
  <c r="I46" i="18" s="1"/>
  <c r="AE45" i="18"/>
  <c r="AF45" i="18" s="1"/>
  <c r="A48" i="18"/>
  <c r="B47" i="18"/>
  <c r="AA28" i="18"/>
  <c r="AX31" i="18"/>
  <c r="Y31" i="18"/>
  <c r="AS31" i="18" s="1"/>
  <c r="W32" i="18"/>
  <c r="AG30" i="18"/>
  <c r="AY28" i="15"/>
  <c r="AC28" i="15"/>
  <c r="AU28" i="15" s="1"/>
  <c r="AM46" i="18"/>
  <c r="P46" i="18"/>
  <c r="Q46" i="18" s="1"/>
  <c r="M48" i="18"/>
  <c r="W28" i="17"/>
  <c r="J45" i="17"/>
  <c r="K45" i="17" s="1"/>
  <c r="H46" i="17"/>
  <c r="I46" i="17" s="1"/>
  <c r="AL45" i="17"/>
  <c r="AE45" i="17"/>
  <c r="AF45" i="17" s="1"/>
  <c r="P45" i="17"/>
  <c r="Q45" i="17" s="1"/>
  <c r="AM45" i="17"/>
  <c r="AC25" i="13"/>
  <c r="AU25" i="13" s="1"/>
  <c r="M48" i="17"/>
  <c r="S47" i="17" s="1"/>
  <c r="AM46" i="17"/>
  <c r="P46" i="17"/>
  <c r="A48" i="17"/>
  <c r="B47" i="17"/>
  <c r="AG29" i="17"/>
  <c r="AY28" i="17"/>
  <c r="AC28" i="17"/>
  <c r="AU28" i="17" s="1"/>
  <c r="AL44" i="15"/>
  <c r="H45" i="15"/>
  <c r="I45" i="15" s="1"/>
  <c r="J44" i="15"/>
  <c r="K44" i="15" s="1"/>
  <c r="AE44" i="15"/>
  <c r="AF44" i="15" s="1"/>
  <c r="AM46" i="15"/>
  <c r="P46" i="15"/>
  <c r="Q46" i="15" s="1"/>
  <c r="M48" i="15"/>
  <c r="S47" i="15" s="1"/>
  <c r="B47" i="15"/>
  <c r="A48" i="15"/>
  <c r="AA26" i="13"/>
  <c r="AM45" i="13"/>
  <c r="Q45" i="13"/>
  <c r="AW26" i="13"/>
  <c r="AG27" i="13"/>
  <c r="AI27" i="13" s="1"/>
  <c r="S32" i="11"/>
  <c r="U32" i="11" s="1"/>
  <c r="AK32" i="11" s="1"/>
  <c r="AL31" i="13"/>
  <c r="J31" i="13"/>
  <c r="K31" i="13" s="1"/>
  <c r="H32" i="13"/>
  <c r="AE31" i="13"/>
  <c r="AF31" i="13" s="1"/>
  <c r="M47" i="13"/>
  <c r="B52" i="13"/>
  <c r="A53" i="13"/>
  <c r="AD46" i="11"/>
  <c r="W46" i="11"/>
  <c r="X46" i="11" s="1"/>
  <c r="I47" i="11"/>
  <c r="J47" i="11" s="1"/>
  <c r="K46" i="11"/>
  <c r="L46" i="11" s="1"/>
  <c r="B50" i="11"/>
  <c r="C49" i="11"/>
  <c r="N47" i="11"/>
  <c r="AA32" i="11"/>
  <c r="AM32" i="11" s="1"/>
  <c r="Q45" i="11"/>
  <c r="AE45" i="11" s="1"/>
  <c r="AK25" i="8"/>
  <c r="S26" i="8"/>
  <c r="K45" i="8"/>
  <c r="L45" i="8" s="1"/>
  <c r="I46" i="8"/>
  <c r="J46" i="8" s="1"/>
  <c r="W46" i="8" s="1"/>
  <c r="X46" i="8" s="1"/>
  <c r="AD45" i="8"/>
  <c r="N48" i="8"/>
  <c r="Q47" i="8" s="1"/>
  <c r="AE47" i="8" s="1"/>
  <c r="B49" i="8"/>
  <c r="C48" i="8"/>
  <c r="W30" i="15" l="1"/>
  <c r="AS29" i="15"/>
  <c r="Y32" i="19"/>
  <c r="AM49" i="19"/>
  <c r="P49" i="19"/>
  <c r="M51" i="19"/>
  <c r="S50" i="19" s="1"/>
  <c r="AY28" i="19"/>
  <c r="AC28" i="19"/>
  <c r="AU28" i="19" s="1"/>
  <c r="AI31" i="19"/>
  <c r="AW31" i="19" s="1"/>
  <c r="AZ31" i="19"/>
  <c r="H48" i="19"/>
  <c r="I48" i="19" s="1"/>
  <c r="J47" i="19"/>
  <c r="K47" i="19" s="1"/>
  <c r="AL47" i="19"/>
  <c r="AE47" i="19"/>
  <c r="AF47" i="19" s="1"/>
  <c r="AM48" i="19"/>
  <c r="P48" i="19"/>
  <c r="Q48" i="19" s="1"/>
  <c r="A52" i="19"/>
  <c r="B51" i="19"/>
  <c r="AG30" i="15"/>
  <c r="AZ30" i="15" s="1"/>
  <c r="AA29" i="15"/>
  <c r="AC29" i="15" s="1"/>
  <c r="AU29" i="15" s="1"/>
  <c r="AL46" i="18"/>
  <c r="J46" i="18"/>
  <c r="K46" i="18" s="1"/>
  <c r="AE46" i="18"/>
  <c r="AF46" i="18" s="1"/>
  <c r="H47" i="18"/>
  <c r="I47" i="18" s="1"/>
  <c r="AY28" i="18"/>
  <c r="AC28" i="18"/>
  <c r="AU28" i="18" s="1"/>
  <c r="A49" i="18"/>
  <c r="B48" i="18"/>
  <c r="AI30" i="18"/>
  <c r="AW30" i="18" s="1"/>
  <c r="AZ30" i="18"/>
  <c r="M49" i="18"/>
  <c r="S48" i="18" s="1"/>
  <c r="Q46" i="17"/>
  <c r="S47" i="18"/>
  <c r="Y32" i="18"/>
  <c r="AS32" i="18" s="1"/>
  <c r="AX32" i="18"/>
  <c r="Y28" i="17"/>
  <c r="AS28" i="17" s="1"/>
  <c r="AX28" i="17"/>
  <c r="W29" i="17"/>
  <c r="AA29" i="17"/>
  <c r="AY29" i="17" s="1"/>
  <c r="J46" i="17"/>
  <c r="K46" i="17" s="1"/>
  <c r="AE46" i="17"/>
  <c r="AF46" i="17" s="1"/>
  <c r="H47" i="17"/>
  <c r="I47" i="17" s="1"/>
  <c r="AL46" i="17"/>
  <c r="AM47" i="17"/>
  <c r="P47" i="17"/>
  <c r="Q47" i="17" s="1"/>
  <c r="M49" i="17"/>
  <c r="S48" i="17"/>
  <c r="AZ29" i="17"/>
  <c r="AI29" i="17"/>
  <c r="AW29" i="17" s="1"/>
  <c r="A49" i="17"/>
  <c r="B48" i="17"/>
  <c r="AE45" i="15"/>
  <c r="AF45" i="15" s="1"/>
  <c r="H46" i="15"/>
  <c r="I46" i="15" s="1"/>
  <c r="AL45" i="15"/>
  <c r="J45" i="15"/>
  <c r="K45" i="15" s="1"/>
  <c r="P47" i="15"/>
  <c r="Q47" i="15" s="1"/>
  <c r="AM47" i="15"/>
  <c r="M49" i="15"/>
  <c r="A49" i="15"/>
  <c r="B48" i="15"/>
  <c r="AY26" i="13"/>
  <c r="AC26" i="13"/>
  <c r="AU26" i="13" s="1"/>
  <c r="AZ27" i="13"/>
  <c r="AW27" i="13"/>
  <c r="S33" i="11"/>
  <c r="U33" i="11" s="1"/>
  <c r="AK33" i="11" s="1"/>
  <c r="I32" i="13"/>
  <c r="M48" i="13"/>
  <c r="S47" i="13" s="1"/>
  <c r="P47" i="13" s="1"/>
  <c r="S46" i="13"/>
  <c r="P46" i="13" s="1"/>
  <c r="A54" i="13"/>
  <c r="B53" i="13"/>
  <c r="Y33" i="11"/>
  <c r="AA33" i="11" s="1"/>
  <c r="I48" i="11"/>
  <c r="J48" i="11" s="1"/>
  <c r="AD47" i="11"/>
  <c r="W47" i="11"/>
  <c r="X47" i="11" s="1"/>
  <c r="K47" i="11"/>
  <c r="L47" i="11" s="1"/>
  <c r="C50" i="11"/>
  <c r="B51" i="11"/>
  <c r="N48" i="11"/>
  <c r="Q47" i="11"/>
  <c r="AE47" i="11" s="1"/>
  <c r="Q46" i="11"/>
  <c r="AE46" i="11" s="1"/>
  <c r="U26" i="8"/>
  <c r="AK26" i="8" s="1"/>
  <c r="K46" i="8"/>
  <c r="L46" i="8" s="1"/>
  <c r="I47" i="8"/>
  <c r="J47" i="8" s="1"/>
  <c r="W47" i="8" s="1"/>
  <c r="X47" i="8" s="1"/>
  <c r="AD46" i="8"/>
  <c r="N49" i="8"/>
  <c r="B50" i="8"/>
  <c r="C49" i="8"/>
  <c r="AX30" i="15" l="1"/>
  <c r="Y30" i="15"/>
  <c r="AS32" i="19"/>
  <c r="W33" i="19"/>
  <c r="AG32" i="19"/>
  <c r="AI32" i="19" s="1"/>
  <c r="AW32" i="19" s="1"/>
  <c r="AA29" i="19"/>
  <c r="A53" i="19"/>
  <c r="B52" i="19"/>
  <c r="AM50" i="19"/>
  <c r="P50" i="19"/>
  <c r="Q50" i="19" s="1"/>
  <c r="J48" i="19"/>
  <c r="K48" i="19" s="1"/>
  <c r="H49" i="19"/>
  <c r="I49" i="19" s="1"/>
  <c r="AL48" i="19"/>
  <c r="AE48" i="19"/>
  <c r="AF48" i="19" s="1"/>
  <c r="M52" i="19"/>
  <c r="S51" i="19" s="1"/>
  <c r="Q49" i="19"/>
  <c r="AI30" i="15"/>
  <c r="AW30" i="15" s="1"/>
  <c r="AG31" i="15"/>
  <c r="AI31" i="15" s="1"/>
  <c r="AW31" i="15" s="1"/>
  <c r="AY29" i="15"/>
  <c r="AZ31" i="15"/>
  <c r="AA30" i="15"/>
  <c r="AY30" i="15" s="1"/>
  <c r="AL47" i="18"/>
  <c r="H48" i="18"/>
  <c r="I48" i="18" s="1"/>
  <c r="J47" i="18"/>
  <c r="K47" i="18" s="1"/>
  <c r="AE47" i="18"/>
  <c r="AF47" i="18" s="1"/>
  <c r="AM48" i="18"/>
  <c r="P48" i="18"/>
  <c r="W33" i="18"/>
  <c r="M50" i="18"/>
  <c r="S49" i="18" s="1"/>
  <c r="AA29" i="18"/>
  <c r="AM47" i="18"/>
  <c r="P47" i="18"/>
  <c r="Q47" i="18" s="1"/>
  <c r="AG31" i="18"/>
  <c r="B49" i="18"/>
  <c r="A50" i="18"/>
  <c r="AC29" i="17"/>
  <c r="AU29" i="17" s="1"/>
  <c r="Y29" i="17"/>
  <c r="AS29" i="17" s="1"/>
  <c r="AX29" i="17"/>
  <c r="W30" i="17"/>
  <c r="AG30" i="17"/>
  <c r="AZ30" i="17" s="1"/>
  <c r="AE47" i="17"/>
  <c r="AF47" i="17" s="1"/>
  <c r="AL47" i="17"/>
  <c r="H48" i="17"/>
  <c r="I48" i="17" s="1"/>
  <c r="J47" i="17"/>
  <c r="K47" i="17" s="1"/>
  <c r="A50" i="17"/>
  <c r="B49" i="17"/>
  <c r="AM48" i="17"/>
  <c r="P48" i="17"/>
  <c r="Q48" i="17" s="1"/>
  <c r="S49" i="17"/>
  <c r="M50" i="17"/>
  <c r="H47" i="15"/>
  <c r="I47" i="15" s="1"/>
  <c r="AL46" i="15"/>
  <c r="J46" i="15"/>
  <c r="K46" i="15" s="1"/>
  <c r="AE46" i="15"/>
  <c r="AF46" i="15" s="1"/>
  <c r="M50" i="15"/>
  <c r="S49" i="15" s="1"/>
  <c r="B49" i="15"/>
  <c r="A50" i="15"/>
  <c r="S48" i="15"/>
  <c r="AA27" i="13"/>
  <c r="AY27" i="13" s="1"/>
  <c r="AM46" i="13"/>
  <c r="Q46" i="13"/>
  <c r="AM47" i="13"/>
  <c r="Q47" i="13"/>
  <c r="AG28" i="13"/>
  <c r="AI28" i="13" s="1"/>
  <c r="S34" i="11"/>
  <c r="U34" i="11" s="1"/>
  <c r="AK34" i="11" s="1"/>
  <c r="H33" i="13"/>
  <c r="AL32" i="13"/>
  <c r="J32" i="13"/>
  <c r="K32" i="13" s="1"/>
  <c r="AE32" i="13"/>
  <c r="AF32" i="13" s="1"/>
  <c r="M49" i="13"/>
  <c r="S48" i="13" s="1"/>
  <c r="P48" i="13" s="1"/>
  <c r="A55" i="13"/>
  <c r="B54" i="13"/>
  <c r="AM33" i="11"/>
  <c r="Y34" i="11"/>
  <c r="AA34" i="11" s="1"/>
  <c r="AM34" i="11" s="1"/>
  <c r="C51" i="11"/>
  <c r="B52" i="11"/>
  <c r="I49" i="11"/>
  <c r="J49" i="11" s="1"/>
  <c r="AD48" i="11"/>
  <c r="K48" i="11"/>
  <c r="L48" i="11" s="1"/>
  <c r="W48" i="11"/>
  <c r="X48" i="11" s="1"/>
  <c r="N49" i="11"/>
  <c r="S27" i="8"/>
  <c r="AD47" i="8"/>
  <c r="I48" i="8"/>
  <c r="J48" i="8" s="1"/>
  <c r="W48" i="8" s="1"/>
  <c r="X48" i="8" s="1"/>
  <c r="K47" i="8"/>
  <c r="L47" i="8" s="1"/>
  <c r="C50" i="8"/>
  <c r="B51" i="8"/>
  <c r="N50" i="8"/>
  <c r="Q49" i="8" s="1"/>
  <c r="AE49" i="8" s="1"/>
  <c r="Q48" i="8"/>
  <c r="AE48" i="8" s="1"/>
  <c r="W31" i="15" l="1"/>
  <c r="AS30" i="15"/>
  <c r="AX33" i="19"/>
  <c r="Y33" i="19"/>
  <c r="AS33" i="19" s="1"/>
  <c r="AZ32" i="19"/>
  <c r="AE49" i="19"/>
  <c r="AF49" i="19" s="1"/>
  <c r="J49" i="19"/>
  <c r="K49" i="19" s="1"/>
  <c r="H50" i="19"/>
  <c r="I50" i="19" s="1"/>
  <c r="AL49" i="19"/>
  <c r="AY29" i="19"/>
  <c r="AC29" i="19"/>
  <c r="AU29" i="19" s="1"/>
  <c r="M53" i="19"/>
  <c r="AM51" i="19"/>
  <c r="P51" i="19"/>
  <c r="Q51" i="19" s="1"/>
  <c r="A54" i="19"/>
  <c r="B53" i="19"/>
  <c r="AG33" i="19"/>
  <c r="AG32" i="15"/>
  <c r="AI32" i="15"/>
  <c r="AZ32" i="15"/>
  <c r="AC30" i="15"/>
  <c r="AU30" i="15" s="1"/>
  <c r="H49" i="18"/>
  <c r="I49" i="18" s="1"/>
  <c r="AE48" i="18"/>
  <c r="AF48" i="18" s="1"/>
  <c r="AL48" i="18"/>
  <c r="J48" i="18"/>
  <c r="K48" i="18" s="1"/>
  <c r="P49" i="18"/>
  <c r="Q49" i="18" s="1"/>
  <c r="AM49" i="18"/>
  <c r="Q48" i="18"/>
  <c r="AZ31" i="18"/>
  <c r="AI31" i="18"/>
  <c r="AW31" i="18" s="1"/>
  <c r="AX33" i="18"/>
  <c r="Y33" i="18"/>
  <c r="AS33" i="18" s="1"/>
  <c r="W34" i="18"/>
  <c r="AA30" i="17"/>
  <c r="A51" i="18"/>
  <c r="B50" i="18"/>
  <c r="AY29" i="18"/>
  <c r="AC29" i="18"/>
  <c r="AU29" i="18" s="1"/>
  <c r="AI30" i="17"/>
  <c r="AW30" i="17" s="1"/>
  <c r="M51" i="18"/>
  <c r="Y30" i="17"/>
  <c r="AS30" i="17" s="1"/>
  <c r="AX30" i="17"/>
  <c r="W31" i="17"/>
  <c r="AG31" i="17"/>
  <c r="AZ31" i="17" s="1"/>
  <c r="J48" i="17"/>
  <c r="K48" i="17" s="1"/>
  <c r="AL48" i="17"/>
  <c r="H49" i="17"/>
  <c r="I49" i="17" s="1"/>
  <c r="AE48" i="17"/>
  <c r="AF48" i="17" s="1"/>
  <c r="M51" i="17"/>
  <c r="S50" i="17"/>
  <c r="AM49" i="17"/>
  <c r="P49" i="17"/>
  <c r="Q49" i="17" s="1"/>
  <c r="A51" i="17"/>
  <c r="B50" i="17"/>
  <c r="AE47" i="15"/>
  <c r="AF47" i="15" s="1"/>
  <c r="H48" i="15"/>
  <c r="I48" i="15" s="1"/>
  <c r="J47" i="15"/>
  <c r="K47" i="15" s="1"/>
  <c r="AL47" i="15"/>
  <c r="S35" i="11"/>
  <c r="U35" i="11" s="1"/>
  <c r="AK35" i="11" s="1"/>
  <c r="A51" i="15"/>
  <c r="B50" i="15"/>
  <c r="AM48" i="15"/>
  <c r="P48" i="15"/>
  <c r="Q48" i="15" s="1"/>
  <c r="P49" i="15"/>
  <c r="AM49" i="15"/>
  <c r="M51" i="15"/>
  <c r="S50" i="15" s="1"/>
  <c r="AC27" i="13"/>
  <c r="AU27" i="13" s="1"/>
  <c r="AM48" i="13"/>
  <c r="Q48" i="13"/>
  <c r="AZ28" i="13"/>
  <c r="I33" i="13"/>
  <c r="B55" i="13"/>
  <c r="A56" i="13"/>
  <c r="M50" i="13"/>
  <c r="S49" i="13" s="1"/>
  <c r="P49" i="13" s="1"/>
  <c r="K49" i="11"/>
  <c r="L49" i="11" s="1"/>
  <c r="I50" i="11"/>
  <c r="J50" i="11" s="1"/>
  <c r="AD49" i="11"/>
  <c r="W49" i="11"/>
  <c r="X49" i="11" s="1"/>
  <c r="N50" i="11"/>
  <c r="Q48" i="11"/>
  <c r="AE48" i="11" s="1"/>
  <c r="Y35" i="11"/>
  <c r="C52" i="11"/>
  <c r="B53" i="11"/>
  <c r="U27" i="8"/>
  <c r="AK27" i="8" s="1"/>
  <c r="AD48" i="8"/>
  <c r="I49" i="8"/>
  <c r="J49" i="8" s="1"/>
  <c r="W49" i="8" s="1"/>
  <c r="X49" i="8" s="1"/>
  <c r="K48" i="8"/>
  <c r="L48" i="8" s="1"/>
  <c r="B52" i="8"/>
  <c r="C51" i="8"/>
  <c r="N51" i="8"/>
  <c r="Q50" i="8" s="1"/>
  <c r="AE50" i="8" s="1"/>
  <c r="Y31" i="15" l="1"/>
  <c r="AS31" i="15" s="1"/>
  <c r="AX31" i="15"/>
  <c r="W34" i="19"/>
  <c r="Y34" i="19"/>
  <c r="AS34" i="19" s="1"/>
  <c r="AX34" i="19"/>
  <c r="W35" i="19"/>
  <c r="AA30" i="19"/>
  <c r="AY30" i="19" s="1"/>
  <c r="H51" i="19"/>
  <c r="I51" i="19" s="1"/>
  <c r="J50" i="19"/>
  <c r="K50" i="19" s="1"/>
  <c r="AL50" i="19"/>
  <c r="AE50" i="19"/>
  <c r="AF50" i="19" s="1"/>
  <c r="A55" i="19"/>
  <c r="B54" i="19"/>
  <c r="M54" i="19"/>
  <c r="S53" i="19" s="1"/>
  <c r="S52" i="19"/>
  <c r="AZ33" i="19"/>
  <c r="AI33" i="19"/>
  <c r="AW33" i="19" s="1"/>
  <c r="AA31" i="15"/>
  <c r="AY31" i="15" s="1"/>
  <c r="AW32" i="15"/>
  <c r="AG33" i="15"/>
  <c r="AG32" i="18"/>
  <c r="AI32" i="18" s="1"/>
  <c r="AW32" i="18" s="1"/>
  <c r="AY30" i="17"/>
  <c r="AC30" i="17"/>
  <c r="AU30" i="17" s="1"/>
  <c r="AX34" i="18"/>
  <c r="Y34" i="18"/>
  <c r="AS34" i="18" s="1"/>
  <c r="AE49" i="18"/>
  <c r="AF49" i="18" s="1"/>
  <c r="AL49" i="18"/>
  <c r="J49" i="18"/>
  <c r="K49" i="18" s="1"/>
  <c r="H50" i="18"/>
  <c r="I50" i="18" s="1"/>
  <c r="M52" i="18"/>
  <c r="S51" i="18" s="1"/>
  <c r="AA31" i="17"/>
  <c r="AA30" i="18"/>
  <c r="A52" i="18"/>
  <c r="B51" i="18"/>
  <c r="S50" i="18"/>
  <c r="AI31" i="17"/>
  <c r="AW31" i="17" s="1"/>
  <c r="AX31" i="17"/>
  <c r="Y31" i="17"/>
  <c r="AS31" i="17" s="1"/>
  <c r="Q49" i="15"/>
  <c r="H50" i="17"/>
  <c r="I50" i="17" s="1"/>
  <c r="J49" i="17"/>
  <c r="K49" i="17" s="1"/>
  <c r="AE49" i="17"/>
  <c r="AF49" i="17" s="1"/>
  <c r="AL49" i="17"/>
  <c r="AY31" i="17"/>
  <c r="AC31" i="17"/>
  <c r="AU31" i="17" s="1"/>
  <c r="A52" i="17"/>
  <c r="B51" i="17"/>
  <c r="P50" i="17"/>
  <c r="Q50" i="17" s="1"/>
  <c r="AM50" i="17"/>
  <c r="M52" i="17"/>
  <c r="S51" i="17"/>
  <c r="H49" i="15"/>
  <c r="I49" i="15" s="1"/>
  <c r="AE48" i="15"/>
  <c r="AF48" i="15" s="1"/>
  <c r="AL48" i="15"/>
  <c r="J48" i="15"/>
  <c r="K48" i="15" s="1"/>
  <c r="AM50" i="15"/>
  <c r="P50" i="15"/>
  <c r="Q50" i="15" s="1"/>
  <c r="M52" i="15"/>
  <c r="S51" i="15" s="1"/>
  <c r="B51" i="15"/>
  <c r="A52" i="15"/>
  <c r="AA28" i="13"/>
  <c r="AC28" i="13" s="1"/>
  <c r="AU28" i="13" s="1"/>
  <c r="AM49" i="13"/>
  <c r="Q49" i="13"/>
  <c r="AW28" i="13"/>
  <c r="AG29" i="13"/>
  <c r="AI29" i="13" s="1"/>
  <c r="AE33" i="13"/>
  <c r="AF33" i="13" s="1"/>
  <c r="H34" i="13"/>
  <c r="J33" i="13"/>
  <c r="K33" i="13" s="1"/>
  <c r="AL33" i="13"/>
  <c r="M51" i="13"/>
  <c r="S50" i="13" s="1"/>
  <c r="P50" i="13" s="1"/>
  <c r="B56" i="13"/>
  <c r="A57" i="13"/>
  <c r="W50" i="11"/>
  <c r="X50" i="11" s="1"/>
  <c r="I51" i="11"/>
  <c r="J51" i="11" s="1"/>
  <c r="AD50" i="11"/>
  <c r="K50" i="11"/>
  <c r="L50" i="11" s="1"/>
  <c r="Q50" i="11"/>
  <c r="AE50" i="11" s="1"/>
  <c r="N51" i="11"/>
  <c r="C53" i="11"/>
  <c r="B54" i="11"/>
  <c r="Q49" i="11"/>
  <c r="AE49" i="11" s="1"/>
  <c r="S36" i="11"/>
  <c r="AA35" i="11"/>
  <c r="AM35" i="11" s="1"/>
  <c r="S28" i="8"/>
  <c r="AD49" i="8"/>
  <c r="K49" i="8"/>
  <c r="L49" i="8" s="1"/>
  <c r="I50" i="8"/>
  <c r="J50" i="8" s="1"/>
  <c r="W50" i="8" s="1"/>
  <c r="X50" i="8" s="1"/>
  <c r="N52" i="8"/>
  <c r="Q51" i="8" s="1"/>
  <c r="AE51" i="8" s="1"/>
  <c r="C52" i="8"/>
  <c r="B53" i="8"/>
  <c r="W32" i="15" l="1"/>
  <c r="AC30" i="19"/>
  <c r="AU30" i="19" s="1"/>
  <c r="Y35" i="19"/>
  <c r="AS35" i="19" s="1"/>
  <c r="AX35" i="19"/>
  <c r="J51" i="19"/>
  <c r="K51" i="19" s="1"/>
  <c r="H52" i="19"/>
  <c r="I52" i="19" s="1"/>
  <c r="AL51" i="19"/>
  <c r="AE51" i="19"/>
  <c r="AF51" i="19" s="1"/>
  <c r="AZ32" i="18"/>
  <c r="P53" i="19"/>
  <c r="AM53" i="19"/>
  <c r="M55" i="19"/>
  <c r="S54" i="19" s="1"/>
  <c r="A56" i="19"/>
  <c r="B55" i="19"/>
  <c r="AC31" i="15"/>
  <c r="AU31" i="15" s="1"/>
  <c r="AG34" i="19"/>
  <c r="AA31" i="19"/>
  <c r="AM52" i="19"/>
  <c r="P52" i="19"/>
  <c r="Q52" i="19" s="1"/>
  <c r="AI33" i="15"/>
  <c r="AZ33" i="15"/>
  <c r="AA32" i="15"/>
  <c r="AC32" i="15" s="1"/>
  <c r="AU32" i="15" s="1"/>
  <c r="AG33" i="18"/>
  <c r="P51" i="18"/>
  <c r="AM51" i="18"/>
  <c r="AL50" i="18"/>
  <c r="AE50" i="18"/>
  <c r="AF50" i="18" s="1"/>
  <c r="H51" i="18"/>
  <c r="I51" i="18" s="1"/>
  <c r="J50" i="18"/>
  <c r="K50" i="18" s="1"/>
  <c r="P50" i="18"/>
  <c r="Q50" i="18" s="1"/>
  <c r="AM50" i="18"/>
  <c r="B52" i="18"/>
  <c r="A53" i="18"/>
  <c r="M53" i="18"/>
  <c r="W35" i="18"/>
  <c r="AZ33" i="18"/>
  <c r="AI33" i="18"/>
  <c r="AW33" i="18" s="1"/>
  <c r="AY30" i="18"/>
  <c r="AC30" i="18"/>
  <c r="AU30" i="18" s="1"/>
  <c r="W32" i="17"/>
  <c r="AG32" i="17"/>
  <c r="AM51" i="17"/>
  <c r="P51" i="17"/>
  <c r="Q51" i="17" s="1"/>
  <c r="M53" i="17"/>
  <c r="S52" i="17" s="1"/>
  <c r="A53" i="17"/>
  <c r="B52" i="17"/>
  <c r="J50" i="17"/>
  <c r="K50" i="17" s="1"/>
  <c r="AL50" i="17"/>
  <c r="H51" i="17"/>
  <c r="I51" i="17" s="1"/>
  <c r="AE50" i="17"/>
  <c r="AF50" i="17" s="1"/>
  <c r="AA32" i="17"/>
  <c r="P51" i="15"/>
  <c r="Q51" i="15" s="1"/>
  <c r="AM51" i="15"/>
  <c r="M53" i="15"/>
  <c r="AL49" i="15"/>
  <c r="AE49" i="15"/>
  <c r="AF49" i="15" s="1"/>
  <c r="J49" i="15"/>
  <c r="K49" i="15" s="1"/>
  <c r="H50" i="15"/>
  <c r="I50" i="15" s="1"/>
  <c r="A53" i="15"/>
  <c r="B52" i="15"/>
  <c r="AA29" i="13"/>
  <c r="AC29" i="13" s="1"/>
  <c r="AU29" i="13" s="1"/>
  <c r="AY28" i="13"/>
  <c r="AM50" i="13"/>
  <c r="Q50" i="13"/>
  <c r="AW29" i="13"/>
  <c r="AZ29" i="13"/>
  <c r="AG30" i="13"/>
  <c r="AI30" i="13" s="1"/>
  <c r="I34" i="13"/>
  <c r="M52" i="13"/>
  <c r="S51" i="13" s="1"/>
  <c r="P51" i="13" s="1"/>
  <c r="A58" i="13"/>
  <c r="B57" i="13"/>
  <c r="Q51" i="11"/>
  <c r="AE51" i="11" s="1"/>
  <c r="N52" i="11"/>
  <c r="Y36" i="11"/>
  <c r="U36" i="11"/>
  <c r="AK36" i="11" s="1"/>
  <c r="K51" i="11"/>
  <c r="L51" i="11" s="1"/>
  <c r="I52" i="11"/>
  <c r="J52" i="11" s="1"/>
  <c r="AD51" i="11"/>
  <c r="W51" i="11"/>
  <c r="X51" i="11" s="1"/>
  <c r="B55" i="11"/>
  <c r="C54" i="11"/>
  <c r="U28" i="8"/>
  <c r="AK28" i="8" s="1"/>
  <c r="I51" i="8"/>
  <c r="J51" i="8" s="1"/>
  <c r="W51" i="8" s="1"/>
  <c r="X51" i="8" s="1"/>
  <c r="K50" i="8"/>
  <c r="L50" i="8" s="1"/>
  <c r="AD50" i="8"/>
  <c r="B54" i="8"/>
  <c r="C53" i="8"/>
  <c r="N53" i="8"/>
  <c r="Q52" i="8" s="1"/>
  <c r="AE52" i="8" s="1"/>
  <c r="AX32" i="15" l="1"/>
  <c r="Y32" i="15"/>
  <c r="W36" i="19"/>
  <c r="Q53" i="19"/>
  <c r="AE52" i="19"/>
  <c r="AF52" i="19" s="1"/>
  <c r="AL52" i="19"/>
  <c r="H53" i="19"/>
  <c r="I53" i="19" s="1"/>
  <c r="J52" i="19"/>
  <c r="K52" i="19" s="1"/>
  <c r="A57" i="19"/>
  <c r="B56" i="19"/>
  <c r="AY32" i="15"/>
  <c r="AM54" i="19"/>
  <c r="P54" i="19"/>
  <c r="Q54" i="19" s="1"/>
  <c r="AA33" i="15"/>
  <c r="AC33" i="15" s="1"/>
  <c r="AU33" i="15" s="1"/>
  <c r="M56" i="19"/>
  <c r="S55" i="19" s="1"/>
  <c r="AY31" i="19"/>
  <c r="AC31" i="19"/>
  <c r="AU31" i="19" s="1"/>
  <c r="AI34" i="19"/>
  <c r="AW34" i="19" s="1"/>
  <c r="AZ34" i="19"/>
  <c r="AW33" i="15"/>
  <c r="AG34" i="15"/>
  <c r="AG34" i="18"/>
  <c r="AZ34" i="18" s="1"/>
  <c r="AE51" i="18"/>
  <c r="AF51" i="18" s="1"/>
  <c r="H52" i="18"/>
  <c r="I52" i="18" s="1"/>
  <c r="AL51" i="18"/>
  <c r="J51" i="18"/>
  <c r="K51" i="18" s="1"/>
  <c r="AX35" i="18"/>
  <c r="Y35" i="18"/>
  <c r="AS35" i="18" s="1"/>
  <c r="AA31" i="18"/>
  <c r="M54" i="18"/>
  <c r="S53" i="18" s="1"/>
  <c r="S52" i="18"/>
  <c r="AY33" i="15"/>
  <c r="B53" i="18"/>
  <c r="A54" i="18"/>
  <c r="Q51" i="18"/>
  <c r="AZ32" i="17"/>
  <c r="AI32" i="17"/>
  <c r="Y32" i="17"/>
  <c r="AS32" i="17" s="1"/>
  <c r="AX32" i="17"/>
  <c r="AM52" i="17"/>
  <c r="P52" i="17"/>
  <c r="Q52" i="17" s="1"/>
  <c r="AL51" i="17"/>
  <c r="AE51" i="17"/>
  <c r="AF51" i="17" s="1"/>
  <c r="J51" i="17"/>
  <c r="K51" i="17" s="1"/>
  <c r="H52" i="17"/>
  <c r="I52" i="17" s="1"/>
  <c r="A54" i="17"/>
  <c r="B53" i="17"/>
  <c r="AY32" i="17"/>
  <c r="AC32" i="17"/>
  <c r="AU32" i="17" s="1"/>
  <c r="M54" i="17"/>
  <c r="AA34" i="15"/>
  <c r="AY34" i="15" s="1"/>
  <c r="AL50" i="15"/>
  <c r="H51" i="15"/>
  <c r="I51" i="15" s="1"/>
  <c r="J50" i="15"/>
  <c r="K50" i="15" s="1"/>
  <c r="AE50" i="15"/>
  <c r="AF50" i="15" s="1"/>
  <c r="M54" i="15"/>
  <c r="S53" i="15" s="1"/>
  <c r="S52" i="15"/>
  <c r="A54" i="15"/>
  <c r="B53" i="15"/>
  <c r="AY29" i="13"/>
  <c r="AA30" i="13"/>
  <c r="AM51" i="13"/>
  <c r="Q51" i="13"/>
  <c r="AW30" i="13"/>
  <c r="AZ30" i="13"/>
  <c r="AG31" i="13"/>
  <c r="AI31" i="13" s="1"/>
  <c r="J34" i="13"/>
  <c r="K34" i="13" s="1"/>
  <c r="AE34" i="13"/>
  <c r="AF34" i="13" s="1"/>
  <c r="H35" i="13"/>
  <c r="AL34" i="13"/>
  <c r="M53" i="13"/>
  <c r="S52" i="13" s="1"/>
  <c r="P52" i="13" s="1"/>
  <c r="A59" i="13"/>
  <c r="B58" i="13"/>
  <c r="S37" i="11"/>
  <c r="U37" i="11" s="1"/>
  <c r="AK37" i="11" s="1"/>
  <c r="I53" i="11"/>
  <c r="J53" i="11" s="1"/>
  <c r="W52" i="11"/>
  <c r="X52" i="11" s="1"/>
  <c r="K52" i="11"/>
  <c r="L52" i="11" s="1"/>
  <c r="AD52" i="11"/>
  <c r="AA36" i="11"/>
  <c r="AM36" i="11" s="1"/>
  <c r="N53" i="11"/>
  <c r="Q52" i="11" s="1"/>
  <c r="AE52" i="11" s="1"/>
  <c r="B56" i="11"/>
  <c r="C55" i="11"/>
  <c r="S29" i="8"/>
  <c r="N54" i="8"/>
  <c r="Q53" i="8"/>
  <c r="AE53" i="8" s="1"/>
  <c r="I52" i="8"/>
  <c r="J52" i="8" s="1"/>
  <c r="W52" i="8" s="1"/>
  <c r="X52" i="8" s="1"/>
  <c r="K51" i="8"/>
  <c r="L51" i="8" s="1"/>
  <c r="AD51" i="8"/>
  <c r="B55" i="8"/>
  <c r="C54" i="8"/>
  <c r="AS32" i="15" l="1"/>
  <c r="W33" i="15"/>
  <c r="Y36" i="19"/>
  <c r="AS36" i="19" s="1"/>
  <c r="AX36" i="19"/>
  <c r="AG35" i="19"/>
  <c r="AI35" i="19" s="1"/>
  <c r="AW35" i="19" s="1"/>
  <c r="AM55" i="19"/>
  <c r="P55" i="19"/>
  <c r="Q55" i="19" s="1"/>
  <c r="AE53" i="19"/>
  <c r="AF53" i="19" s="1"/>
  <c r="H54" i="19"/>
  <c r="I54" i="19" s="1"/>
  <c r="AL53" i="19"/>
  <c r="J53" i="19"/>
  <c r="K53" i="19" s="1"/>
  <c r="AI34" i="18"/>
  <c r="AW34" i="18" s="1"/>
  <c r="AA32" i="19"/>
  <c r="A58" i="19"/>
  <c r="B57" i="19"/>
  <c r="M57" i="19"/>
  <c r="S56" i="19" s="1"/>
  <c r="AZ34" i="15"/>
  <c r="AI34" i="15"/>
  <c r="H53" i="18"/>
  <c r="J52" i="18"/>
  <c r="K52" i="18" s="1"/>
  <c r="AL52" i="18"/>
  <c r="AE52" i="18"/>
  <c r="AF52" i="18" s="1"/>
  <c r="I53" i="18"/>
  <c r="P53" i="18"/>
  <c r="AM53" i="18"/>
  <c r="AM52" i="18"/>
  <c r="P52" i="18"/>
  <c r="Q52" i="18" s="1"/>
  <c r="AG35" i="18"/>
  <c r="M55" i="18"/>
  <c r="S54" i="18"/>
  <c r="AY31" i="18"/>
  <c r="AC31" i="18"/>
  <c r="AU31" i="18" s="1"/>
  <c r="A55" i="18"/>
  <c r="B54" i="18"/>
  <c r="W36" i="18"/>
  <c r="W33" i="17"/>
  <c r="AW32" i="17"/>
  <c r="AG33" i="17"/>
  <c r="AL52" i="17"/>
  <c r="H53" i="17"/>
  <c r="I53" i="17" s="1"/>
  <c r="AE52" i="17"/>
  <c r="AF52" i="17" s="1"/>
  <c r="J52" i="17"/>
  <c r="K52" i="17" s="1"/>
  <c r="B54" i="17"/>
  <c r="A55" i="17"/>
  <c r="M55" i="17"/>
  <c r="S53" i="17"/>
  <c r="AA33" i="17"/>
  <c r="AC34" i="15"/>
  <c r="AU34" i="15" s="1"/>
  <c r="H52" i="15"/>
  <c r="I52" i="15" s="1"/>
  <c r="AL51" i="15"/>
  <c r="AE51" i="15"/>
  <c r="AF51" i="15" s="1"/>
  <c r="J51" i="15"/>
  <c r="K51" i="15" s="1"/>
  <c r="AM52" i="15"/>
  <c r="P52" i="15"/>
  <c r="Q52" i="15" s="1"/>
  <c r="B54" i="15"/>
  <c r="A55" i="15"/>
  <c r="P53" i="15"/>
  <c r="AM53" i="15"/>
  <c r="M55" i="15"/>
  <c r="S54" i="15"/>
  <c r="AY30" i="13"/>
  <c r="AC30" i="13"/>
  <c r="AM52" i="13"/>
  <c r="Q52" i="13"/>
  <c r="AW31" i="13"/>
  <c r="AZ31" i="13"/>
  <c r="AG32" i="13"/>
  <c r="AI32" i="13" s="1"/>
  <c r="I35" i="13"/>
  <c r="M54" i="13"/>
  <c r="S53" i="13" s="1"/>
  <c r="P53" i="13" s="1"/>
  <c r="B59" i="13"/>
  <c r="A60" i="13"/>
  <c r="S38" i="11"/>
  <c r="U38" i="11" s="1"/>
  <c r="AK38" i="11" s="1"/>
  <c r="B57" i="11"/>
  <c r="C56" i="11"/>
  <c r="I54" i="11"/>
  <c r="J54" i="11" s="1"/>
  <c r="K53" i="11"/>
  <c r="L53" i="11" s="1"/>
  <c r="W53" i="11"/>
  <c r="X53" i="11" s="1"/>
  <c r="AD53" i="11"/>
  <c r="N54" i="11"/>
  <c r="Y37" i="11"/>
  <c r="U29" i="8"/>
  <c r="AK29" i="8" s="1"/>
  <c r="AD52" i="8"/>
  <c r="I53" i="8"/>
  <c r="J53" i="8" s="1"/>
  <c r="W53" i="8" s="1"/>
  <c r="X53" i="8" s="1"/>
  <c r="K52" i="8"/>
  <c r="L52" i="8" s="1"/>
  <c r="N55" i="8"/>
  <c r="Q54" i="8" s="1"/>
  <c r="AE54" i="8" s="1"/>
  <c r="C55" i="8"/>
  <c r="B56" i="8"/>
  <c r="Y33" i="15" l="1"/>
  <c r="AX33" i="15"/>
  <c r="W37" i="19"/>
  <c r="Y37" i="19"/>
  <c r="AS37" i="19" s="1"/>
  <c r="AX37" i="19"/>
  <c r="AZ35" i="19"/>
  <c r="AG36" i="19"/>
  <c r="AI36" i="19" s="1"/>
  <c r="AW36" i="19" s="1"/>
  <c r="P56" i="19"/>
  <c r="Q56" i="19" s="1"/>
  <c r="AM56" i="19"/>
  <c r="AL54" i="19"/>
  <c r="H55" i="19"/>
  <c r="I55" i="19" s="1"/>
  <c r="J54" i="19"/>
  <c r="K54" i="19" s="1"/>
  <c r="AE54" i="19"/>
  <c r="AF54" i="19" s="1"/>
  <c r="M58" i="19"/>
  <c r="S57" i="19" s="1"/>
  <c r="A59" i="19"/>
  <c r="B58" i="19"/>
  <c r="AY32" i="19"/>
  <c r="AC32" i="19"/>
  <c r="AU32" i="19" s="1"/>
  <c r="AW34" i="15"/>
  <c r="AG35" i="15"/>
  <c r="Q53" i="18"/>
  <c r="AA32" i="18"/>
  <c r="AY32" i="18" s="1"/>
  <c r="AC32" i="18"/>
  <c r="AU32" i="18" s="1"/>
  <c r="AE53" i="18"/>
  <c r="AF53" i="18" s="1"/>
  <c r="H54" i="18"/>
  <c r="I54" i="18" s="1"/>
  <c r="AL53" i="18"/>
  <c r="J53" i="18"/>
  <c r="K53" i="18" s="1"/>
  <c r="AM54" i="18"/>
  <c r="P54" i="18"/>
  <c r="Q54" i="18" s="1"/>
  <c r="Y36" i="18"/>
  <c r="AS36" i="18" s="1"/>
  <c r="AX36" i="18"/>
  <c r="M56" i="18"/>
  <c r="S55" i="18" s="1"/>
  <c r="AI35" i="18"/>
  <c r="AW35" i="18" s="1"/>
  <c r="AZ35" i="18"/>
  <c r="A56" i="18"/>
  <c r="B55" i="18"/>
  <c r="AI33" i="17"/>
  <c r="AW33" i="17" s="1"/>
  <c r="AZ33" i="17"/>
  <c r="AG34" i="17"/>
  <c r="Y33" i="17"/>
  <c r="AS33" i="17" s="1"/>
  <c r="AX33" i="17"/>
  <c r="H54" i="17"/>
  <c r="I54" i="17" s="1"/>
  <c r="J53" i="17"/>
  <c r="K53" i="17" s="1"/>
  <c r="AE53" i="17"/>
  <c r="AF53" i="17" s="1"/>
  <c r="AL53" i="17"/>
  <c r="S55" i="17"/>
  <c r="M56" i="17"/>
  <c r="A56" i="17"/>
  <c r="B55" i="17"/>
  <c r="AY33" i="17"/>
  <c r="AC33" i="17"/>
  <c r="AU33" i="17" s="1"/>
  <c r="AM53" i="17"/>
  <c r="P53" i="17"/>
  <c r="Q53" i="17" s="1"/>
  <c r="AA35" i="15"/>
  <c r="AC35" i="15" s="1"/>
  <c r="AU35" i="15" s="1"/>
  <c r="S54" i="17"/>
  <c r="H53" i="15"/>
  <c r="I53" i="15" s="1"/>
  <c r="J52" i="15"/>
  <c r="K52" i="15" s="1"/>
  <c r="AE52" i="15"/>
  <c r="AF52" i="15" s="1"/>
  <c r="AL52" i="15"/>
  <c r="A56" i="15"/>
  <c r="B55" i="15"/>
  <c r="AM54" i="15"/>
  <c r="P54" i="15"/>
  <c r="Q54" i="15" s="1"/>
  <c r="S55" i="15"/>
  <c r="M56" i="15"/>
  <c r="Q53" i="15"/>
  <c r="AU30" i="13"/>
  <c r="AA31" i="13"/>
  <c r="AM53" i="13"/>
  <c r="Q53" i="13"/>
  <c r="AW32" i="13"/>
  <c r="AZ32" i="13"/>
  <c r="AG33" i="13"/>
  <c r="AI33" i="13" s="1"/>
  <c r="AE35" i="13"/>
  <c r="AF35" i="13" s="1"/>
  <c r="J35" i="13"/>
  <c r="K35" i="13" s="1"/>
  <c r="AL35" i="13"/>
  <c r="H36" i="13"/>
  <c r="M55" i="13"/>
  <c r="S54" i="13" s="1"/>
  <c r="P54" i="13" s="1"/>
  <c r="B60" i="13"/>
  <c r="A61" i="13"/>
  <c r="S39" i="11"/>
  <c r="U39" i="11" s="1"/>
  <c r="AK39" i="11" s="1"/>
  <c r="I55" i="11"/>
  <c r="J55" i="11" s="1"/>
  <c r="K54" i="11"/>
  <c r="L54" i="11" s="1"/>
  <c r="AD54" i="11"/>
  <c r="W54" i="11"/>
  <c r="X54" i="11" s="1"/>
  <c r="AA37" i="11"/>
  <c r="AM37" i="11" s="1"/>
  <c r="Q54" i="11"/>
  <c r="AE54" i="11" s="1"/>
  <c r="N55" i="11"/>
  <c r="Q53" i="11"/>
  <c r="AE53" i="11" s="1"/>
  <c r="C57" i="11"/>
  <c r="B58" i="11"/>
  <c r="S30" i="8"/>
  <c r="K53" i="8"/>
  <c r="L53" i="8" s="1"/>
  <c r="I54" i="8"/>
  <c r="J54" i="8" s="1"/>
  <c r="W54" i="8" s="1"/>
  <c r="X54" i="8" s="1"/>
  <c r="AD53" i="8"/>
  <c r="C56" i="8"/>
  <c r="B57" i="8"/>
  <c r="N56" i="8"/>
  <c r="Q55" i="8" s="1"/>
  <c r="AE55" i="8" s="1"/>
  <c r="AS33" i="15" l="1"/>
  <c r="W34" i="15"/>
  <c r="W38" i="19"/>
  <c r="Y38" i="19" s="1"/>
  <c r="AZ36" i="19"/>
  <c r="AG37" i="19"/>
  <c r="AI37" i="19" s="1"/>
  <c r="AW37" i="19" s="1"/>
  <c r="AL55" i="19"/>
  <c r="H56" i="19"/>
  <c r="I56" i="19" s="1"/>
  <c r="AE55" i="19"/>
  <c r="AF55" i="19" s="1"/>
  <c r="J55" i="19"/>
  <c r="K55" i="19" s="1"/>
  <c r="AM57" i="19"/>
  <c r="P57" i="19"/>
  <c r="Q57" i="19" s="1"/>
  <c r="M59" i="19"/>
  <c r="S58" i="19" s="1"/>
  <c r="A60" i="19"/>
  <c r="B59" i="19"/>
  <c r="AA33" i="19"/>
  <c r="AI35" i="15"/>
  <c r="AZ35" i="15"/>
  <c r="AY35" i="15"/>
  <c r="AE54" i="18"/>
  <c r="AF54" i="18" s="1"/>
  <c r="H55" i="18"/>
  <c r="I55" i="18" s="1"/>
  <c r="AL54" i="18"/>
  <c r="J54" i="18"/>
  <c r="K54" i="18" s="1"/>
  <c r="M57" i="18"/>
  <c r="S56" i="18" s="1"/>
  <c r="AM55" i="18"/>
  <c r="P55" i="18"/>
  <c r="Q55" i="18" s="1"/>
  <c r="A57" i="18"/>
  <c r="B56" i="18"/>
  <c r="W37" i="18"/>
  <c r="AG36" i="18"/>
  <c r="AA33" i="18"/>
  <c r="AI34" i="17"/>
  <c r="AZ34" i="17"/>
  <c r="W34" i="17"/>
  <c r="H55" i="17"/>
  <c r="I55" i="17" s="1"/>
  <c r="AE54" i="17"/>
  <c r="AF54" i="17" s="1"/>
  <c r="AL54" i="17"/>
  <c r="J54" i="17"/>
  <c r="K54" i="17" s="1"/>
  <c r="A57" i="17"/>
  <c r="B56" i="17"/>
  <c r="M57" i="17"/>
  <c r="S56" i="17"/>
  <c r="P55" i="17"/>
  <c r="AM55" i="17"/>
  <c r="P54" i="17"/>
  <c r="Q54" i="17" s="1"/>
  <c r="AM54" i="17"/>
  <c r="AA34" i="17"/>
  <c r="AM55" i="15"/>
  <c r="P55" i="15"/>
  <c r="Q55" i="15" s="1"/>
  <c r="B56" i="15"/>
  <c r="A57" i="15"/>
  <c r="AL53" i="15"/>
  <c r="AE53" i="15"/>
  <c r="AF53" i="15" s="1"/>
  <c r="J53" i="15"/>
  <c r="K53" i="15" s="1"/>
  <c r="H54" i="15"/>
  <c r="I54" i="15" s="1"/>
  <c r="AA36" i="15"/>
  <c r="M57" i="15"/>
  <c r="S56" i="15"/>
  <c r="AC31" i="13"/>
  <c r="AY31" i="13"/>
  <c r="AM54" i="13"/>
  <c r="Q54" i="13"/>
  <c r="AW33" i="13"/>
  <c r="AZ33" i="13"/>
  <c r="AG34" i="13"/>
  <c r="AI34" i="13" s="1"/>
  <c r="I36" i="13"/>
  <c r="M56" i="13"/>
  <c r="S55" i="13" s="1"/>
  <c r="P55" i="13" s="1"/>
  <c r="B61" i="13"/>
  <c r="A62" i="13"/>
  <c r="S40" i="11"/>
  <c r="U40" i="11" s="1"/>
  <c r="AK40" i="11" s="1"/>
  <c r="Y38" i="11"/>
  <c r="AA38" i="11" s="1"/>
  <c r="AM38" i="11" s="1"/>
  <c r="Q55" i="11"/>
  <c r="AE55" i="11" s="1"/>
  <c r="N56" i="11"/>
  <c r="C58" i="11"/>
  <c r="B59" i="11"/>
  <c r="I56" i="11"/>
  <c r="J56" i="11" s="1"/>
  <c r="AD55" i="11"/>
  <c r="K55" i="11"/>
  <c r="L55" i="11" s="1"/>
  <c r="W55" i="11"/>
  <c r="X55" i="11" s="1"/>
  <c r="U30" i="8"/>
  <c r="S31" i="8" s="1"/>
  <c r="N57" i="8"/>
  <c r="Q56" i="8"/>
  <c r="AE56" i="8" s="1"/>
  <c r="AD54" i="8"/>
  <c r="K54" i="8"/>
  <c r="L54" i="8" s="1"/>
  <c r="I55" i="8"/>
  <c r="J55" i="8" s="1"/>
  <c r="W55" i="8" s="1"/>
  <c r="X55" i="8" s="1"/>
  <c r="B58" i="8"/>
  <c r="C57" i="8"/>
  <c r="W35" i="15" l="1"/>
  <c r="AX34" i="15"/>
  <c r="Y34" i="15"/>
  <c r="AS34" i="15" s="1"/>
  <c r="AX38" i="19"/>
  <c r="AS38" i="19"/>
  <c r="W39" i="19"/>
  <c r="AZ37" i="19"/>
  <c r="AL56" i="19"/>
  <c r="H57" i="19"/>
  <c r="I57" i="19" s="1"/>
  <c r="AE56" i="19"/>
  <c r="AF56" i="19" s="1"/>
  <c r="J56" i="19"/>
  <c r="K56" i="19" s="1"/>
  <c r="AG38" i="19"/>
  <c r="AY33" i="19"/>
  <c r="AC33" i="19"/>
  <c r="AU33" i="19" s="1"/>
  <c r="P58" i="19"/>
  <c r="Q58" i="19" s="1"/>
  <c r="AM58" i="19"/>
  <c r="A61" i="19"/>
  <c r="B60" i="19"/>
  <c r="M60" i="19"/>
  <c r="AW35" i="15"/>
  <c r="AG36" i="15"/>
  <c r="J55" i="18"/>
  <c r="K55" i="18" s="1"/>
  <c r="AL55" i="18"/>
  <c r="AE55" i="18"/>
  <c r="AF55" i="18" s="1"/>
  <c r="H56" i="18"/>
  <c r="I56" i="18" s="1"/>
  <c r="AM56" i="18"/>
  <c r="P56" i="18"/>
  <c r="Q56" i="18" s="1"/>
  <c r="AY33" i="18"/>
  <c r="AC33" i="18"/>
  <c r="AU33" i="18" s="1"/>
  <c r="M58" i="18"/>
  <c r="AZ36" i="18"/>
  <c r="AI36" i="18"/>
  <c r="AW36" i="18" s="1"/>
  <c r="Y37" i="18"/>
  <c r="AS37" i="18" s="1"/>
  <c r="AX37" i="18"/>
  <c r="B57" i="18"/>
  <c r="A58" i="18"/>
  <c r="AX34" i="17"/>
  <c r="Y34" i="17"/>
  <c r="AS34" i="17" s="1"/>
  <c r="AW34" i="17"/>
  <c r="AG35" i="17"/>
  <c r="Q55" i="17"/>
  <c r="A58" i="17"/>
  <c r="B57" i="17"/>
  <c r="AY34" i="17"/>
  <c r="AC34" i="17"/>
  <c r="AU34" i="17" s="1"/>
  <c r="AM56" i="17"/>
  <c r="P56" i="17"/>
  <c r="Q56" i="17" s="1"/>
  <c r="H56" i="17"/>
  <c r="I56" i="17" s="1"/>
  <c r="J55" i="17"/>
  <c r="K55" i="17" s="1"/>
  <c r="AE55" i="17"/>
  <c r="AF55" i="17" s="1"/>
  <c r="AL55" i="17"/>
  <c r="M58" i="17"/>
  <c r="S57" i="17"/>
  <c r="J54" i="15"/>
  <c r="K54" i="15" s="1"/>
  <c r="H55" i="15"/>
  <c r="I55" i="15" s="1"/>
  <c r="AL54" i="15"/>
  <c r="AE54" i="15"/>
  <c r="AF54" i="15" s="1"/>
  <c r="B57" i="15"/>
  <c r="A58" i="15"/>
  <c r="AY36" i="15"/>
  <c r="AC36" i="15"/>
  <c r="AU36" i="15" s="1"/>
  <c r="P56" i="15"/>
  <c r="Q56" i="15" s="1"/>
  <c r="AM56" i="15"/>
  <c r="M58" i="15"/>
  <c r="S57" i="15" s="1"/>
  <c r="AU31" i="13"/>
  <c r="AA32" i="13"/>
  <c r="AM55" i="13"/>
  <c r="Q55" i="13"/>
  <c r="AZ34" i="13"/>
  <c r="AW34" i="13"/>
  <c r="AE36" i="13"/>
  <c r="AF36" i="13" s="1"/>
  <c r="H37" i="13"/>
  <c r="AL36" i="13"/>
  <c r="J36" i="13"/>
  <c r="K36" i="13" s="1"/>
  <c r="M57" i="13"/>
  <c r="S56" i="13" s="1"/>
  <c r="P56" i="13" s="1"/>
  <c r="A63" i="13"/>
  <c r="B62" i="13"/>
  <c r="S41" i="11"/>
  <c r="U41" i="11" s="1"/>
  <c r="AK41" i="11" s="1"/>
  <c r="W56" i="11"/>
  <c r="X56" i="11" s="1"/>
  <c r="K56" i="11"/>
  <c r="L56" i="11" s="1"/>
  <c r="AD56" i="11"/>
  <c r="I57" i="11"/>
  <c r="J57" i="11" s="1"/>
  <c r="N57" i="11"/>
  <c r="Q56" i="11"/>
  <c r="AE56" i="11" s="1"/>
  <c r="B60" i="11"/>
  <c r="C59" i="11"/>
  <c r="Y39" i="11"/>
  <c r="AK30" i="8"/>
  <c r="AD55" i="8"/>
  <c r="K55" i="8"/>
  <c r="L55" i="8" s="1"/>
  <c r="I56" i="8"/>
  <c r="J56" i="8" s="1"/>
  <c r="W56" i="8" s="1"/>
  <c r="X56" i="8" s="1"/>
  <c r="N58" i="8"/>
  <c r="Q57" i="8" s="1"/>
  <c r="AE57" i="8" s="1"/>
  <c r="B59" i="8"/>
  <c r="C58" i="8"/>
  <c r="AX35" i="15" l="1"/>
  <c r="Y35" i="15"/>
  <c r="AS35" i="15" s="1"/>
  <c r="AX39" i="19"/>
  <c r="Y39" i="19"/>
  <c r="AA34" i="19"/>
  <c r="AY34" i="19" s="1"/>
  <c r="M61" i="19"/>
  <c r="A62" i="19"/>
  <c r="B61" i="19"/>
  <c r="AI38" i="19"/>
  <c r="AW38" i="19" s="1"/>
  <c r="AZ38" i="19"/>
  <c r="AL57" i="19"/>
  <c r="J57" i="19"/>
  <c r="K57" i="19" s="1"/>
  <c r="AE57" i="19"/>
  <c r="AF57" i="19" s="1"/>
  <c r="H58" i="19"/>
  <c r="I58" i="19" s="1"/>
  <c r="AA34" i="18"/>
  <c r="S59" i="19"/>
  <c r="AZ36" i="15"/>
  <c r="AI36" i="15"/>
  <c r="W38" i="18"/>
  <c r="AG37" i="18"/>
  <c r="AZ37" i="18" s="1"/>
  <c r="H57" i="18"/>
  <c r="I57" i="18" s="1"/>
  <c r="AE56" i="18"/>
  <c r="AF56" i="18" s="1"/>
  <c r="J56" i="18"/>
  <c r="K56" i="18" s="1"/>
  <c r="AL56" i="18"/>
  <c r="A59" i="18"/>
  <c r="B58" i="18"/>
  <c r="M59" i="18"/>
  <c r="AA35" i="17"/>
  <c r="S57" i="18"/>
  <c r="AX38" i="18"/>
  <c r="Y38" i="18"/>
  <c r="AS38" i="18" s="1"/>
  <c r="AY34" i="18"/>
  <c r="AC34" i="18"/>
  <c r="AU34" i="18" s="1"/>
  <c r="AI35" i="17"/>
  <c r="AW35" i="17" s="1"/>
  <c r="AZ35" i="17"/>
  <c r="W35" i="17"/>
  <c r="H57" i="17"/>
  <c r="I57" i="17" s="1"/>
  <c r="AE56" i="17"/>
  <c r="AF56" i="17" s="1"/>
  <c r="J56" i="17"/>
  <c r="K56" i="17" s="1"/>
  <c r="AL56" i="17"/>
  <c r="AY35" i="17"/>
  <c r="AC35" i="17"/>
  <c r="AU35" i="17" s="1"/>
  <c r="A59" i="17"/>
  <c r="B58" i="17"/>
  <c r="AM57" i="17"/>
  <c r="P57" i="17"/>
  <c r="Q57" i="17" s="1"/>
  <c r="M59" i="17"/>
  <c r="S58" i="17"/>
  <c r="AM57" i="15"/>
  <c r="P57" i="15"/>
  <c r="Q57" i="15" s="1"/>
  <c r="AL55" i="15"/>
  <c r="J55" i="15"/>
  <c r="K55" i="15" s="1"/>
  <c r="H56" i="15"/>
  <c r="I56" i="15" s="1"/>
  <c r="AE55" i="15"/>
  <c r="AF55" i="15" s="1"/>
  <c r="A59" i="15"/>
  <c r="B58" i="15"/>
  <c r="AA37" i="15"/>
  <c r="M59" i="15"/>
  <c r="S58" i="15" s="1"/>
  <c r="AC32" i="13"/>
  <c r="AU32" i="13" s="1"/>
  <c r="AY32" i="13"/>
  <c r="AG35" i="13"/>
  <c r="AM56" i="13"/>
  <c r="Q56" i="13"/>
  <c r="I37" i="13"/>
  <c r="M58" i="13"/>
  <c r="S57" i="13" s="1"/>
  <c r="P57" i="13" s="1"/>
  <c r="B63" i="13"/>
  <c r="A64" i="13"/>
  <c r="S42" i="11"/>
  <c r="U42" i="11" s="1"/>
  <c r="AK42" i="11" s="1"/>
  <c r="K57" i="11"/>
  <c r="L57" i="11" s="1"/>
  <c r="I58" i="11"/>
  <c r="J58" i="11" s="1"/>
  <c r="W57" i="11"/>
  <c r="X57" i="11" s="1"/>
  <c r="AD57" i="11"/>
  <c r="B61" i="11"/>
  <c r="C60" i="11"/>
  <c r="N58" i="11"/>
  <c r="Q57" i="11" s="1"/>
  <c r="AE57" i="11" s="1"/>
  <c r="AA39" i="11"/>
  <c r="AM39" i="11" s="1"/>
  <c r="U31" i="8"/>
  <c r="K56" i="8"/>
  <c r="L56" i="8" s="1"/>
  <c r="I57" i="8"/>
  <c r="J57" i="8" s="1"/>
  <c r="W57" i="8" s="1"/>
  <c r="X57" i="8" s="1"/>
  <c r="AD56" i="8"/>
  <c r="B60" i="8"/>
  <c r="C59" i="8"/>
  <c r="N59" i="8"/>
  <c r="Q58" i="8" s="1"/>
  <c r="AE58" i="8" s="1"/>
  <c r="W36" i="15" l="1"/>
  <c r="AX36" i="15" s="1"/>
  <c r="AS39" i="19"/>
  <c r="W40" i="19"/>
  <c r="AC34" i="19"/>
  <c r="AU34" i="19" s="1"/>
  <c r="AG39" i="19"/>
  <c r="AI39" i="19" s="1"/>
  <c r="AW39" i="19" s="1"/>
  <c r="AL58" i="19"/>
  <c r="H59" i="19"/>
  <c r="I59" i="19" s="1"/>
  <c r="AE58" i="19"/>
  <c r="AF58" i="19" s="1"/>
  <c r="J58" i="19"/>
  <c r="K58" i="19" s="1"/>
  <c r="B62" i="19"/>
  <c r="A63" i="19"/>
  <c r="P59" i="19"/>
  <c r="Q59" i="19" s="1"/>
  <c r="AM59" i="19"/>
  <c r="M62" i="19"/>
  <c r="S61" i="19" s="1"/>
  <c r="S60" i="19"/>
  <c r="AW36" i="15"/>
  <c r="AG37" i="15"/>
  <c r="AI37" i="18"/>
  <c r="AW37" i="18" s="1"/>
  <c r="W39" i="18"/>
  <c r="AX39" i="18"/>
  <c r="Y39" i="18"/>
  <c r="AS39" i="18" s="1"/>
  <c r="P57" i="18"/>
  <c r="Q57" i="18" s="1"/>
  <c r="AM57" i="18"/>
  <c r="B59" i="18"/>
  <c r="A60" i="18"/>
  <c r="M60" i="18"/>
  <c r="AA35" i="18"/>
  <c r="S58" i="18"/>
  <c r="J57" i="18"/>
  <c r="K57" i="18" s="1"/>
  <c r="H58" i="18"/>
  <c r="I58" i="18" s="1"/>
  <c r="AL57" i="18"/>
  <c r="AE57" i="18"/>
  <c r="AF57" i="18" s="1"/>
  <c r="AG36" i="17"/>
  <c r="AI36" i="17" s="1"/>
  <c r="AW36" i="17" s="1"/>
  <c r="AX35" i="17"/>
  <c r="Y35" i="17"/>
  <c r="AS35" i="17" s="1"/>
  <c r="W36" i="17"/>
  <c r="AA36" i="17"/>
  <c r="P58" i="17"/>
  <c r="Q58" i="17" s="1"/>
  <c r="AM58" i="17"/>
  <c r="AL57" i="17"/>
  <c r="AE57" i="17"/>
  <c r="AF57" i="17" s="1"/>
  <c r="H58" i="17"/>
  <c r="I58" i="17" s="1"/>
  <c r="J57" i="17"/>
  <c r="K57" i="17" s="1"/>
  <c r="M60" i="17"/>
  <c r="S59" i="17"/>
  <c r="A60" i="17"/>
  <c r="B59" i="17"/>
  <c r="AL56" i="15"/>
  <c r="AE56" i="15"/>
  <c r="AF56" i="15" s="1"/>
  <c r="H57" i="15"/>
  <c r="I57" i="15" s="1"/>
  <c r="J56" i="15"/>
  <c r="K56" i="15" s="1"/>
  <c r="AM58" i="15"/>
  <c r="P58" i="15"/>
  <c r="Q58" i="15" s="1"/>
  <c r="A60" i="15"/>
  <c r="B59" i="15"/>
  <c r="M60" i="15"/>
  <c r="AY37" i="15"/>
  <c r="AC37" i="15"/>
  <c r="AU37" i="15" s="1"/>
  <c r="AA33" i="13"/>
  <c r="AZ35" i="13"/>
  <c r="AI35" i="13"/>
  <c r="AW35" i="13" s="1"/>
  <c r="AM57" i="13"/>
  <c r="Q57" i="13"/>
  <c r="H38" i="13"/>
  <c r="AE37" i="13"/>
  <c r="AF37" i="13" s="1"/>
  <c r="AL37" i="13"/>
  <c r="J37" i="13"/>
  <c r="K37" i="13" s="1"/>
  <c r="M59" i="13"/>
  <c r="A65" i="13"/>
  <c r="B64" i="13"/>
  <c r="S43" i="11"/>
  <c r="U43" i="11" s="1"/>
  <c r="AK43" i="11" s="1"/>
  <c r="AD58" i="11"/>
  <c r="I59" i="11"/>
  <c r="J59" i="11" s="1"/>
  <c r="W58" i="11"/>
  <c r="X58" i="11" s="1"/>
  <c r="K58" i="11"/>
  <c r="L58" i="11" s="1"/>
  <c r="Y40" i="11"/>
  <c r="C61" i="11"/>
  <c r="B62" i="11"/>
  <c r="N59" i="11"/>
  <c r="Q58" i="11" s="1"/>
  <c r="AE58" i="11" s="1"/>
  <c r="AK31" i="8"/>
  <c r="S32" i="8"/>
  <c r="I58" i="8"/>
  <c r="J58" i="8" s="1"/>
  <c r="W58" i="8" s="1"/>
  <c r="X58" i="8" s="1"/>
  <c r="AD57" i="8"/>
  <c r="K57" i="8"/>
  <c r="L57" i="8" s="1"/>
  <c r="N60" i="8"/>
  <c r="Q59" i="8" s="1"/>
  <c r="AE59" i="8" s="1"/>
  <c r="B61" i="8"/>
  <c r="C60" i="8"/>
  <c r="Y36" i="15" l="1"/>
  <c r="AS36" i="15" s="1"/>
  <c r="W37" i="15"/>
  <c r="Y40" i="19"/>
  <c r="AX40" i="19"/>
  <c r="AA35" i="19"/>
  <c r="AZ39" i="19"/>
  <c r="H60" i="19"/>
  <c r="I60" i="19" s="1"/>
  <c r="AE59" i="19"/>
  <c r="AF59" i="19" s="1"/>
  <c r="AL59" i="19"/>
  <c r="J59" i="19"/>
  <c r="K59" i="19" s="1"/>
  <c r="AZ36" i="17"/>
  <c r="AG37" i="17"/>
  <c r="AI37" i="17" s="1"/>
  <c r="AW37" i="17" s="1"/>
  <c r="AG40" i="19"/>
  <c r="P60" i="19"/>
  <c r="Q60" i="19" s="1"/>
  <c r="AM60" i="19"/>
  <c r="M63" i="19"/>
  <c r="S62" i="19" s="1"/>
  <c r="A64" i="19"/>
  <c r="B63" i="19"/>
  <c r="AM61" i="19"/>
  <c r="P61" i="19"/>
  <c r="AG38" i="18"/>
  <c r="AI38" i="18" s="1"/>
  <c r="AW38" i="18" s="1"/>
  <c r="AY35" i="19"/>
  <c r="AC35" i="19"/>
  <c r="AU35" i="19" s="1"/>
  <c r="AZ37" i="15"/>
  <c r="AI37" i="15"/>
  <c r="AW37" i="15" s="1"/>
  <c r="J58" i="18"/>
  <c r="K58" i="18" s="1"/>
  <c r="H59" i="18"/>
  <c r="I59" i="18" s="1"/>
  <c r="AL58" i="18"/>
  <c r="AE58" i="18"/>
  <c r="AF58" i="18" s="1"/>
  <c r="M61" i="18"/>
  <c r="S60" i="18" s="1"/>
  <c r="A61" i="18"/>
  <c r="B60" i="18"/>
  <c r="AM58" i="18"/>
  <c r="P58" i="18"/>
  <c r="Q58" i="18" s="1"/>
  <c r="AG39" i="18"/>
  <c r="AY35" i="18"/>
  <c r="AC35" i="18"/>
  <c r="AU35" i="18" s="1"/>
  <c r="S59" i="18"/>
  <c r="W40" i="18"/>
  <c r="AX36" i="17"/>
  <c r="Y36" i="17"/>
  <c r="AS36" i="17" s="1"/>
  <c r="W37" i="17"/>
  <c r="AG38" i="17"/>
  <c r="AI38" i="17" s="1"/>
  <c r="AW38" i="17" s="1"/>
  <c r="AZ37" i="17"/>
  <c r="AL58" i="17"/>
  <c r="H59" i="17"/>
  <c r="I59" i="17" s="1"/>
  <c r="AE58" i="17"/>
  <c r="AF58" i="17" s="1"/>
  <c r="J58" i="17"/>
  <c r="K58" i="17" s="1"/>
  <c r="M61" i="17"/>
  <c r="S60" i="17" s="1"/>
  <c r="AY36" i="17"/>
  <c r="AC36" i="17"/>
  <c r="AU36" i="17" s="1"/>
  <c r="A61" i="17"/>
  <c r="B60" i="17"/>
  <c r="P59" i="17"/>
  <c r="Q59" i="17" s="1"/>
  <c r="AM59" i="17"/>
  <c r="H58" i="15"/>
  <c r="I58" i="15" s="1"/>
  <c r="J57" i="15"/>
  <c r="K57" i="15" s="1"/>
  <c r="AE57" i="15"/>
  <c r="AF57" i="15" s="1"/>
  <c r="AL57" i="15"/>
  <c r="A61" i="15"/>
  <c r="B60" i="15"/>
  <c r="AA38" i="15"/>
  <c r="M61" i="15"/>
  <c r="S60" i="15" s="1"/>
  <c r="S59" i="15"/>
  <c r="AY33" i="13"/>
  <c r="AC33" i="13"/>
  <c r="AG36" i="13"/>
  <c r="AZ36" i="13" s="1"/>
  <c r="I38" i="13"/>
  <c r="M60" i="13"/>
  <c r="S59" i="13" s="1"/>
  <c r="P59" i="13" s="1"/>
  <c r="B65" i="13"/>
  <c r="A66" i="13"/>
  <c r="S58" i="13"/>
  <c r="P58" i="13" s="1"/>
  <c r="AD59" i="11"/>
  <c r="I60" i="11"/>
  <c r="J60" i="11" s="1"/>
  <c r="W59" i="11"/>
  <c r="X59" i="11" s="1"/>
  <c r="K59" i="11"/>
  <c r="L59" i="11" s="1"/>
  <c r="S44" i="11"/>
  <c r="AA40" i="11"/>
  <c r="AM40" i="11" s="1"/>
  <c r="N60" i="11"/>
  <c r="C62" i="11"/>
  <c r="B63" i="11"/>
  <c r="U32" i="8"/>
  <c r="AK32" i="8" s="1"/>
  <c r="K58" i="8"/>
  <c r="L58" i="8" s="1"/>
  <c r="AD58" i="8"/>
  <c r="I59" i="8"/>
  <c r="J59" i="8" s="1"/>
  <c r="W59" i="8" s="1"/>
  <c r="X59" i="8" s="1"/>
  <c r="N61" i="8"/>
  <c r="Q60" i="8" s="1"/>
  <c r="AE60" i="8" s="1"/>
  <c r="C61" i="8"/>
  <c r="B62" i="8"/>
  <c r="Y37" i="15" l="1"/>
  <c r="AX37" i="15"/>
  <c r="AS40" i="19"/>
  <c r="W41" i="19"/>
  <c r="P62" i="19"/>
  <c r="Q62" i="19" s="1"/>
  <c r="AM62" i="19"/>
  <c r="M64" i="19"/>
  <c r="AA36" i="19"/>
  <c r="Q61" i="19"/>
  <c r="AZ38" i="18"/>
  <c r="AZ40" i="19"/>
  <c r="AI40" i="19"/>
  <c r="AW40" i="19" s="1"/>
  <c r="J60" i="19"/>
  <c r="K60" i="19" s="1"/>
  <c r="H61" i="19"/>
  <c r="I61" i="19" s="1"/>
  <c r="AL60" i="19"/>
  <c r="AE60" i="19"/>
  <c r="AF60" i="19" s="1"/>
  <c r="A65" i="19"/>
  <c r="B64" i="19"/>
  <c r="AG38" i="15"/>
  <c r="AI38" i="15" s="1"/>
  <c r="AZ38" i="15"/>
  <c r="H60" i="18"/>
  <c r="I60" i="18" s="1"/>
  <c r="AE59" i="18"/>
  <c r="AF59" i="18" s="1"/>
  <c r="J59" i="18"/>
  <c r="K59" i="18" s="1"/>
  <c r="AL59" i="18"/>
  <c r="A62" i="18"/>
  <c r="B61" i="18"/>
  <c r="M62" i="18"/>
  <c r="AA36" i="18"/>
  <c r="P60" i="18"/>
  <c r="AM60" i="18"/>
  <c r="AI39" i="18"/>
  <c r="AW39" i="18" s="1"/>
  <c r="AZ39" i="18"/>
  <c r="Y40" i="18"/>
  <c r="AS40" i="18" s="1"/>
  <c r="AX40" i="18"/>
  <c r="AM59" i="18"/>
  <c r="P59" i="18"/>
  <c r="Q59" i="18" s="1"/>
  <c r="Y37" i="17"/>
  <c r="AS37" i="17" s="1"/>
  <c r="AX37" i="17"/>
  <c r="W38" i="17"/>
  <c r="AZ38" i="17"/>
  <c r="P60" i="17"/>
  <c r="Q60" i="17" s="1"/>
  <c r="AM60" i="17"/>
  <c r="J59" i="17"/>
  <c r="K59" i="17" s="1"/>
  <c r="AL59" i="17"/>
  <c r="H60" i="17"/>
  <c r="I60" i="17" s="1"/>
  <c r="AE59" i="17"/>
  <c r="AF59" i="17" s="1"/>
  <c r="S61" i="17"/>
  <c r="M62" i="17"/>
  <c r="A62" i="17"/>
  <c r="B61" i="17"/>
  <c r="AG39" i="17"/>
  <c r="AA37" i="17"/>
  <c r="H59" i="15"/>
  <c r="I59" i="15" s="1"/>
  <c r="AE58" i="15"/>
  <c r="AF58" i="15" s="1"/>
  <c r="AL58" i="15"/>
  <c r="J58" i="15"/>
  <c r="K58" i="15" s="1"/>
  <c r="AY38" i="15"/>
  <c r="AC38" i="15"/>
  <c r="AU38" i="15" s="1"/>
  <c r="P59" i="15"/>
  <c r="Q59" i="15" s="1"/>
  <c r="AM59" i="15"/>
  <c r="P60" i="15"/>
  <c r="AM60" i="15"/>
  <c r="M62" i="15"/>
  <c r="S61" i="15" s="1"/>
  <c r="B61" i="15"/>
  <c r="A62" i="15"/>
  <c r="AU33" i="13"/>
  <c r="AA34" i="13"/>
  <c r="AI36" i="13"/>
  <c r="AW36" i="13" s="1"/>
  <c r="AM59" i="13"/>
  <c r="AM58" i="13"/>
  <c r="Q58" i="13"/>
  <c r="H39" i="13"/>
  <c r="AL38" i="13"/>
  <c r="J38" i="13"/>
  <c r="K38" i="13" s="1"/>
  <c r="AE38" i="13"/>
  <c r="AF38" i="13" s="1"/>
  <c r="A67" i="13"/>
  <c r="B66" i="13"/>
  <c r="M61" i="13"/>
  <c r="S60" i="13" s="1"/>
  <c r="P60" i="13" s="1"/>
  <c r="Y41" i="11"/>
  <c r="AA41" i="11" s="1"/>
  <c r="AM41" i="11" s="1"/>
  <c r="W60" i="11"/>
  <c r="X60" i="11" s="1"/>
  <c r="K60" i="11"/>
  <c r="L60" i="11" s="1"/>
  <c r="AD60" i="11"/>
  <c r="I61" i="11"/>
  <c r="J61" i="11" s="1"/>
  <c r="U44" i="11"/>
  <c r="AK44" i="11" s="1"/>
  <c r="B64" i="11"/>
  <c r="C63" i="11"/>
  <c r="N61" i="11"/>
  <c r="Q60" i="11" s="1"/>
  <c r="AE60" i="11" s="1"/>
  <c r="Q59" i="11"/>
  <c r="AE59" i="11" s="1"/>
  <c r="S33" i="8"/>
  <c r="I60" i="8"/>
  <c r="J60" i="8" s="1"/>
  <c r="W60" i="8" s="1"/>
  <c r="X60" i="8" s="1"/>
  <c r="AD59" i="8"/>
  <c r="K59" i="8"/>
  <c r="L59" i="8" s="1"/>
  <c r="N62" i="8"/>
  <c r="Q61" i="8" s="1"/>
  <c r="AE61" i="8" s="1"/>
  <c r="C62" i="8"/>
  <c r="B63" i="8"/>
  <c r="AS37" i="15" l="1"/>
  <c r="W38" i="15"/>
  <c r="AX41" i="19"/>
  <c r="Y41" i="19"/>
  <c r="AS41" i="19" s="1"/>
  <c r="W42" i="19"/>
  <c r="AG41" i="19"/>
  <c r="AZ41" i="19" s="1"/>
  <c r="H62" i="19"/>
  <c r="I62" i="19" s="1"/>
  <c r="AE61" i="19"/>
  <c r="AF61" i="19" s="1"/>
  <c r="J61" i="19"/>
  <c r="K61" i="19" s="1"/>
  <c r="AL61" i="19"/>
  <c r="AW38" i="15"/>
  <c r="AG39" i="15"/>
  <c r="AI39" i="15" s="1"/>
  <c r="AW39" i="15" s="1"/>
  <c r="AY36" i="19"/>
  <c r="AC36" i="19"/>
  <c r="AU36" i="19" s="1"/>
  <c r="M65" i="19"/>
  <c r="S64" i="19" s="1"/>
  <c r="S63" i="19"/>
  <c r="B65" i="19"/>
  <c r="A66" i="19"/>
  <c r="AZ39" i="15"/>
  <c r="B62" i="18"/>
  <c r="A63" i="18"/>
  <c r="AG40" i="18"/>
  <c r="Q60" i="18"/>
  <c r="AL60" i="18"/>
  <c r="H61" i="18"/>
  <c r="I61" i="18" s="1"/>
  <c r="AE60" i="18"/>
  <c r="AF60" i="18" s="1"/>
  <c r="J60" i="18"/>
  <c r="K60" i="18" s="1"/>
  <c r="M63" i="18"/>
  <c r="S62" i="18" s="1"/>
  <c r="AY36" i="18"/>
  <c r="AC36" i="18"/>
  <c r="AU36" i="18" s="1"/>
  <c r="W41" i="18"/>
  <c r="S61" i="18"/>
  <c r="AX38" i="17"/>
  <c r="Y38" i="17"/>
  <c r="AS38" i="17" s="1"/>
  <c r="J60" i="17"/>
  <c r="K60" i="17" s="1"/>
  <c r="AL60" i="17"/>
  <c r="H61" i="17"/>
  <c r="I61" i="17" s="1"/>
  <c r="AE60" i="17"/>
  <c r="AF60" i="17" s="1"/>
  <c r="A63" i="17"/>
  <c r="B62" i="17"/>
  <c r="AY37" i="17"/>
  <c r="AC37" i="17"/>
  <c r="AU37" i="17" s="1"/>
  <c r="AI39" i="17"/>
  <c r="AW39" i="17" s="1"/>
  <c r="AZ39" i="17"/>
  <c r="M63" i="17"/>
  <c r="S62" i="17"/>
  <c r="AM61" i="17"/>
  <c r="P61" i="17"/>
  <c r="Q61" i="17" s="1"/>
  <c r="Q60" i="15"/>
  <c r="AM61" i="15"/>
  <c r="P61" i="15"/>
  <c r="Q61" i="15" s="1"/>
  <c r="AA39" i="15"/>
  <c r="B62" i="15"/>
  <c r="A63" i="15"/>
  <c r="AE59" i="15"/>
  <c r="AF59" i="15" s="1"/>
  <c r="J59" i="15"/>
  <c r="K59" i="15" s="1"/>
  <c r="H60" i="15"/>
  <c r="I60" i="15" s="1"/>
  <c r="AL59" i="15"/>
  <c r="M63" i="15"/>
  <c r="S62" i="15" s="1"/>
  <c r="AY34" i="13"/>
  <c r="AC34" i="13"/>
  <c r="AU34" i="13" s="1"/>
  <c r="AG37" i="13"/>
  <c r="AZ37" i="13" s="1"/>
  <c r="Q59" i="13"/>
  <c r="AM60" i="13"/>
  <c r="Q60" i="13"/>
  <c r="I39" i="13"/>
  <c r="B67" i="13"/>
  <c r="A68" i="13"/>
  <c r="M62" i="13"/>
  <c r="S61" i="13" s="1"/>
  <c r="P61" i="13" s="1"/>
  <c r="W61" i="11"/>
  <c r="X61" i="11" s="1"/>
  <c r="K61" i="11"/>
  <c r="L61" i="11" s="1"/>
  <c r="AD61" i="11"/>
  <c r="I62" i="11"/>
  <c r="J62" i="11" s="1"/>
  <c r="S45" i="11"/>
  <c r="B65" i="11"/>
  <c r="C64" i="11"/>
  <c r="N62" i="11"/>
  <c r="Q61" i="11" s="1"/>
  <c r="AE61" i="11" s="1"/>
  <c r="Y42" i="11"/>
  <c r="U33" i="8"/>
  <c r="AK33" i="8" s="1"/>
  <c r="N63" i="8"/>
  <c r="Q62" i="8"/>
  <c r="AE62" i="8" s="1"/>
  <c r="B64" i="8"/>
  <c r="C63" i="8"/>
  <c r="K60" i="8"/>
  <c r="L60" i="8" s="1"/>
  <c r="I61" i="8"/>
  <c r="J61" i="8" s="1"/>
  <c r="W61" i="8" s="1"/>
  <c r="X61" i="8" s="1"/>
  <c r="AD60" i="8"/>
  <c r="Y38" i="15" l="1"/>
  <c r="AX38" i="15"/>
  <c r="Y42" i="19"/>
  <c r="AS42" i="19" s="1"/>
  <c r="AX42" i="19"/>
  <c r="AI41" i="19"/>
  <c r="AW41" i="19" s="1"/>
  <c r="H63" i="19"/>
  <c r="I63" i="19" s="1"/>
  <c r="J62" i="19"/>
  <c r="K62" i="19" s="1"/>
  <c r="AL62" i="19"/>
  <c r="AE62" i="19"/>
  <c r="AF62" i="19" s="1"/>
  <c r="A67" i="19"/>
  <c r="B66" i="19"/>
  <c r="AM64" i="19"/>
  <c r="P64" i="19"/>
  <c r="P63" i="19"/>
  <c r="Q63" i="19" s="1"/>
  <c r="AM63" i="19"/>
  <c r="M66" i="19"/>
  <c r="AA37" i="19"/>
  <c r="AG40" i="15"/>
  <c r="AA37" i="18"/>
  <c r="AY37" i="18" s="1"/>
  <c r="AE61" i="18"/>
  <c r="AF61" i="18" s="1"/>
  <c r="H62" i="18"/>
  <c r="I62" i="18" s="1"/>
  <c r="J61" i="18"/>
  <c r="K61" i="18" s="1"/>
  <c r="AL61" i="18"/>
  <c r="AX41" i="18"/>
  <c r="Y41" i="18"/>
  <c r="AS41" i="18" s="1"/>
  <c r="AC37" i="18"/>
  <c r="AU37" i="18" s="1"/>
  <c r="AM62" i="18"/>
  <c r="P62" i="18"/>
  <c r="M64" i="18"/>
  <c r="S63" i="18" s="1"/>
  <c r="AZ40" i="18"/>
  <c r="AI40" i="18"/>
  <c r="AW40" i="18" s="1"/>
  <c r="A64" i="18"/>
  <c r="B63" i="18"/>
  <c r="P61" i="18"/>
  <c r="Q61" i="18" s="1"/>
  <c r="AM61" i="18"/>
  <c r="W39" i="17"/>
  <c r="AA38" i="17"/>
  <c r="AY38" i="17" s="1"/>
  <c r="J61" i="17"/>
  <c r="K61" i="17" s="1"/>
  <c r="H62" i="17"/>
  <c r="I62" i="17" s="1"/>
  <c r="AE61" i="17"/>
  <c r="AF61" i="17" s="1"/>
  <c r="AL61" i="17"/>
  <c r="AC38" i="17"/>
  <c r="AU38" i="17" s="1"/>
  <c r="P62" i="17"/>
  <c r="Q62" i="17" s="1"/>
  <c r="AM62" i="17"/>
  <c r="B63" i="17"/>
  <c r="A64" i="17"/>
  <c r="S63" i="17"/>
  <c r="M64" i="17"/>
  <c r="AG40" i="17"/>
  <c r="H61" i="15"/>
  <c r="I61" i="15" s="1"/>
  <c r="AE60" i="15"/>
  <c r="AF60" i="15" s="1"/>
  <c r="AL60" i="15"/>
  <c r="J60" i="15"/>
  <c r="K60" i="15" s="1"/>
  <c r="A64" i="15"/>
  <c r="B63" i="15"/>
  <c r="AM62" i="15"/>
  <c r="P62" i="15"/>
  <c r="Q62" i="15" s="1"/>
  <c r="AY39" i="15"/>
  <c r="AC39" i="15"/>
  <c r="AU39" i="15" s="1"/>
  <c r="M64" i="15"/>
  <c r="S63" i="15" s="1"/>
  <c r="AA35" i="13"/>
  <c r="AI37" i="13"/>
  <c r="AW37" i="13" s="1"/>
  <c r="AM61" i="13"/>
  <c r="Q61" i="13"/>
  <c r="AE39" i="13"/>
  <c r="AF39" i="13" s="1"/>
  <c r="J39" i="13"/>
  <c r="K39" i="13" s="1"/>
  <c r="AL39" i="13"/>
  <c r="H40" i="13"/>
  <c r="M63" i="13"/>
  <c r="S62" i="13" s="1"/>
  <c r="P62" i="13" s="1"/>
  <c r="B68" i="13"/>
  <c r="A69" i="13"/>
  <c r="AD62" i="11"/>
  <c r="I63" i="11"/>
  <c r="J63" i="11" s="1"/>
  <c r="W62" i="11"/>
  <c r="X62" i="11" s="1"/>
  <c r="K62" i="11"/>
  <c r="L62" i="11" s="1"/>
  <c r="C65" i="11"/>
  <c r="B66" i="11"/>
  <c r="U45" i="11"/>
  <c r="AK45" i="11" s="1"/>
  <c r="AA42" i="11"/>
  <c r="AM42" i="11" s="1"/>
  <c r="N63" i="11"/>
  <c r="Q62" i="11"/>
  <c r="AE62" i="11" s="1"/>
  <c r="S34" i="8"/>
  <c r="AD61" i="8"/>
  <c r="I62" i="8"/>
  <c r="J62" i="8" s="1"/>
  <c r="W62" i="8" s="1"/>
  <c r="X62" i="8" s="1"/>
  <c r="K61" i="8"/>
  <c r="L61" i="8" s="1"/>
  <c r="N64" i="8"/>
  <c r="Q63" i="8" s="1"/>
  <c r="AE63" i="8" s="1"/>
  <c r="C64" i="8"/>
  <c r="B65" i="8"/>
  <c r="AS38" i="15" l="1"/>
  <c r="W39" i="15"/>
  <c r="W43" i="19"/>
  <c r="Y43" i="19" s="1"/>
  <c r="AG42" i="19"/>
  <c r="AZ42" i="19" s="1"/>
  <c r="B67" i="19"/>
  <c r="A68" i="19"/>
  <c r="M67" i="19"/>
  <c r="AL63" i="19"/>
  <c r="AE63" i="19"/>
  <c r="AF63" i="19" s="1"/>
  <c r="H64" i="19"/>
  <c r="I64" i="19" s="1"/>
  <c r="J63" i="19"/>
  <c r="K63" i="19" s="1"/>
  <c r="S65" i="19"/>
  <c r="AY37" i="19"/>
  <c r="AC37" i="19"/>
  <c r="AU37" i="19" s="1"/>
  <c r="Q64" i="19"/>
  <c r="AI40" i="15"/>
  <c r="AZ40" i="15"/>
  <c r="AE62" i="18"/>
  <c r="AF62" i="18" s="1"/>
  <c r="J62" i="18"/>
  <c r="K62" i="18" s="1"/>
  <c r="H63" i="18"/>
  <c r="I63" i="18" s="1"/>
  <c r="AL62" i="18"/>
  <c r="M65" i="18"/>
  <c r="S64" i="18" s="1"/>
  <c r="W42" i="18"/>
  <c r="AM63" i="18"/>
  <c r="P63" i="18"/>
  <c r="Q63" i="18" s="1"/>
  <c r="Q62" i="18"/>
  <c r="A65" i="18"/>
  <c r="B64" i="18"/>
  <c r="AA38" i="18"/>
  <c r="AG41" i="18"/>
  <c r="Y39" i="17"/>
  <c r="AS39" i="17" s="1"/>
  <c r="AX39" i="17"/>
  <c r="W40" i="17"/>
  <c r="H63" i="17"/>
  <c r="I63" i="17" s="1"/>
  <c r="AE62" i="17"/>
  <c r="AF62" i="17" s="1"/>
  <c r="J62" i="17"/>
  <c r="K62" i="17" s="1"/>
  <c r="AL62" i="17"/>
  <c r="M65" i="17"/>
  <c r="S64" i="17" s="1"/>
  <c r="AA39" i="17"/>
  <c r="P63" i="17"/>
  <c r="Q63" i="17" s="1"/>
  <c r="AM63" i="17"/>
  <c r="A65" i="17"/>
  <c r="B64" i="17"/>
  <c r="AI40" i="17"/>
  <c r="AW40" i="17" s="1"/>
  <c r="AZ40" i="17"/>
  <c r="J61" i="15"/>
  <c r="K61" i="15" s="1"/>
  <c r="AE61" i="15"/>
  <c r="AF61" i="15" s="1"/>
  <c r="H62" i="15"/>
  <c r="I62" i="15" s="1"/>
  <c r="AL61" i="15"/>
  <c r="B64" i="15"/>
  <c r="A65" i="15"/>
  <c r="P63" i="15"/>
  <c r="Q63" i="15" s="1"/>
  <c r="AM63" i="15"/>
  <c r="AA40" i="15"/>
  <c r="M65" i="15"/>
  <c r="S64" i="15" s="1"/>
  <c r="AC35" i="13"/>
  <c r="AU35" i="13" s="1"/>
  <c r="AY35" i="13"/>
  <c r="AG38" i="13"/>
  <c r="AM62" i="13"/>
  <c r="Q62" i="13"/>
  <c r="I40" i="13"/>
  <c r="M64" i="13"/>
  <c r="B69" i="13"/>
  <c r="A70" i="13"/>
  <c r="S46" i="11"/>
  <c r="U46" i="11" s="1"/>
  <c r="AK46" i="11" s="1"/>
  <c r="AD63" i="11"/>
  <c r="I64" i="11"/>
  <c r="J64" i="11" s="1"/>
  <c r="K63" i="11"/>
  <c r="L63" i="11" s="1"/>
  <c r="W63" i="11"/>
  <c r="X63" i="11" s="1"/>
  <c r="C66" i="11"/>
  <c r="B67" i="11"/>
  <c r="N64" i="11"/>
  <c r="Y43" i="11"/>
  <c r="U34" i="8"/>
  <c r="AK34" i="8" s="1"/>
  <c r="K62" i="8"/>
  <c r="L62" i="8" s="1"/>
  <c r="AD62" i="8"/>
  <c r="I63" i="8"/>
  <c r="J63" i="8" s="1"/>
  <c r="W63" i="8" s="1"/>
  <c r="X63" i="8" s="1"/>
  <c r="N65" i="8"/>
  <c r="Q64" i="8" s="1"/>
  <c r="AE64" i="8" s="1"/>
  <c r="C65" i="8"/>
  <c r="B66" i="8"/>
  <c r="Y39" i="15" l="1"/>
  <c r="AS39" i="15" s="1"/>
  <c r="AX39" i="15"/>
  <c r="W40" i="15"/>
  <c r="AX43" i="19"/>
  <c r="AS43" i="19"/>
  <c r="W44" i="19"/>
  <c r="AI42" i="19"/>
  <c r="AW42" i="19" s="1"/>
  <c r="H65" i="19"/>
  <c r="I65" i="19" s="1"/>
  <c r="AL64" i="19"/>
  <c r="J64" i="19"/>
  <c r="K64" i="19" s="1"/>
  <c r="AE64" i="19"/>
  <c r="AF64" i="19" s="1"/>
  <c r="AM65" i="19"/>
  <c r="P65" i="19"/>
  <c r="Q65" i="19" s="1"/>
  <c r="M68" i="19"/>
  <c r="S67" i="19" s="1"/>
  <c r="S66" i="19"/>
  <c r="A69" i="19"/>
  <c r="B68" i="19"/>
  <c r="AA38" i="19"/>
  <c r="AW40" i="15"/>
  <c r="AG41" i="15"/>
  <c r="AM64" i="18"/>
  <c r="P64" i="18"/>
  <c r="Q64" i="18" s="1"/>
  <c r="J63" i="18"/>
  <c r="K63" i="18" s="1"/>
  <c r="AL63" i="18"/>
  <c r="AE63" i="18"/>
  <c r="AF63" i="18" s="1"/>
  <c r="H64" i="18"/>
  <c r="I64" i="18" s="1"/>
  <c r="AX42" i="18"/>
  <c r="Y42" i="18"/>
  <c r="AS42" i="18" s="1"/>
  <c r="AY38" i="18"/>
  <c r="AC38" i="18"/>
  <c r="AU38" i="18" s="1"/>
  <c r="M66" i="18"/>
  <c r="S65" i="18" s="1"/>
  <c r="B65" i="18"/>
  <c r="A66" i="18"/>
  <c r="AI41" i="18"/>
  <c r="AW41" i="18" s="1"/>
  <c r="AZ41" i="18"/>
  <c r="Y40" i="17"/>
  <c r="AS40" i="17" s="1"/>
  <c r="AX40" i="17"/>
  <c r="W41" i="17"/>
  <c r="AM64" i="17"/>
  <c r="P64" i="17"/>
  <c r="Q64" i="17" s="1"/>
  <c r="AY39" i="17"/>
  <c r="AC39" i="17"/>
  <c r="AU39" i="17" s="1"/>
  <c r="A66" i="17"/>
  <c r="B65" i="17"/>
  <c r="M66" i="17"/>
  <c r="H64" i="17"/>
  <c r="I64" i="17" s="1"/>
  <c r="AL63" i="17"/>
  <c r="J63" i="17"/>
  <c r="K63" i="17" s="1"/>
  <c r="AE63" i="17"/>
  <c r="AF63" i="17" s="1"/>
  <c r="AG41" i="17"/>
  <c r="P64" i="15"/>
  <c r="Q64" i="15" s="1"/>
  <c r="AM64" i="15"/>
  <c r="AL62" i="15"/>
  <c r="H63" i="15"/>
  <c r="I63" i="15" s="1"/>
  <c r="AE62" i="15"/>
  <c r="AF62" i="15" s="1"/>
  <c r="J62" i="15"/>
  <c r="K62" i="15" s="1"/>
  <c r="AY40" i="15"/>
  <c r="AC40" i="15"/>
  <c r="AU40" i="15" s="1"/>
  <c r="B65" i="15"/>
  <c r="A66" i="15"/>
  <c r="M66" i="15"/>
  <c r="S65" i="15" s="1"/>
  <c r="AA36" i="13"/>
  <c r="AY36" i="13" s="1"/>
  <c r="AZ38" i="13"/>
  <c r="AI38" i="13"/>
  <c r="AW38" i="13" s="1"/>
  <c r="AE40" i="13"/>
  <c r="AF40" i="13" s="1"/>
  <c r="H41" i="13"/>
  <c r="AL40" i="13"/>
  <c r="J40" i="13"/>
  <c r="K40" i="13" s="1"/>
  <c r="M65" i="13"/>
  <c r="A71" i="13"/>
  <c r="B70" i="13"/>
  <c r="S63" i="13"/>
  <c r="P63" i="13" s="1"/>
  <c r="W64" i="11"/>
  <c r="X64" i="11" s="1"/>
  <c r="K64" i="11"/>
  <c r="L64" i="11" s="1"/>
  <c r="AD64" i="11"/>
  <c r="I65" i="11"/>
  <c r="J65" i="11" s="1"/>
  <c r="AA43" i="11"/>
  <c r="AM43" i="11" s="1"/>
  <c r="S47" i="11"/>
  <c r="N65" i="11"/>
  <c r="Q64" i="11"/>
  <c r="AE64" i="11" s="1"/>
  <c r="Q63" i="11"/>
  <c r="AE63" i="11" s="1"/>
  <c r="B68" i="11"/>
  <c r="C67" i="11"/>
  <c r="S35" i="8"/>
  <c r="AD63" i="8"/>
  <c r="K63" i="8"/>
  <c r="L63" i="8" s="1"/>
  <c r="I64" i="8"/>
  <c r="J64" i="8" s="1"/>
  <c r="W64" i="8" s="1"/>
  <c r="X64" i="8" s="1"/>
  <c r="N66" i="8"/>
  <c r="Q65" i="8" s="1"/>
  <c r="AE65" i="8" s="1"/>
  <c r="B67" i="8"/>
  <c r="C66" i="8"/>
  <c r="Y40" i="15" l="1"/>
  <c r="AS40" i="15" s="1"/>
  <c r="AX40" i="15"/>
  <c r="W41" i="15"/>
  <c r="Y44" i="19"/>
  <c r="AS44" i="19" s="1"/>
  <c r="AX44" i="19"/>
  <c r="AG43" i="19"/>
  <c r="AZ43" i="19" s="1"/>
  <c r="AL65" i="19"/>
  <c r="J65" i="19"/>
  <c r="K65" i="19" s="1"/>
  <c r="H66" i="19"/>
  <c r="I66" i="19" s="1"/>
  <c r="AE65" i="19"/>
  <c r="AF65" i="19" s="1"/>
  <c r="AM67" i="19"/>
  <c r="P67" i="19"/>
  <c r="A70" i="19"/>
  <c r="B69" i="19"/>
  <c r="AM66" i="19"/>
  <c r="P66" i="19"/>
  <c r="Q66" i="19" s="1"/>
  <c r="AY38" i="19"/>
  <c r="AC38" i="19"/>
  <c r="AU38" i="19" s="1"/>
  <c r="M69" i="19"/>
  <c r="S68" i="19" s="1"/>
  <c r="AZ41" i="15"/>
  <c r="AI41" i="15"/>
  <c r="AW41" i="15" s="1"/>
  <c r="H65" i="18"/>
  <c r="I65" i="18" s="1"/>
  <c r="AE64" i="18"/>
  <c r="AF64" i="18" s="1"/>
  <c r="J64" i="18"/>
  <c r="K64" i="18" s="1"/>
  <c r="AL64" i="18"/>
  <c r="M67" i="18"/>
  <c r="S66" i="18" s="1"/>
  <c r="P65" i="18"/>
  <c r="Q65" i="18" s="1"/>
  <c r="AM65" i="18"/>
  <c r="AA39" i="18"/>
  <c r="AG42" i="18"/>
  <c r="A67" i="18"/>
  <c r="B66" i="18"/>
  <c r="W43" i="18"/>
  <c r="Y41" i="17"/>
  <c r="AS41" i="17" s="1"/>
  <c r="AX41" i="17"/>
  <c r="W42" i="17"/>
  <c r="H65" i="17"/>
  <c r="I65" i="17" s="1"/>
  <c r="J64" i="17"/>
  <c r="K64" i="17" s="1"/>
  <c r="AL64" i="17"/>
  <c r="AE64" i="17"/>
  <c r="AF64" i="17" s="1"/>
  <c r="AA41" i="15"/>
  <c r="AY41" i="15" s="1"/>
  <c r="A67" i="17"/>
  <c r="B66" i="17"/>
  <c r="AZ41" i="17"/>
  <c r="AI41" i="17"/>
  <c r="AW41" i="17" s="1"/>
  <c r="AA40" i="17"/>
  <c r="S66" i="17"/>
  <c r="M67" i="17"/>
  <c r="S65" i="17"/>
  <c r="H64" i="15"/>
  <c r="I64" i="15" s="1"/>
  <c r="AL63" i="15"/>
  <c r="AE63" i="15"/>
  <c r="AF63" i="15" s="1"/>
  <c r="J63" i="15"/>
  <c r="K63" i="15" s="1"/>
  <c r="A67" i="15"/>
  <c r="B66" i="15"/>
  <c r="M67" i="15"/>
  <c r="S66" i="15"/>
  <c r="AM65" i="15"/>
  <c r="P65" i="15"/>
  <c r="Q65" i="15" s="1"/>
  <c r="AC36" i="13"/>
  <c r="AA37" i="13" s="1"/>
  <c r="AG39" i="13"/>
  <c r="AM63" i="13"/>
  <c r="Q63" i="13"/>
  <c r="I41" i="13"/>
  <c r="M66" i="13"/>
  <c r="S65" i="13" s="1"/>
  <c r="P65" i="13" s="1"/>
  <c r="A72" i="13"/>
  <c r="B71" i="13"/>
  <c r="S64" i="13"/>
  <c r="P64" i="13" s="1"/>
  <c r="Y44" i="11"/>
  <c r="AA44" i="11" s="1"/>
  <c r="AM44" i="11" s="1"/>
  <c r="W65" i="11"/>
  <c r="X65" i="11" s="1"/>
  <c r="K65" i="11"/>
  <c r="L65" i="11" s="1"/>
  <c r="I66" i="11"/>
  <c r="J66" i="11" s="1"/>
  <c r="AD65" i="11"/>
  <c r="U47" i="11"/>
  <c r="AK47" i="11" s="1"/>
  <c r="B69" i="11"/>
  <c r="C68" i="11"/>
  <c r="N66" i="11"/>
  <c r="Q65" i="11"/>
  <c r="AE65" i="11" s="1"/>
  <c r="U35" i="8"/>
  <c r="S36" i="8" s="1"/>
  <c r="AD64" i="8"/>
  <c r="K64" i="8"/>
  <c r="L64" i="8" s="1"/>
  <c r="I65" i="8"/>
  <c r="J65" i="8" s="1"/>
  <c r="W65" i="8" s="1"/>
  <c r="X65" i="8" s="1"/>
  <c r="N67" i="8"/>
  <c r="Q66" i="8" s="1"/>
  <c r="AE66" i="8" s="1"/>
  <c r="B68" i="8"/>
  <c r="C67" i="8"/>
  <c r="AX41" i="15" l="1"/>
  <c r="Y41" i="15"/>
  <c r="W45" i="19"/>
  <c r="AI43" i="19"/>
  <c r="AW43" i="19" s="1"/>
  <c r="AA39" i="19"/>
  <c r="AY39" i="19" s="1"/>
  <c r="P68" i="19"/>
  <c r="Q68" i="19" s="1"/>
  <c r="AM68" i="19"/>
  <c r="J66" i="19"/>
  <c r="K66" i="19" s="1"/>
  <c r="H67" i="19"/>
  <c r="I67" i="19" s="1"/>
  <c r="AL66" i="19"/>
  <c r="AE66" i="19"/>
  <c r="AF66" i="19" s="1"/>
  <c r="B70" i="19"/>
  <c r="A71" i="19"/>
  <c r="M70" i="19"/>
  <c r="Q67" i="19"/>
  <c r="AG42" i="15"/>
  <c r="AC41" i="15"/>
  <c r="AU41" i="15" s="1"/>
  <c r="AX43" i="18"/>
  <c r="Y43" i="18"/>
  <c r="AS43" i="18" s="1"/>
  <c r="M68" i="18"/>
  <c r="S67" i="18"/>
  <c r="AM66" i="18"/>
  <c r="P66" i="18"/>
  <c r="Q66" i="18" s="1"/>
  <c r="B67" i="18"/>
  <c r="A68" i="18"/>
  <c r="AZ42" i="18"/>
  <c r="AI42" i="18"/>
  <c r="AW42" i="18" s="1"/>
  <c r="AY39" i="18"/>
  <c r="AC39" i="18"/>
  <c r="AU39" i="18" s="1"/>
  <c r="J65" i="18"/>
  <c r="K65" i="18" s="1"/>
  <c r="H66" i="18"/>
  <c r="I66" i="18" s="1"/>
  <c r="AL65" i="18"/>
  <c r="AE65" i="18"/>
  <c r="AF65" i="18" s="1"/>
  <c r="AX42" i="17"/>
  <c r="Y42" i="17"/>
  <c r="AS42" i="17" s="1"/>
  <c r="AM65" i="17"/>
  <c r="P65" i="17"/>
  <c r="Q65" i="17" s="1"/>
  <c r="B67" i="17"/>
  <c r="A68" i="17"/>
  <c r="AL65" i="17"/>
  <c r="J65" i="17"/>
  <c r="K65" i="17" s="1"/>
  <c r="H66" i="17"/>
  <c r="I66" i="17" s="1"/>
  <c r="AE65" i="17"/>
  <c r="AF65" i="17" s="1"/>
  <c r="AY40" i="17"/>
  <c r="AC40" i="17"/>
  <c r="AU40" i="17" s="1"/>
  <c r="S67" i="17"/>
  <c r="M68" i="17"/>
  <c r="AG42" i="17"/>
  <c r="AM66" i="17"/>
  <c r="P66" i="17"/>
  <c r="Q66" i="17" s="1"/>
  <c r="AL64" i="15"/>
  <c r="AE64" i="15"/>
  <c r="AF64" i="15" s="1"/>
  <c r="J64" i="15"/>
  <c r="K64" i="15" s="1"/>
  <c r="H65" i="15"/>
  <c r="I65" i="15" s="1"/>
  <c r="S67" i="15"/>
  <c r="M68" i="15"/>
  <c r="AM66" i="15"/>
  <c r="P66" i="15"/>
  <c r="Q66" i="15" s="1"/>
  <c r="A68" i="15"/>
  <c r="B67" i="15"/>
  <c r="AU36" i="13"/>
  <c r="AY37" i="13"/>
  <c r="AC37" i="13"/>
  <c r="AU37" i="13" s="1"/>
  <c r="AI39" i="13"/>
  <c r="AZ39" i="13"/>
  <c r="AM65" i="13"/>
  <c r="AM64" i="13"/>
  <c r="Q64" i="13"/>
  <c r="AE41" i="13"/>
  <c r="AF41" i="13" s="1"/>
  <c r="J41" i="13"/>
  <c r="K41" i="13" s="1"/>
  <c r="AL41" i="13"/>
  <c r="H42" i="13"/>
  <c r="M67" i="13"/>
  <c r="S66" i="13" s="1"/>
  <c r="P66" i="13" s="1"/>
  <c r="B72" i="13"/>
  <c r="A73" i="13"/>
  <c r="AD66" i="11"/>
  <c r="I67" i="11"/>
  <c r="J67" i="11" s="1"/>
  <c r="W66" i="11"/>
  <c r="X66" i="11" s="1"/>
  <c r="K66" i="11"/>
  <c r="L66" i="11" s="1"/>
  <c r="S48" i="11"/>
  <c r="N67" i="11"/>
  <c r="Q66" i="11" s="1"/>
  <c r="AE66" i="11" s="1"/>
  <c r="C69" i="11"/>
  <c r="B70" i="11"/>
  <c r="Y45" i="11"/>
  <c r="AK35" i="8"/>
  <c r="I66" i="8"/>
  <c r="J66" i="8" s="1"/>
  <c r="W66" i="8" s="1"/>
  <c r="X66" i="8" s="1"/>
  <c r="K65" i="8"/>
  <c r="L65" i="8" s="1"/>
  <c r="AD65" i="8"/>
  <c r="B69" i="8"/>
  <c r="C68" i="8"/>
  <c r="N68" i="8"/>
  <c r="Q67" i="8" s="1"/>
  <c r="AE67" i="8" s="1"/>
  <c r="AS41" i="15" l="1"/>
  <c r="W42" i="15"/>
  <c r="Y45" i="19"/>
  <c r="AS45" i="19" s="1"/>
  <c r="AX45" i="19"/>
  <c r="AG44" i="19"/>
  <c r="AZ44" i="19" s="1"/>
  <c r="AI44" i="19"/>
  <c r="AW44" i="19" s="1"/>
  <c r="AC39" i="19"/>
  <c r="AU39" i="19" s="1"/>
  <c r="H68" i="19"/>
  <c r="I68" i="19" s="1"/>
  <c r="AE67" i="19"/>
  <c r="AF67" i="19" s="1"/>
  <c r="J67" i="19"/>
  <c r="K67" i="19" s="1"/>
  <c r="AL67" i="19"/>
  <c r="B71" i="19"/>
  <c r="A72" i="19"/>
  <c r="M71" i="19"/>
  <c r="S70" i="19" s="1"/>
  <c r="S69" i="19"/>
  <c r="AA42" i="15"/>
  <c r="AI42" i="15"/>
  <c r="AW42" i="15" s="1"/>
  <c r="AZ42" i="15"/>
  <c r="AG43" i="15"/>
  <c r="J66" i="18"/>
  <c r="K66" i="18" s="1"/>
  <c r="H67" i="18"/>
  <c r="I67" i="18" s="1"/>
  <c r="AL66" i="18"/>
  <c r="AE66" i="18"/>
  <c r="AF66" i="18" s="1"/>
  <c r="AA40" i="18"/>
  <c r="AM67" i="18"/>
  <c r="P67" i="18"/>
  <c r="Q67" i="18" s="1"/>
  <c r="M69" i="18"/>
  <c r="S68" i="18" s="1"/>
  <c r="AG43" i="18"/>
  <c r="A69" i="18"/>
  <c r="B68" i="18"/>
  <c r="W44" i="18"/>
  <c r="W43" i="17"/>
  <c r="AM67" i="17"/>
  <c r="P67" i="17"/>
  <c r="Q67" i="17" s="1"/>
  <c r="AL66" i="17"/>
  <c r="H67" i="17"/>
  <c r="I67" i="17" s="1"/>
  <c r="AE66" i="17"/>
  <c r="AF66" i="17" s="1"/>
  <c r="J66" i="17"/>
  <c r="K66" i="17" s="1"/>
  <c r="AA41" i="17"/>
  <c r="B68" i="17"/>
  <c r="A69" i="17"/>
  <c r="AZ42" i="17"/>
  <c r="AI42" i="17"/>
  <c r="AW42" i="17" s="1"/>
  <c r="M69" i="17"/>
  <c r="S68" i="17"/>
  <c r="J65" i="15"/>
  <c r="K65" i="15" s="1"/>
  <c r="H66" i="15"/>
  <c r="I66" i="15" s="1"/>
  <c r="AE65" i="15"/>
  <c r="AF65" i="15" s="1"/>
  <c r="AL65" i="15"/>
  <c r="A69" i="15"/>
  <c r="B68" i="15"/>
  <c r="S68" i="15"/>
  <c r="M69" i="15"/>
  <c r="AY42" i="15"/>
  <c r="AC42" i="15"/>
  <c r="AU42" i="15" s="1"/>
  <c r="P67" i="15"/>
  <c r="Q67" i="15" s="1"/>
  <c r="AM67" i="15"/>
  <c r="AA38" i="13"/>
  <c r="AW39" i="13"/>
  <c r="AG40" i="13"/>
  <c r="Q65" i="13"/>
  <c r="AM66" i="13"/>
  <c r="Q66" i="13"/>
  <c r="I42" i="13"/>
  <c r="M68" i="13"/>
  <c r="B73" i="13"/>
  <c r="A74" i="13"/>
  <c r="AD67" i="11"/>
  <c r="I68" i="11"/>
  <c r="J68" i="11" s="1"/>
  <c r="K67" i="11"/>
  <c r="L67" i="11" s="1"/>
  <c r="W67" i="11"/>
  <c r="X67" i="11" s="1"/>
  <c r="U48" i="11"/>
  <c r="AK48" i="11" s="1"/>
  <c r="Q67" i="11"/>
  <c r="AE67" i="11" s="1"/>
  <c r="N68" i="11"/>
  <c r="AA45" i="11"/>
  <c r="AM45" i="11" s="1"/>
  <c r="B71" i="11"/>
  <c r="C70" i="11"/>
  <c r="U36" i="8"/>
  <c r="K66" i="8"/>
  <c r="L66" i="8" s="1"/>
  <c r="I67" i="8"/>
  <c r="J67" i="8" s="1"/>
  <c r="W67" i="8" s="1"/>
  <c r="X67" i="8" s="1"/>
  <c r="AD66" i="8"/>
  <c r="N69" i="8"/>
  <c r="Q68" i="8" s="1"/>
  <c r="AE68" i="8" s="1"/>
  <c r="C69" i="8"/>
  <c r="B70" i="8"/>
  <c r="W43" i="15" l="1"/>
  <c r="Y42" i="15"/>
  <c r="AS42" i="15" s="1"/>
  <c r="AX42" i="15"/>
  <c r="W46" i="19"/>
  <c r="AA40" i="19"/>
  <c r="AY40" i="19" s="1"/>
  <c r="AG45" i="19"/>
  <c r="P70" i="19"/>
  <c r="AM70" i="19"/>
  <c r="M72" i="19"/>
  <c r="S71" i="19" s="1"/>
  <c r="A73" i="19"/>
  <c r="B72" i="19"/>
  <c r="J68" i="19"/>
  <c r="K68" i="19" s="1"/>
  <c r="H69" i="19"/>
  <c r="I69" i="19" s="1"/>
  <c r="AL68" i="19"/>
  <c r="AE68" i="19"/>
  <c r="AF68" i="19" s="1"/>
  <c r="AM69" i="19"/>
  <c r="P69" i="19"/>
  <c r="Q69" i="19" s="1"/>
  <c r="AZ43" i="15"/>
  <c r="AI43" i="15"/>
  <c r="AW43" i="15" s="1"/>
  <c r="H68" i="18"/>
  <c r="I68" i="18" s="1"/>
  <c r="AE67" i="18"/>
  <c r="AF67" i="18" s="1"/>
  <c r="J67" i="18"/>
  <c r="K67" i="18" s="1"/>
  <c r="AL67" i="18"/>
  <c r="Y44" i="18"/>
  <c r="AS44" i="18" s="1"/>
  <c r="AX44" i="18"/>
  <c r="AY40" i="18"/>
  <c r="AC40" i="18"/>
  <c r="AU40" i="18" s="1"/>
  <c r="A70" i="18"/>
  <c r="B69" i="18"/>
  <c r="AI43" i="18"/>
  <c r="AW43" i="18" s="1"/>
  <c r="AZ43" i="18"/>
  <c r="P68" i="18"/>
  <c r="Q68" i="18" s="1"/>
  <c r="AM68" i="18"/>
  <c r="M70" i="18"/>
  <c r="S69" i="18" s="1"/>
  <c r="AG43" i="17"/>
  <c r="AX43" i="17"/>
  <c r="Y43" i="17"/>
  <c r="AS43" i="17" s="1"/>
  <c r="W44" i="17"/>
  <c r="H68" i="17"/>
  <c r="I68" i="17" s="1"/>
  <c r="AE67" i="17"/>
  <c r="AF67" i="17" s="1"/>
  <c r="AL67" i="17"/>
  <c r="J67" i="17"/>
  <c r="K67" i="17" s="1"/>
  <c r="P68" i="17"/>
  <c r="Q68" i="17" s="1"/>
  <c r="AM68" i="17"/>
  <c r="S69" i="17"/>
  <c r="M70" i="17"/>
  <c r="AI43" i="17"/>
  <c r="AW43" i="17" s="1"/>
  <c r="AZ43" i="17"/>
  <c r="A70" i="17"/>
  <c r="B69" i="17"/>
  <c r="AY41" i="17"/>
  <c r="AC41" i="17"/>
  <c r="AU41" i="17" s="1"/>
  <c r="H67" i="15"/>
  <c r="I67" i="15" s="1"/>
  <c r="AE66" i="15"/>
  <c r="AF66" i="15" s="1"/>
  <c r="AL66" i="15"/>
  <c r="J66" i="15"/>
  <c r="K66" i="15" s="1"/>
  <c r="B69" i="15"/>
  <c r="A70" i="15"/>
  <c r="M70" i="15"/>
  <c r="S69" i="15"/>
  <c r="AA43" i="15"/>
  <c r="P68" i="15"/>
  <c r="Q68" i="15" s="1"/>
  <c r="AM68" i="15"/>
  <c r="AY38" i="13"/>
  <c r="AC38" i="13"/>
  <c r="AU38" i="13" s="1"/>
  <c r="AZ40" i="13"/>
  <c r="AI40" i="13"/>
  <c r="AE42" i="13"/>
  <c r="AF42" i="13" s="1"/>
  <c r="H43" i="13"/>
  <c r="AL42" i="13"/>
  <c r="J42" i="13"/>
  <c r="K42" i="13" s="1"/>
  <c r="M69" i="13"/>
  <c r="S68" i="13" s="1"/>
  <c r="P68" i="13" s="1"/>
  <c r="A75" i="13"/>
  <c r="B74" i="13"/>
  <c r="S67" i="13"/>
  <c r="P67" i="13" s="1"/>
  <c r="W68" i="11"/>
  <c r="X68" i="11" s="1"/>
  <c r="K68" i="11"/>
  <c r="L68" i="11" s="1"/>
  <c r="AD68" i="11"/>
  <c r="I69" i="11"/>
  <c r="J69" i="11" s="1"/>
  <c r="S49" i="11"/>
  <c r="C71" i="11"/>
  <c r="B72" i="11"/>
  <c r="Y46" i="11"/>
  <c r="N69" i="11"/>
  <c r="Q68" i="11" s="1"/>
  <c r="AE68" i="11" s="1"/>
  <c r="AK36" i="8"/>
  <c r="S37" i="8"/>
  <c r="I68" i="8"/>
  <c r="J68" i="8" s="1"/>
  <c r="W68" i="8" s="1"/>
  <c r="X68" i="8" s="1"/>
  <c r="AD67" i="8"/>
  <c r="K67" i="8"/>
  <c r="L67" i="8" s="1"/>
  <c r="C70" i="8"/>
  <c r="B71" i="8"/>
  <c r="N70" i="8"/>
  <c r="Q69" i="8" s="1"/>
  <c r="AE69" i="8" s="1"/>
  <c r="AX43" i="15" l="1"/>
  <c r="Y43" i="15"/>
  <c r="AC40" i="19"/>
  <c r="AU40" i="19" s="1"/>
  <c r="AX46" i="19"/>
  <c r="Y46" i="19"/>
  <c r="AS46" i="19" s="1"/>
  <c r="AZ45" i="19"/>
  <c r="AI45" i="19"/>
  <c r="H70" i="19"/>
  <c r="I70" i="19" s="1"/>
  <c r="AE69" i="19"/>
  <c r="AF69" i="19" s="1"/>
  <c r="J69" i="19"/>
  <c r="K69" i="19" s="1"/>
  <c r="AL69" i="19"/>
  <c r="A74" i="19"/>
  <c r="B73" i="19"/>
  <c r="M73" i="19"/>
  <c r="S72" i="19" s="1"/>
  <c r="P71" i="19"/>
  <c r="Q71" i="19" s="1"/>
  <c r="AM71" i="19"/>
  <c r="Q70" i="19"/>
  <c r="AA41" i="19"/>
  <c r="AG44" i="15"/>
  <c r="AG44" i="18"/>
  <c r="AI44" i="18" s="1"/>
  <c r="AW44" i="18" s="1"/>
  <c r="W45" i="18"/>
  <c r="AX45" i="18" s="1"/>
  <c r="AL68" i="18"/>
  <c r="H69" i="18"/>
  <c r="I69" i="18" s="1"/>
  <c r="AE68" i="18"/>
  <c r="AF68" i="18" s="1"/>
  <c r="J68" i="18"/>
  <c r="K68" i="18" s="1"/>
  <c r="Y45" i="18"/>
  <c r="AS45" i="18" s="1"/>
  <c r="M71" i="18"/>
  <c r="S70" i="18" s="1"/>
  <c r="P69" i="18"/>
  <c r="Q69" i="18" s="1"/>
  <c r="AM69" i="18"/>
  <c r="B70" i="18"/>
  <c r="A71" i="18"/>
  <c r="AZ44" i="18"/>
  <c r="AA41" i="18"/>
  <c r="Y44" i="17"/>
  <c r="AS44" i="17" s="1"/>
  <c r="AX44" i="17"/>
  <c r="W45" i="17"/>
  <c r="AA42" i="17"/>
  <c r="AE68" i="17"/>
  <c r="AF68" i="17" s="1"/>
  <c r="J68" i="17"/>
  <c r="K68" i="17" s="1"/>
  <c r="H69" i="17"/>
  <c r="I69" i="17" s="1"/>
  <c r="AL68" i="17"/>
  <c r="AG44" i="17"/>
  <c r="M71" i="17"/>
  <c r="S70" i="17"/>
  <c r="B70" i="17"/>
  <c r="A71" i="17"/>
  <c r="P69" i="17"/>
  <c r="Q69" i="17" s="1"/>
  <c r="AM69" i="17"/>
  <c r="H68" i="15"/>
  <c r="I68" i="15" s="1"/>
  <c r="AL67" i="15"/>
  <c r="J67" i="15"/>
  <c r="K67" i="15" s="1"/>
  <c r="AE67" i="15"/>
  <c r="AF67" i="15" s="1"/>
  <c r="B70" i="15"/>
  <c r="A71" i="15"/>
  <c r="AY43" i="15"/>
  <c r="AC43" i="15"/>
  <c r="AU43" i="15" s="1"/>
  <c r="AM69" i="15"/>
  <c r="P69" i="15"/>
  <c r="Q69" i="15" s="1"/>
  <c r="S70" i="15"/>
  <c r="M71" i="15"/>
  <c r="AA39" i="13"/>
  <c r="AW40" i="13"/>
  <c r="AG41" i="13"/>
  <c r="AM67" i="13"/>
  <c r="Q67" i="13"/>
  <c r="AM68" i="13"/>
  <c r="Q68" i="13"/>
  <c r="I43" i="13"/>
  <c r="M70" i="13"/>
  <c r="S69" i="13" s="1"/>
  <c r="P69" i="13" s="1"/>
  <c r="B75" i="13"/>
  <c r="A76" i="13"/>
  <c r="W69" i="11"/>
  <c r="X69" i="11" s="1"/>
  <c r="K69" i="11"/>
  <c r="L69" i="11" s="1"/>
  <c r="I70" i="11"/>
  <c r="J70" i="11" s="1"/>
  <c r="AD69" i="11"/>
  <c r="U49" i="11"/>
  <c r="AK49" i="11" s="1"/>
  <c r="B73" i="11"/>
  <c r="C72" i="11"/>
  <c r="N70" i="11"/>
  <c r="Q69" i="11"/>
  <c r="AE69" i="11" s="1"/>
  <c r="AA46" i="11"/>
  <c r="AM46" i="11" s="1"/>
  <c r="U37" i="8"/>
  <c r="K68" i="8"/>
  <c r="L68" i="8" s="1"/>
  <c r="I69" i="8"/>
  <c r="J69" i="8" s="1"/>
  <c r="W69" i="8" s="1"/>
  <c r="X69" i="8" s="1"/>
  <c r="AD68" i="8"/>
  <c r="N71" i="8"/>
  <c r="Q70" i="8" s="1"/>
  <c r="AE70" i="8" s="1"/>
  <c r="B72" i="8"/>
  <c r="C71" i="8"/>
  <c r="AS43" i="15" l="1"/>
  <c r="W44" i="15"/>
  <c r="W47" i="19"/>
  <c r="Y47" i="19"/>
  <c r="AS47" i="19" s="1"/>
  <c r="AX47" i="19"/>
  <c r="AW45" i="19"/>
  <c r="AG46" i="19"/>
  <c r="A75" i="19"/>
  <c r="B74" i="19"/>
  <c r="AE70" i="19"/>
  <c r="AF70" i="19" s="1"/>
  <c r="J70" i="19"/>
  <c r="K70" i="19" s="1"/>
  <c r="H71" i="19"/>
  <c r="I71" i="19" s="1"/>
  <c r="AL70" i="19"/>
  <c r="AM72" i="19"/>
  <c r="P72" i="19"/>
  <c r="Q72" i="19" s="1"/>
  <c r="AY41" i="19"/>
  <c r="AC41" i="19"/>
  <c r="AU41" i="19" s="1"/>
  <c r="M74" i="19"/>
  <c r="S73" i="19" s="1"/>
  <c r="AI44" i="15"/>
  <c r="AW44" i="15" s="1"/>
  <c r="AZ44" i="15"/>
  <c r="AG45" i="15"/>
  <c r="W46" i="18"/>
  <c r="Y46" i="18" s="1"/>
  <c r="AS46" i="18" s="1"/>
  <c r="A72" i="18"/>
  <c r="B71" i="18"/>
  <c r="H70" i="18"/>
  <c r="I70" i="18" s="1"/>
  <c r="AE69" i="18"/>
  <c r="AF69" i="18" s="1"/>
  <c r="AL69" i="18"/>
  <c r="J69" i="18"/>
  <c r="K69" i="18" s="1"/>
  <c r="AY41" i="18"/>
  <c r="AC41" i="18"/>
  <c r="AU41" i="18" s="1"/>
  <c r="P70" i="18"/>
  <c r="Q70" i="18" s="1"/>
  <c r="AM70" i="18"/>
  <c r="AG45" i="18"/>
  <c r="M72" i="18"/>
  <c r="S71" i="18" s="1"/>
  <c r="AX45" i="17"/>
  <c r="Y45" i="17"/>
  <c r="AS45" i="17" s="1"/>
  <c r="W46" i="17"/>
  <c r="J69" i="17"/>
  <c r="K69" i="17" s="1"/>
  <c r="H70" i="17"/>
  <c r="I70" i="17" s="1"/>
  <c r="AL69" i="17"/>
  <c r="AE69" i="17"/>
  <c r="AF69" i="17" s="1"/>
  <c r="AM70" i="17"/>
  <c r="P70" i="17"/>
  <c r="Q70" i="17" s="1"/>
  <c r="A72" i="17"/>
  <c r="B71" i="17"/>
  <c r="M72" i="17"/>
  <c r="S71" i="17"/>
  <c r="AI44" i="17"/>
  <c r="AW44" i="17" s="1"/>
  <c r="AZ44" i="17"/>
  <c r="AY42" i="17"/>
  <c r="AC42" i="17"/>
  <c r="AU42" i="17" s="1"/>
  <c r="M72" i="15"/>
  <c r="S71" i="15"/>
  <c r="AL68" i="15"/>
  <c r="AE68" i="15"/>
  <c r="AF68" i="15" s="1"/>
  <c r="H69" i="15"/>
  <c r="I69" i="15" s="1"/>
  <c r="J68" i="15"/>
  <c r="K68" i="15" s="1"/>
  <c r="AM70" i="15"/>
  <c r="P70" i="15"/>
  <c r="Q70" i="15" s="1"/>
  <c r="AA44" i="15"/>
  <c r="A72" i="15"/>
  <c r="B71" i="15"/>
  <c r="AY39" i="13"/>
  <c r="AC39" i="13"/>
  <c r="AU39" i="13" s="1"/>
  <c r="AZ41" i="13"/>
  <c r="AI41" i="13"/>
  <c r="AW41" i="13" s="1"/>
  <c r="AM69" i="13"/>
  <c r="Q69" i="13"/>
  <c r="H44" i="13"/>
  <c r="AE43" i="13"/>
  <c r="AF43" i="13" s="1"/>
  <c r="J43" i="13"/>
  <c r="K43" i="13" s="1"/>
  <c r="AL43" i="13"/>
  <c r="B76" i="13"/>
  <c r="A77" i="13"/>
  <c r="M71" i="13"/>
  <c r="S70" i="13" s="1"/>
  <c r="P70" i="13" s="1"/>
  <c r="S50" i="11"/>
  <c r="U50" i="11" s="1"/>
  <c r="AK50" i="11" s="1"/>
  <c r="AD70" i="11"/>
  <c r="I71" i="11"/>
  <c r="J71" i="11" s="1"/>
  <c r="W70" i="11"/>
  <c r="X70" i="11" s="1"/>
  <c r="K70" i="11"/>
  <c r="L70" i="11" s="1"/>
  <c r="B74" i="11"/>
  <c r="C73" i="11"/>
  <c r="Y47" i="11"/>
  <c r="N71" i="11"/>
  <c r="Q70" i="11" s="1"/>
  <c r="AE70" i="11" s="1"/>
  <c r="AK37" i="8"/>
  <c r="S38" i="8"/>
  <c r="AD69" i="8"/>
  <c r="I70" i="8"/>
  <c r="J70" i="8" s="1"/>
  <c r="W70" i="8" s="1"/>
  <c r="X70" i="8" s="1"/>
  <c r="K69" i="8"/>
  <c r="L69" i="8" s="1"/>
  <c r="C72" i="8"/>
  <c r="B73" i="8"/>
  <c r="N72" i="8"/>
  <c r="Q71" i="8" s="1"/>
  <c r="AE71" i="8" s="1"/>
  <c r="AX44" i="15" l="1"/>
  <c r="Y44" i="15"/>
  <c r="AS44" i="15" s="1"/>
  <c r="W45" i="15"/>
  <c r="W48" i="19"/>
  <c r="AZ46" i="19"/>
  <c r="AI46" i="19"/>
  <c r="AW46" i="19" s="1"/>
  <c r="AA42" i="19"/>
  <c r="AY42" i="19" s="1"/>
  <c r="AL71" i="19"/>
  <c r="AE71" i="19"/>
  <c r="AF71" i="19" s="1"/>
  <c r="H72" i="19"/>
  <c r="I72" i="19" s="1"/>
  <c r="J71" i="19"/>
  <c r="K71" i="19" s="1"/>
  <c r="M75" i="19"/>
  <c r="AM73" i="19"/>
  <c r="P73" i="19"/>
  <c r="Q73" i="19" s="1"/>
  <c r="A76" i="19"/>
  <c r="B75" i="19"/>
  <c r="AZ45" i="15"/>
  <c r="AI45" i="15"/>
  <c r="AX46" i="18"/>
  <c r="AL70" i="18"/>
  <c r="J70" i="18"/>
  <c r="K70" i="18" s="1"/>
  <c r="H71" i="18"/>
  <c r="I71" i="18" s="1"/>
  <c r="AE70" i="18"/>
  <c r="AF70" i="18" s="1"/>
  <c r="AA42" i="18"/>
  <c r="W47" i="18"/>
  <c r="M73" i="18"/>
  <c r="S72" i="18" s="1"/>
  <c r="AM71" i="18"/>
  <c r="P71" i="18"/>
  <c r="Q71" i="18" s="1"/>
  <c r="AZ45" i="18"/>
  <c r="AI45" i="18"/>
  <c r="AW45" i="18" s="1"/>
  <c r="A73" i="18"/>
  <c r="B72" i="18"/>
  <c r="AX46" i="17"/>
  <c r="Y46" i="17"/>
  <c r="AS46" i="17" s="1"/>
  <c r="AL70" i="17"/>
  <c r="H71" i="17"/>
  <c r="I71" i="17" s="1"/>
  <c r="AE70" i="17"/>
  <c r="AF70" i="17" s="1"/>
  <c r="J70" i="17"/>
  <c r="K70" i="17" s="1"/>
  <c r="AG45" i="17"/>
  <c r="P71" i="17"/>
  <c r="Q71" i="17" s="1"/>
  <c r="AM71" i="17"/>
  <c r="AA43" i="17"/>
  <c r="S72" i="17"/>
  <c r="M73" i="17"/>
  <c r="A73" i="17"/>
  <c r="B72" i="17"/>
  <c r="J69" i="15"/>
  <c r="K69" i="15" s="1"/>
  <c r="AE69" i="15"/>
  <c r="AF69" i="15" s="1"/>
  <c r="H70" i="15"/>
  <c r="I70" i="15" s="1"/>
  <c r="AL69" i="15"/>
  <c r="A73" i="15"/>
  <c r="B72" i="15"/>
  <c r="AY44" i="15"/>
  <c r="AC44" i="15"/>
  <c r="AU44" i="15" s="1"/>
  <c r="P71" i="15"/>
  <c r="Q71" i="15" s="1"/>
  <c r="AM71" i="15"/>
  <c r="M73" i="15"/>
  <c r="S72" i="15"/>
  <c r="AA40" i="13"/>
  <c r="AG42" i="13"/>
  <c r="AM70" i="13"/>
  <c r="Q70" i="13"/>
  <c r="I44" i="13"/>
  <c r="B77" i="13"/>
  <c r="A78" i="13"/>
  <c r="M72" i="13"/>
  <c r="S51" i="11"/>
  <c r="U51" i="11" s="1"/>
  <c r="AK51" i="11" s="1"/>
  <c r="AD71" i="11"/>
  <c r="K71" i="11"/>
  <c r="L71" i="11" s="1"/>
  <c r="I72" i="11"/>
  <c r="J72" i="11" s="1"/>
  <c r="W71" i="11"/>
  <c r="X71" i="11" s="1"/>
  <c r="AA47" i="11"/>
  <c r="AM47" i="11" s="1"/>
  <c r="B75" i="11"/>
  <c r="C74" i="11"/>
  <c r="N72" i="11"/>
  <c r="U38" i="8"/>
  <c r="AK38" i="8" s="1"/>
  <c r="K70" i="8"/>
  <c r="L70" i="8" s="1"/>
  <c r="I71" i="8"/>
  <c r="J71" i="8" s="1"/>
  <c r="W71" i="8" s="1"/>
  <c r="X71" i="8" s="1"/>
  <c r="AD70" i="8"/>
  <c r="C73" i="8"/>
  <c r="B74" i="8"/>
  <c r="N73" i="8"/>
  <c r="Q72" i="8" s="1"/>
  <c r="AE72" i="8" s="1"/>
  <c r="AX45" i="15" l="1"/>
  <c r="Y45" i="15"/>
  <c r="AS45" i="15" s="1"/>
  <c r="Y48" i="19"/>
  <c r="AS48" i="19" s="1"/>
  <c r="AX48" i="19"/>
  <c r="W49" i="19"/>
  <c r="AG47" i="19"/>
  <c r="AC42" i="19"/>
  <c r="AU42" i="19" s="1"/>
  <c r="H73" i="19"/>
  <c r="I73" i="19" s="1"/>
  <c r="AL72" i="19"/>
  <c r="J72" i="19"/>
  <c r="K72" i="19" s="1"/>
  <c r="AE72" i="19"/>
  <c r="AF72" i="19" s="1"/>
  <c r="M76" i="19"/>
  <c r="A77" i="19"/>
  <c r="B76" i="19"/>
  <c r="S74" i="19"/>
  <c r="AW45" i="15"/>
  <c r="AG46" i="15"/>
  <c r="AL71" i="18"/>
  <c r="J71" i="18"/>
  <c r="K71" i="18" s="1"/>
  <c r="H72" i="18"/>
  <c r="I72" i="18" s="1"/>
  <c r="AE71" i="18"/>
  <c r="AF71" i="18" s="1"/>
  <c r="AY42" i="18"/>
  <c r="AC42" i="18"/>
  <c r="AU42" i="18" s="1"/>
  <c r="AG46" i="18"/>
  <c r="AX47" i="18"/>
  <c r="Y47" i="18"/>
  <c r="AS47" i="18" s="1"/>
  <c r="M74" i="18"/>
  <c r="S73" i="18"/>
  <c r="B73" i="18"/>
  <c r="A74" i="18"/>
  <c r="AM72" i="18"/>
  <c r="P72" i="18"/>
  <c r="Q72" i="18" s="1"/>
  <c r="W47" i="17"/>
  <c r="AL71" i="17"/>
  <c r="AE71" i="17"/>
  <c r="AF71" i="17" s="1"/>
  <c r="J71" i="17"/>
  <c r="K71" i="17" s="1"/>
  <c r="H72" i="17"/>
  <c r="I72" i="17" s="1"/>
  <c r="B73" i="17"/>
  <c r="A74" i="17"/>
  <c r="AZ45" i="17"/>
  <c r="AI45" i="17"/>
  <c r="AW45" i="17" s="1"/>
  <c r="M74" i="17"/>
  <c r="S73" i="17"/>
  <c r="P72" i="17"/>
  <c r="Q72" i="17" s="1"/>
  <c r="AM72" i="17"/>
  <c r="AY43" i="17"/>
  <c r="AC43" i="17"/>
  <c r="AU43" i="17" s="1"/>
  <c r="AL70" i="15"/>
  <c r="J70" i="15"/>
  <c r="K70" i="15" s="1"/>
  <c r="H71" i="15"/>
  <c r="I71" i="15" s="1"/>
  <c r="AE70" i="15"/>
  <c r="AF70" i="15" s="1"/>
  <c r="B73" i="15"/>
  <c r="A74" i="15"/>
  <c r="P72" i="15"/>
  <c r="Q72" i="15" s="1"/>
  <c r="AM72" i="15"/>
  <c r="S73" i="15"/>
  <c r="M74" i="15"/>
  <c r="AA45" i="15"/>
  <c r="AY40" i="13"/>
  <c r="AC40" i="13"/>
  <c r="AU40" i="13" s="1"/>
  <c r="AI42" i="13"/>
  <c r="AW42" i="13" s="1"/>
  <c r="AZ42" i="13"/>
  <c r="AE44" i="13"/>
  <c r="AF44" i="13" s="1"/>
  <c r="J44" i="13"/>
  <c r="K44" i="13" s="1"/>
  <c r="AL44" i="13"/>
  <c r="H45" i="13"/>
  <c r="B78" i="13"/>
  <c r="A79" i="13"/>
  <c r="M73" i="13"/>
  <c r="S72" i="13"/>
  <c r="P72" i="13" s="1"/>
  <c r="S71" i="13"/>
  <c r="P71" i="13" s="1"/>
  <c r="S52" i="11"/>
  <c r="U52" i="11" s="1"/>
  <c r="AK52" i="11" s="1"/>
  <c r="AD72" i="11"/>
  <c r="I73" i="11"/>
  <c r="J73" i="11" s="1"/>
  <c r="K72" i="11"/>
  <c r="L72" i="11" s="1"/>
  <c r="W72" i="11"/>
  <c r="X72" i="11" s="1"/>
  <c r="N73" i="11"/>
  <c r="Q72" i="11"/>
  <c r="AE72" i="11" s="1"/>
  <c r="Q71" i="11"/>
  <c r="AE71" i="11" s="1"/>
  <c r="C75" i="11"/>
  <c r="B76" i="11"/>
  <c r="Y48" i="11"/>
  <c r="S39" i="8"/>
  <c r="AD71" i="8"/>
  <c r="K71" i="8"/>
  <c r="L71" i="8" s="1"/>
  <c r="I72" i="8"/>
  <c r="J72" i="8" s="1"/>
  <c r="W72" i="8" s="1"/>
  <c r="X72" i="8" s="1"/>
  <c r="N74" i="8"/>
  <c r="Q73" i="8" s="1"/>
  <c r="AE73" i="8" s="1"/>
  <c r="C74" i="8"/>
  <c r="B75" i="8"/>
  <c r="W46" i="15" l="1"/>
  <c r="Y46" i="15"/>
  <c r="AX46" i="15"/>
  <c r="AX49" i="19"/>
  <c r="Y49" i="19"/>
  <c r="AA43" i="19"/>
  <c r="AY43" i="19" s="1"/>
  <c r="AZ47" i="19"/>
  <c r="AI47" i="19"/>
  <c r="AW47" i="19" s="1"/>
  <c r="AL73" i="19"/>
  <c r="J73" i="19"/>
  <c r="K73" i="19" s="1"/>
  <c r="H74" i="19"/>
  <c r="I74" i="19" s="1"/>
  <c r="AE73" i="19"/>
  <c r="AF73" i="19" s="1"/>
  <c r="M77" i="19"/>
  <c r="AM74" i="19"/>
  <c r="P74" i="19"/>
  <c r="Q74" i="19" s="1"/>
  <c r="A78" i="19"/>
  <c r="B77" i="19"/>
  <c r="S75" i="19"/>
  <c r="AZ46" i="15"/>
  <c r="AI46" i="15"/>
  <c r="AW46" i="15" s="1"/>
  <c r="AL72" i="18"/>
  <c r="AE72" i="18"/>
  <c r="AF72" i="18" s="1"/>
  <c r="H73" i="18"/>
  <c r="I73" i="18" s="1"/>
  <c r="J72" i="18"/>
  <c r="K72" i="18" s="1"/>
  <c r="P73" i="18"/>
  <c r="Q73" i="18" s="1"/>
  <c r="AM73" i="18"/>
  <c r="M75" i="18"/>
  <c r="S74" i="18" s="1"/>
  <c r="AA43" i="18"/>
  <c r="W48" i="18"/>
  <c r="A75" i="18"/>
  <c r="B74" i="18"/>
  <c r="AI46" i="18"/>
  <c r="AW46" i="18" s="1"/>
  <c r="AZ46" i="18"/>
  <c r="AX47" i="17"/>
  <c r="Y47" i="17"/>
  <c r="AS47" i="17" s="1"/>
  <c r="W48" i="17"/>
  <c r="J72" i="17"/>
  <c r="K72" i="17" s="1"/>
  <c r="H73" i="17"/>
  <c r="I73" i="17" s="1"/>
  <c r="AL72" i="17"/>
  <c r="AE72" i="17"/>
  <c r="AF72" i="17" s="1"/>
  <c r="S74" i="17"/>
  <c r="M75" i="17"/>
  <c r="A75" i="17"/>
  <c r="B74" i="17"/>
  <c r="AA44" i="17"/>
  <c r="AM73" i="17"/>
  <c r="P73" i="17"/>
  <c r="Q73" i="17" s="1"/>
  <c r="AG46" i="17"/>
  <c r="H72" i="15"/>
  <c r="I72" i="15" s="1"/>
  <c r="AE71" i="15"/>
  <c r="AF71" i="15" s="1"/>
  <c r="J71" i="15"/>
  <c r="K71" i="15" s="1"/>
  <c r="AL71" i="15"/>
  <c r="M75" i="15"/>
  <c r="S74" i="15"/>
  <c r="A75" i="15"/>
  <c r="B74" i="15"/>
  <c r="AM73" i="15"/>
  <c r="P73" i="15"/>
  <c r="Q73" i="15" s="1"/>
  <c r="AY45" i="15"/>
  <c r="AC45" i="15"/>
  <c r="AU45" i="15" s="1"/>
  <c r="AA41" i="13"/>
  <c r="AG43" i="13"/>
  <c r="AM72" i="13"/>
  <c r="AM71" i="13"/>
  <c r="Q71" i="13"/>
  <c r="I45" i="13"/>
  <c r="M74" i="13"/>
  <c r="S73" i="13" s="1"/>
  <c r="P73" i="13" s="1"/>
  <c r="A80" i="13"/>
  <c r="B79" i="13"/>
  <c r="S53" i="11"/>
  <c r="U53" i="11" s="1"/>
  <c r="AK53" i="11" s="1"/>
  <c r="W73" i="11"/>
  <c r="X73" i="11" s="1"/>
  <c r="I74" i="11"/>
  <c r="J74" i="11" s="1"/>
  <c r="AD73" i="11"/>
  <c r="K73" i="11"/>
  <c r="L73" i="11" s="1"/>
  <c r="AA48" i="11"/>
  <c r="AM48" i="11" s="1"/>
  <c r="N74" i="11"/>
  <c r="Q73" i="11"/>
  <c r="AE73" i="11" s="1"/>
  <c r="B77" i="11"/>
  <c r="C76" i="11"/>
  <c r="U39" i="8"/>
  <c r="S40" i="8" s="1"/>
  <c r="AD72" i="8"/>
  <c r="K72" i="8"/>
  <c r="L72" i="8" s="1"/>
  <c r="I73" i="8"/>
  <c r="J73" i="8" s="1"/>
  <c r="W73" i="8" s="1"/>
  <c r="X73" i="8" s="1"/>
  <c r="B76" i="8"/>
  <c r="C75" i="8"/>
  <c r="N75" i="8"/>
  <c r="Q74" i="8" s="1"/>
  <c r="AE74" i="8" s="1"/>
  <c r="AS46" i="15" l="1"/>
  <c r="W47" i="15"/>
  <c r="AS49" i="19"/>
  <c r="W50" i="19"/>
  <c r="AC43" i="19"/>
  <c r="AG48" i="19"/>
  <c r="AZ48" i="19" s="1"/>
  <c r="J74" i="19"/>
  <c r="K74" i="19" s="1"/>
  <c r="H75" i="19"/>
  <c r="I75" i="19" s="1"/>
  <c r="AL74" i="19"/>
  <c r="AE74" i="19"/>
  <c r="AF74" i="19" s="1"/>
  <c r="P75" i="19"/>
  <c r="Q75" i="19" s="1"/>
  <c r="AM75" i="19"/>
  <c r="M78" i="19"/>
  <c r="S77" i="19" s="1"/>
  <c r="S76" i="19"/>
  <c r="A79" i="19"/>
  <c r="B78" i="19"/>
  <c r="AG47" i="15"/>
  <c r="AE73" i="18"/>
  <c r="AF73" i="18" s="1"/>
  <c r="H74" i="18"/>
  <c r="I74" i="18" s="1"/>
  <c r="AL73" i="18"/>
  <c r="J73" i="18"/>
  <c r="K73" i="18" s="1"/>
  <c r="P74" i="18"/>
  <c r="Q74" i="18" s="1"/>
  <c r="AM74" i="18"/>
  <c r="B75" i="18"/>
  <c r="A76" i="18"/>
  <c r="AX48" i="18"/>
  <c r="Y48" i="18"/>
  <c r="AS48" i="18" s="1"/>
  <c r="AG47" i="18"/>
  <c r="AY43" i="18"/>
  <c r="AC43" i="18"/>
  <c r="AU43" i="18" s="1"/>
  <c r="M76" i="18"/>
  <c r="S75" i="18" s="1"/>
  <c r="Y48" i="17"/>
  <c r="AS48" i="17" s="1"/>
  <c r="AX48" i="17"/>
  <c r="W49" i="17"/>
  <c r="AX49" i="17" s="1"/>
  <c r="AL73" i="17"/>
  <c r="J73" i="17"/>
  <c r="K73" i="17" s="1"/>
  <c r="H74" i="17"/>
  <c r="I74" i="17" s="1"/>
  <c r="AE73" i="17"/>
  <c r="AF73" i="17" s="1"/>
  <c r="S75" i="17"/>
  <c r="M76" i="17"/>
  <c r="P74" i="17"/>
  <c r="Q74" i="17" s="1"/>
  <c r="AM74" i="17"/>
  <c r="AY44" i="17"/>
  <c r="AC44" i="17"/>
  <c r="AU44" i="17" s="1"/>
  <c r="A76" i="17"/>
  <c r="B75" i="17"/>
  <c r="AI46" i="17"/>
  <c r="AW46" i="17" s="1"/>
  <c r="AZ46" i="17"/>
  <c r="Y49" i="17"/>
  <c r="AS49" i="17" s="1"/>
  <c r="AM74" i="15"/>
  <c r="P74" i="15"/>
  <c r="Q74" i="15" s="1"/>
  <c r="M76" i="15"/>
  <c r="S75" i="15"/>
  <c r="AE72" i="15"/>
  <c r="AF72" i="15" s="1"/>
  <c r="J72" i="15"/>
  <c r="K72" i="15" s="1"/>
  <c r="H73" i="15"/>
  <c r="I73" i="15" s="1"/>
  <c r="AL72" i="15"/>
  <c r="A76" i="15"/>
  <c r="B75" i="15"/>
  <c r="AA46" i="15"/>
  <c r="AY41" i="13"/>
  <c r="AC41" i="13"/>
  <c r="AU41" i="13" s="1"/>
  <c r="AI43" i="13"/>
  <c r="AZ43" i="13"/>
  <c r="Q72" i="13"/>
  <c r="AM73" i="13"/>
  <c r="Q73" i="13"/>
  <c r="AL45" i="13"/>
  <c r="J45" i="13"/>
  <c r="K45" i="13" s="1"/>
  <c r="H46" i="13"/>
  <c r="AE45" i="13"/>
  <c r="AF45" i="13" s="1"/>
  <c r="A81" i="13"/>
  <c r="B80" i="13"/>
  <c r="M75" i="13"/>
  <c r="S74" i="13" s="1"/>
  <c r="P74" i="13" s="1"/>
  <c r="S54" i="11"/>
  <c r="U54" i="11" s="1"/>
  <c r="AK54" i="11" s="1"/>
  <c r="B78" i="11"/>
  <c r="C77" i="11"/>
  <c r="W74" i="11"/>
  <c r="X74" i="11" s="1"/>
  <c r="K74" i="11"/>
  <c r="L74" i="11" s="1"/>
  <c r="I75" i="11"/>
  <c r="J75" i="11" s="1"/>
  <c r="AD74" i="11"/>
  <c r="N75" i="11"/>
  <c r="Q74" i="11" s="1"/>
  <c r="AE74" i="11" s="1"/>
  <c r="Y49" i="11"/>
  <c r="AK39" i="8"/>
  <c r="I74" i="8"/>
  <c r="J74" i="8" s="1"/>
  <c r="W74" i="8" s="1"/>
  <c r="X74" i="8" s="1"/>
  <c r="AD73" i="8"/>
  <c r="K73" i="8"/>
  <c r="L73" i="8" s="1"/>
  <c r="B77" i="8"/>
  <c r="C76" i="8"/>
  <c r="N76" i="8"/>
  <c r="Q75" i="8" s="1"/>
  <c r="AE75" i="8" s="1"/>
  <c r="Y47" i="15" l="1"/>
  <c r="AX47" i="15"/>
  <c r="Y50" i="19"/>
  <c r="AS50" i="19" s="1"/>
  <c r="AX50" i="19"/>
  <c r="W51" i="19"/>
  <c r="AI48" i="19"/>
  <c r="AW48" i="19" s="1"/>
  <c r="AU43" i="19"/>
  <c r="AA44" i="19"/>
  <c r="AL75" i="19"/>
  <c r="H76" i="19"/>
  <c r="I76" i="19" s="1"/>
  <c r="AE75" i="19"/>
  <c r="AF75" i="19" s="1"/>
  <c r="J75" i="19"/>
  <c r="K75" i="19" s="1"/>
  <c r="P76" i="19"/>
  <c r="Q76" i="19" s="1"/>
  <c r="AM76" i="19"/>
  <c r="P77" i="19"/>
  <c r="AM77" i="19"/>
  <c r="M79" i="19"/>
  <c r="B79" i="19"/>
  <c r="A80" i="19"/>
  <c r="AZ47" i="15"/>
  <c r="AI47" i="15"/>
  <c r="AW47" i="15" s="1"/>
  <c r="AA44" i="18"/>
  <c r="AY44" i="18" s="1"/>
  <c r="J74" i="18"/>
  <c r="K74" i="18" s="1"/>
  <c r="AL74" i="18"/>
  <c r="AE74" i="18"/>
  <c r="AF74" i="18" s="1"/>
  <c r="H75" i="18"/>
  <c r="I75" i="18" s="1"/>
  <c r="AI47" i="18"/>
  <c r="AW47" i="18" s="1"/>
  <c r="AZ47" i="18"/>
  <c r="W49" i="18"/>
  <c r="AM75" i="18"/>
  <c r="P75" i="18"/>
  <c r="Q75" i="18" s="1"/>
  <c r="M77" i="18"/>
  <c r="S76" i="18" s="1"/>
  <c r="A77" i="18"/>
  <c r="B76" i="18"/>
  <c r="W50" i="17"/>
  <c r="AA45" i="17"/>
  <c r="AY45" i="17" s="1"/>
  <c r="S76" i="17"/>
  <c r="M77" i="17"/>
  <c r="AM75" i="17"/>
  <c r="P75" i="17"/>
  <c r="Q75" i="17" s="1"/>
  <c r="A77" i="17"/>
  <c r="B76" i="17"/>
  <c r="J74" i="17"/>
  <c r="K74" i="17" s="1"/>
  <c r="H75" i="17"/>
  <c r="I75" i="17" s="1"/>
  <c r="AE74" i="17"/>
  <c r="AF74" i="17" s="1"/>
  <c r="AL74" i="17"/>
  <c r="AX50" i="17"/>
  <c r="Y50" i="17"/>
  <c r="AS50" i="17" s="1"/>
  <c r="AC45" i="17"/>
  <c r="AU45" i="17" s="1"/>
  <c r="AG47" i="17"/>
  <c r="J73" i="15"/>
  <c r="K73" i="15" s="1"/>
  <c r="H74" i="15"/>
  <c r="I74" i="15" s="1"/>
  <c r="AL73" i="15"/>
  <c r="AE73" i="15"/>
  <c r="AF73" i="15" s="1"/>
  <c r="A77" i="15"/>
  <c r="B76" i="15"/>
  <c r="P75" i="15"/>
  <c r="Q75" i="15" s="1"/>
  <c r="AM75" i="15"/>
  <c r="AY46" i="15"/>
  <c r="AC46" i="15"/>
  <c r="AU46" i="15" s="1"/>
  <c r="S76" i="15"/>
  <c r="M77" i="15"/>
  <c r="AA42" i="13"/>
  <c r="AC42" i="13" s="1"/>
  <c r="AU42" i="13" s="1"/>
  <c r="AW43" i="13"/>
  <c r="AG44" i="13"/>
  <c r="AM74" i="13"/>
  <c r="Q74" i="13"/>
  <c r="I46" i="13"/>
  <c r="M76" i="13"/>
  <c r="S75" i="13" s="1"/>
  <c r="P75" i="13" s="1"/>
  <c r="B81" i="13"/>
  <c r="A82" i="13"/>
  <c r="AD75" i="11"/>
  <c r="K75" i="11"/>
  <c r="L75" i="11" s="1"/>
  <c r="W75" i="11"/>
  <c r="X75" i="11" s="1"/>
  <c r="I76" i="11"/>
  <c r="J76" i="11" s="1"/>
  <c r="C78" i="11"/>
  <c r="B79" i="11"/>
  <c r="N76" i="11"/>
  <c r="Q75" i="11"/>
  <c r="AE75" i="11" s="1"/>
  <c r="AA49" i="11"/>
  <c r="AM49" i="11" s="1"/>
  <c r="S55" i="11"/>
  <c r="U40" i="8"/>
  <c r="C77" i="8"/>
  <c r="B78" i="8"/>
  <c r="K74" i="8"/>
  <c r="L74" i="8" s="1"/>
  <c r="I75" i="8"/>
  <c r="J75" i="8" s="1"/>
  <c r="W75" i="8" s="1"/>
  <c r="X75" i="8" s="1"/>
  <c r="AD74" i="8"/>
  <c r="N77" i="8"/>
  <c r="Q76" i="8"/>
  <c r="AE76" i="8" s="1"/>
  <c r="AS47" i="15" l="1"/>
  <c r="W48" i="15"/>
  <c r="AX51" i="19"/>
  <c r="Y51" i="19"/>
  <c r="AG49" i="19"/>
  <c r="AI49" i="19" s="1"/>
  <c r="AW49" i="19" s="1"/>
  <c r="AY44" i="19"/>
  <c r="AC44" i="19"/>
  <c r="AL76" i="19"/>
  <c r="J76" i="19"/>
  <c r="K76" i="19" s="1"/>
  <c r="H77" i="19"/>
  <c r="I77" i="19" s="1"/>
  <c r="AE76" i="19"/>
  <c r="AF76" i="19" s="1"/>
  <c r="Q77" i="19"/>
  <c r="AC44" i="18"/>
  <c r="AU44" i="18" s="1"/>
  <c r="M80" i="19"/>
  <c r="S79" i="19" s="1"/>
  <c r="A81" i="19"/>
  <c r="B80" i="19"/>
  <c r="S78" i="19"/>
  <c r="AG48" i="15"/>
  <c r="H76" i="18"/>
  <c r="I76" i="18" s="1"/>
  <c r="AE75" i="18"/>
  <c r="AF75" i="18" s="1"/>
  <c r="AL75" i="18"/>
  <c r="J75" i="18"/>
  <c r="K75" i="18" s="1"/>
  <c r="P76" i="18"/>
  <c r="Q76" i="18" s="1"/>
  <c r="AM76" i="18"/>
  <c r="AX49" i="18"/>
  <c r="Y49" i="18"/>
  <c r="AS49" i="18" s="1"/>
  <c r="A78" i="18"/>
  <c r="B77" i="18"/>
  <c r="M78" i="18"/>
  <c r="S77" i="18"/>
  <c r="AG48" i="18"/>
  <c r="H76" i="17"/>
  <c r="I76" i="17" s="1"/>
  <c r="AE75" i="17"/>
  <c r="AF75" i="17" s="1"/>
  <c r="AL75" i="17"/>
  <c r="J75" i="17"/>
  <c r="K75" i="17" s="1"/>
  <c r="A78" i="17"/>
  <c r="B77" i="17"/>
  <c r="W51" i="17"/>
  <c r="M78" i="17"/>
  <c r="S77" i="17"/>
  <c r="P76" i="17"/>
  <c r="Q76" i="17" s="1"/>
  <c r="AM76" i="17"/>
  <c r="AZ47" i="17"/>
  <c r="AI47" i="17"/>
  <c r="AW47" i="17" s="1"/>
  <c r="AA46" i="17"/>
  <c r="H75" i="15"/>
  <c r="I75" i="15" s="1"/>
  <c r="AE74" i="15"/>
  <c r="AF74" i="15" s="1"/>
  <c r="AL74" i="15"/>
  <c r="J74" i="15"/>
  <c r="K74" i="15" s="1"/>
  <c r="A78" i="15"/>
  <c r="B77" i="15"/>
  <c r="AA47" i="15"/>
  <c r="AM76" i="15"/>
  <c r="P76" i="15"/>
  <c r="Q76" i="15" s="1"/>
  <c r="M78" i="15"/>
  <c r="S77" i="15"/>
  <c r="AY42" i="13"/>
  <c r="AA43" i="13"/>
  <c r="AZ44" i="13"/>
  <c r="AI44" i="13"/>
  <c r="AW44" i="13" s="1"/>
  <c r="AM75" i="13"/>
  <c r="Q75" i="13"/>
  <c r="AL46" i="13"/>
  <c r="AE46" i="13"/>
  <c r="AF46" i="13" s="1"/>
  <c r="H47" i="13"/>
  <c r="J46" i="13"/>
  <c r="K46" i="13" s="1"/>
  <c r="B82" i="13"/>
  <c r="A83" i="13"/>
  <c r="M77" i="13"/>
  <c r="S76" i="13" s="1"/>
  <c r="P76" i="13" s="1"/>
  <c r="Y50" i="11"/>
  <c r="AA50" i="11" s="1"/>
  <c r="AM50" i="11" s="1"/>
  <c r="AD76" i="11"/>
  <c r="I77" i="11"/>
  <c r="J77" i="11" s="1"/>
  <c r="K76" i="11"/>
  <c r="L76" i="11" s="1"/>
  <c r="W76" i="11"/>
  <c r="X76" i="11" s="1"/>
  <c r="C79" i="11"/>
  <c r="B80" i="11"/>
  <c r="U55" i="11"/>
  <c r="AK55" i="11" s="1"/>
  <c r="N77" i="11"/>
  <c r="Q76" i="11"/>
  <c r="AE76" i="11" s="1"/>
  <c r="AK40" i="8"/>
  <c r="S41" i="8"/>
  <c r="K75" i="8"/>
  <c r="L75" i="8" s="1"/>
  <c r="I76" i="8"/>
  <c r="J76" i="8" s="1"/>
  <c r="W76" i="8" s="1"/>
  <c r="X76" i="8" s="1"/>
  <c r="AD75" i="8"/>
  <c r="C78" i="8"/>
  <c r="B79" i="8"/>
  <c r="N78" i="8"/>
  <c r="Q77" i="8" s="1"/>
  <c r="AE77" i="8" s="1"/>
  <c r="AX48" i="15" l="1"/>
  <c r="Y48" i="15"/>
  <c r="AS48" i="15" s="1"/>
  <c r="W49" i="15"/>
  <c r="AZ49" i="19"/>
  <c r="AS51" i="19"/>
  <c r="W52" i="19"/>
  <c r="AG50" i="19"/>
  <c r="AU44" i="19"/>
  <c r="AA45" i="19"/>
  <c r="H78" i="19"/>
  <c r="I78" i="19" s="1"/>
  <c r="AE77" i="19"/>
  <c r="AF77" i="19" s="1"/>
  <c r="AL77" i="19"/>
  <c r="J77" i="19"/>
  <c r="K77" i="19" s="1"/>
  <c r="AM79" i="19"/>
  <c r="P79" i="19"/>
  <c r="P78" i="19"/>
  <c r="Q78" i="19" s="1"/>
  <c r="AM78" i="19"/>
  <c r="AA45" i="18"/>
  <c r="A82" i="19"/>
  <c r="B81" i="19"/>
  <c r="M81" i="19"/>
  <c r="S80" i="19" s="1"/>
  <c r="AI48" i="15"/>
  <c r="AW48" i="15" s="1"/>
  <c r="AZ48" i="15"/>
  <c r="M79" i="18"/>
  <c r="S78" i="18"/>
  <c r="AY45" i="18"/>
  <c r="AC45" i="18"/>
  <c r="AU45" i="18" s="1"/>
  <c r="AM77" i="18"/>
  <c r="P77" i="18"/>
  <c r="Q77" i="18" s="1"/>
  <c r="B78" i="18"/>
  <c r="A79" i="18"/>
  <c r="BB52" i="18"/>
  <c r="AE76" i="18"/>
  <c r="AF76" i="18" s="1"/>
  <c r="H77" i="18"/>
  <c r="I77" i="18" s="1"/>
  <c r="J76" i="18"/>
  <c r="K76" i="18" s="1"/>
  <c r="AL76" i="18"/>
  <c r="AI48" i="18"/>
  <c r="AW48" i="18" s="1"/>
  <c r="AZ48" i="18"/>
  <c r="W50" i="18"/>
  <c r="AG48" i="17"/>
  <c r="Y51" i="17"/>
  <c r="AS51" i="17" s="1"/>
  <c r="AX51" i="17"/>
  <c r="A79" i="17"/>
  <c r="B78" i="17"/>
  <c r="BB52" i="17"/>
  <c r="AE76" i="17"/>
  <c r="AF76" i="17" s="1"/>
  <c r="J76" i="17"/>
  <c r="K76" i="17" s="1"/>
  <c r="AL76" i="17"/>
  <c r="H77" i="17"/>
  <c r="I77" i="17" s="1"/>
  <c r="AY46" i="17"/>
  <c r="AC46" i="17"/>
  <c r="AU46" i="17" s="1"/>
  <c r="P77" i="17"/>
  <c r="Q77" i="17" s="1"/>
  <c r="AM77" i="17"/>
  <c r="M79" i="17"/>
  <c r="S78" i="17"/>
  <c r="B78" i="15"/>
  <c r="A79" i="15"/>
  <c r="BB52" i="15"/>
  <c r="AY47" i="15"/>
  <c r="AC47" i="15"/>
  <c r="AU47" i="15" s="1"/>
  <c r="AL75" i="15"/>
  <c r="H76" i="15"/>
  <c r="I76" i="15" s="1"/>
  <c r="AE75" i="15"/>
  <c r="AF75" i="15" s="1"/>
  <c r="J75" i="15"/>
  <c r="K75" i="15" s="1"/>
  <c r="AM77" i="15"/>
  <c r="P77" i="15"/>
  <c r="Q77" i="15" s="1"/>
  <c r="S78" i="15"/>
  <c r="M79" i="15"/>
  <c r="AY43" i="13"/>
  <c r="AC43" i="13"/>
  <c r="AU43" i="13" s="1"/>
  <c r="AG45" i="13"/>
  <c r="AM76" i="13"/>
  <c r="Q76" i="13"/>
  <c r="I47" i="13"/>
  <c r="B83" i="13"/>
  <c r="A84" i="13"/>
  <c r="M78" i="13"/>
  <c r="S77" i="13"/>
  <c r="P77" i="13" s="1"/>
  <c r="W77" i="11"/>
  <c r="X77" i="11" s="1"/>
  <c r="I78" i="11"/>
  <c r="J78" i="11" s="1"/>
  <c r="K77" i="11"/>
  <c r="L77" i="11" s="1"/>
  <c r="AD77" i="11"/>
  <c r="B81" i="11"/>
  <c r="C80" i="11"/>
  <c r="N78" i="11"/>
  <c r="Q77" i="11"/>
  <c r="AE77" i="11" s="1"/>
  <c r="S56" i="11"/>
  <c r="Y51" i="11"/>
  <c r="U41" i="8"/>
  <c r="AK41" i="8" s="1"/>
  <c r="K76" i="8"/>
  <c r="L76" i="8" s="1"/>
  <c r="I77" i="8"/>
  <c r="J77" i="8" s="1"/>
  <c r="W77" i="8" s="1"/>
  <c r="X77" i="8" s="1"/>
  <c r="AD76" i="8"/>
  <c r="B80" i="8"/>
  <c r="C79" i="8"/>
  <c r="N79" i="8"/>
  <c r="Q78" i="8"/>
  <c r="AE78" i="8" s="1"/>
  <c r="AX49" i="15" l="1"/>
  <c r="Y49" i="15"/>
  <c r="AX52" i="19"/>
  <c r="Y52" i="19"/>
  <c r="AZ50" i="19"/>
  <c r="AI50" i="19"/>
  <c r="AY45" i="19"/>
  <c r="AC45" i="19"/>
  <c r="AU45" i="19" s="1"/>
  <c r="Q79" i="19"/>
  <c r="A83" i="19"/>
  <c r="B82" i="19"/>
  <c r="M82" i="19"/>
  <c r="S81" i="19" s="1"/>
  <c r="J78" i="19"/>
  <c r="K78" i="19" s="1"/>
  <c r="AL78" i="19"/>
  <c r="H79" i="19"/>
  <c r="I79" i="19" s="1"/>
  <c r="AE78" i="19"/>
  <c r="AF78" i="19" s="1"/>
  <c r="P80" i="19"/>
  <c r="Q80" i="19" s="1"/>
  <c r="AM80" i="19"/>
  <c r="AG49" i="15"/>
  <c r="AZ49" i="15"/>
  <c r="AI49" i="15"/>
  <c r="AW49" i="15" s="1"/>
  <c r="AG49" i="18"/>
  <c r="AZ49" i="18" s="1"/>
  <c r="AL77" i="18"/>
  <c r="J77" i="18"/>
  <c r="K77" i="18" s="1"/>
  <c r="AE77" i="18"/>
  <c r="AF77" i="18" s="1"/>
  <c r="H78" i="18"/>
  <c r="I78" i="18" s="1"/>
  <c r="AX50" i="18"/>
  <c r="Y50" i="18"/>
  <c r="AS50" i="18" s="1"/>
  <c r="AA46" i="18"/>
  <c r="AI49" i="18"/>
  <c r="AW49" i="18" s="1"/>
  <c r="BB49" i="18"/>
  <c r="BB53" i="18"/>
  <c r="A80" i="18"/>
  <c r="B79" i="18"/>
  <c r="AM78" i="18"/>
  <c r="P78" i="18"/>
  <c r="Q78" i="18" s="1"/>
  <c r="M80" i="18"/>
  <c r="S79" i="18" s="1"/>
  <c r="W52" i="17"/>
  <c r="AX52" i="17" s="1"/>
  <c r="AE77" i="17"/>
  <c r="AF77" i="17" s="1"/>
  <c r="J77" i="17"/>
  <c r="K77" i="17" s="1"/>
  <c r="AL77" i="17"/>
  <c r="H78" i="17"/>
  <c r="I78" i="17" s="1"/>
  <c r="AM78" i="17"/>
  <c r="P78" i="17"/>
  <c r="Q78" i="17" s="1"/>
  <c r="AA47" i="17"/>
  <c r="B79" i="17"/>
  <c r="A80" i="17"/>
  <c r="BB49" i="17"/>
  <c r="BB53" i="17"/>
  <c r="S79" i="17"/>
  <c r="M80" i="17"/>
  <c r="AA48" i="15"/>
  <c r="AY48" i="15" s="1"/>
  <c r="Y52" i="17"/>
  <c r="AS52" i="17" s="1"/>
  <c r="AI48" i="17"/>
  <c r="AW48" i="17" s="1"/>
  <c r="AZ48" i="17"/>
  <c r="H77" i="15"/>
  <c r="I77" i="15" s="1"/>
  <c r="AL76" i="15"/>
  <c r="AE76" i="15"/>
  <c r="AF76" i="15" s="1"/>
  <c r="J76" i="15"/>
  <c r="K76" i="15" s="1"/>
  <c r="BB49" i="15"/>
  <c r="BB53" i="15"/>
  <c r="M80" i="15"/>
  <c r="S79" i="15"/>
  <c r="AM78" i="15"/>
  <c r="P78" i="15"/>
  <c r="Q78" i="15" s="1"/>
  <c r="A80" i="15"/>
  <c r="B79" i="15"/>
  <c r="AA44" i="13"/>
  <c r="AZ45" i="13"/>
  <c r="AI45" i="13"/>
  <c r="AW45" i="13" s="1"/>
  <c r="AM77" i="13"/>
  <c r="Q77" i="13"/>
  <c r="AE47" i="13"/>
  <c r="AF47" i="13" s="1"/>
  <c r="J47" i="13"/>
  <c r="K47" i="13" s="1"/>
  <c r="H48" i="13"/>
  <c r="AL47" i="13"/>
  <c r="A85" i="13"/>
  <c r="B84" i="13"/>
  <c r="S78" i="13"/>
  <c r="P78" i="13" s="1"/>
  <c r="M79" i="13"/>
  <c r="W78" i="11"/>
  <c r="X78" i="11" s="1"/>
  <c r="K78" i="11"/>
  <c r="L78" i="11" s="1"/>
  <c r="I79" i="11"/>
  <c r="J79" i="11" s="1"/>
  <c r="AD78" i="11"/>
  <c r="N79" i="11"/>
  <c r="Q78" i="11"/>
  <c r="AE78" i="11" s="1"/>
  <c r="B82" i="11"/>
  <c r="C81" i="11"/>
  <c r="AA51" i="11"/>
  <c r="AM51" i="11" s="1"/>
  <c r="U56" i="11"/>
  <c r="AK56" i="11" s="1"/>
  <c r="S42" i="8"/>
  <c r="C80" i="8"/>
  <c r="B81" i="8"/>
  <c r="AD77" i="8"/>
  <c r="I78" i="8"/>
  <c r="J78" i="8" s="1"/>
  <c r="W78" i="8" s="1"/>
  <c r="X78" i="8" s="1"/>
  <c r="K77" i="8"/>
  <c r="L77" i="8" s="1"/>
  <c r="N80" i="8"/>
  <c r="Q79" i="8"/>
  <c r="AE79" i="8" s="1"/>
  <c r="AS49" i="15" l="1"/>
  <c r="W50" i="15"/>
  <c r="AS52" i="19"/>
  <c r="W53" i="19"/>
  <c r="AW50" i="19"/>
  <c r="AG51" i="19"/>
  <c r="AA46" i="19"/>
  <c r="AY46" i="19" s="1"/>
  <c r="J79" i="19"/>
  <c r="K79" i="19" s="1"/>
  <c r="H80" i="19"/>
  <c r="I80" i="19" s="1"/>
  <c r="AE79" i="19"/>
  <c r="AF79" i="19" s="1"/>
  <c r="AL79" i="19"/>
  <c r="P81" i="19"/>
  <c r="Q81" i="19" s="1"/>
  <c r="AM81" i="19"/>
  <c r="M83" i="19"/>
  <c r="S82" i="19" s="1"/>
  <c r="B83" i="19"/>
  <c r="A84" i="19"/>
  <c r="AG50" i="15"/>
  <c r="AZ50" i="15" s="1"/>
  <c r="AI50" i="15"/>
  <c r="AW50" i="15" s="1"/>
  <c r="AG50" i="18"/>
  <c r="AI50" i="18" s="1"/>
  <c r="AW50" i="18" s="1"/>
  <c r="H79" i="18"/>
  <c r="I79" i="18" s="1"/>
  <c r="AL78" i="18"/>
  <c r="J78" i="18"/>
  <c r="K78" i="18" s="1"/>
  <c r="AE78" i="18"/>
  <c r="AF78" i="18" s="1"/>
  <c r="A81" i="18"/>
  <c r="B80" i="18"/>
  <c r="S80" i="18"/>
  <c r="M81" i="18"/>
  <c r="P79" i="18"/>
  <c r="Q79" i="18" s="1"/>
  <c r="AM79" i="18"/>
  <c r="AY46" i="18"/>
  <c r="AC46" i="18"/>
  <c r="AU46" i="18" s="1"/>
  <c r="W51" i="18"/>
  <c r="AG49" i="17"/>
  <c r="J78" i="17"/>
  <c r="K78" i="17" s="1"/>
  <c r="H79" i="17"/>
  <c r="I79" i="17" s="1"/>
  <c r="AE78" i="17"/>
  <c r="AF78" i="17" s="1"/>
  <c r="AL78" i="17"/>
  <c r="M81" i="17"/>
  <c r="S80" i="17"/>
  <c r="AZ49" i="17"/>
  <c r="AI49" i="17"/>
  <c r="AW49" i="17" s="1"/>
  <c r="P79" i="17"/>
  <c r="Q79" i="17" s="1"/>
  <c r="AM79" i="17"/>
  <c r="AY47" i="17"/>
  <c r="AC47" i="17"/>
  <c r="AU47" i="17" s="1"/>
  <c r="AC48" i="15"/>
  <c r="AU48" i="15" s="1"/>
  <c r="W53" i="17"/>
  <c r="A81" i="17"/>
  <c r="B80" i="17"/>
  <c r="J77" i="15"/>
  <c r="K77" i="15" s="1"/>
  <c r="H78" i="15"/>
  <c r="I78" i="15" s="1"/>
  <c r="AL77" i="15"/>
  <c r="AE77" i="15"/>
  <c r="AF77" i="15" s="1"/>
  <c r="A81" i="15"/>
  <c r="B80" i="15"/>
  <c r="P79" i="15"/>
  <c r="Q79" i="15" s="1"/>
  <c r="AM79" i="15"/>
  <c r="M81" i="15"/>
  <c r="S80" i="15"/>
  <c r="AY44" i="13"/>
  <c r="AC44" i="13"/>
  <c r="AU44" i="13" s="1"/>
  <c r="AG46" i="13"/>
  <c r="AM78" i="13"/>
  <c r="Q78" i="13"/>
  <c r="I48" i="13"/>
  <c r="A86" i="13"/>
  <c r="B85" i="13"/>
  <c r="S79" i="13"/>
  <c r="P79" i="13" s="1"/>
  <c r="M80" i="13"/>
  <c r="AD79" i="11"/>
  <c r="K79" i="11"/>
  <c r="L79" i="11" s="1"/>
  <c r="W79" i="11"/>
  <c r="X79" i="11" s="1"/>
  <c r="I80" i="11"/>
  <c r="J80" i="11" s="1"/>
  <c r="Y52" i="11"/>
  <c r="N80" i="11"/>
  <c r="Q79" i="11"/>
  <c r="AE79" i="11" s="1"/>
  <c r="S57" i="11"/>
  <c r="B83" i="11"/>
  <c r="C82" i="11"/>
  <c r="U42" i="8"/>
  <c r="S43" i="8" s="1"/>
  <c r="AD78" i="8"/>
  <c r="I79" i="8"/>
  <c r="J79" i="8" s="1"/>
  <c r="W79" i="8" s="1"/>
  <c r="X79" i="8" s="1"/>
  <c r="K78" i="8"/>
  <c r="L78" i="8" s="1"/>
  <c r="N81" i="8"/>
  <c r="Q80" i="8"/>
  <c r="AE80" i="8" s="1"/>
  <c r="C81" i="8"/>
  <c r="B82" i="8"/>
  <c r="AX50" i="15" l="1"/>
  <c r="Y50" i="15"/>
  <c r="AS50" i="15" s="1"/>
  <c r="AX53" i="19"/>
  <c r="Y53" i="19"/>
  <c r="AZ51" i="19"/>
  <c r="AI51" i="19"/>
  <c r="AW51" i="19" s="1"/>
  <c r="AC46" i="19"/>
  <c r="AU46" i="19" s="1"/>
  <c r="H81" i="19"/>
  <c r="I81" i="19" s="1"/>
  <c r="AE80" i="19"/>
  <c r="AF80" i="19" s="1"/>
  <c r="AL80" i="19"/>
  <c r="J80" i="19"/>
  <c r="K80" i="19" s="1"/>
  <c r="M84" i="19"/>
  <c r="S83" i="19" s="1"/>
  <c r="AG51" i="15"/>
  <c r="AZ50" i="18"/>
  <c r="A85" i="19"/>
  <c r="B84" i="19"/>
  <c r="AM82" i="19"/>
  <c r="P82" i="19"/>
  <c r="Q82" i="19" s="1"/>
  <c r="AA49" i="15"/>
  <c r="AZ51" i="15"/>
  <c r="AI51" i="15"/>
  <c r="AG51" i="18"/>
  <c r="AA47" i="18"/>
  <c r="AL79" i="18"/>
  <c r="AE79" i="18"/>
  <c r="AF79" i="18" s="1"/>
  <c r="H80" i="18"/>
  <c r="I80" i="18" s="1"/>
  <c r="J79" i="18"/>
  <c r="K79" i="18" s="1"/>
  <c r="AY47" i="18"/>
  <c r="AC47" i="18"/>
  <c r="AU47" i="18" s="1"/>
  <c r="B81" i="18"/>
  <c r="A82" i="18"/>
  <c r="AZ51" i="18"/>
  <c r="AI51" i="18"/>
  <c r="AW51" i="18" s="1"/>
  <c r="AM80" i="18"/>
  <c r="P80" i="18"/>
  <c r="Q80" i="18" s="1"/>
  <c r="AX51" i="18"/>
  <c r="Y51" i="18"/>
  <c r="AS51" i="18" s="1"/>
  <c r="M82" i="18"/>
  <c r="S81" i="18"/>
  <c r="AA48" i="17"/>
  <c r="AY48" i="17" s="1"/>
  <c r="S81" i="17"/>
  <c r="M82" i="17"/>
  <c r="AL79" i="17"/>
  <c r="H80" i="17"/>
  <c r="I80" i="17" s="1"/>
  <c r="J79" i="17"/>
  <c r="K79" i="17" s="1"/>
  <c r="AE79" i="17"/>
  <c r="AF79" i="17" s="1"/>
  <c r="B81" i="17"/>
  <c r="A82" i="17"/>
  <c r="AG50" i="17"/>
  <c r="AX53" i="17"/>
  <c r="Y53" i="17"/>
  <c r="AS53" i="17" s="1"/>
  <c r="P80" i="17"/>
  <c r="Q80" i="17" s="1"/>
  <c r="AM80" i="17"/>
  <c r="AL78" i="15"/>
  <c r="J78" i="15"/>
  <c r="K78" i="15" s="1"/>
  <c r="H79" i="15"/>
  <c r="I79" i="15" s="1"/>
  <c r="AE78" i="15"/>
  <c r="AF78" i="15" s="1"/>
  <c r="S81" i="15"/>
  <c r="M82" i="15"/>
  <c r="A82" i="15"/>
  <c r="B81" i="15"/>
  <c r="P80" i="15"/>
  <c r="Q80" i="15" s="1"/>
  <c r="AM80" i="15"/>
  <c r="AY49" i="15"/>
  <c r="AC49" i="15"/>
  <c r="AU49" i="15" s="1"/>
  <c r="AA45" i="13"/>
  <c r="AZ46" i="13"/>
  <c r="AI46" i="13"/>
  <c r="AW46" i="13" s="1"/>
  <c r="AM79" i="13"/>
  <c r="Q79" i="13"/>
  <c r="J48" i="13"/>
  <c r="K48" i="13" s="1"/>
  <c r="AL48" i="13"/>
  <c r="H49" i="13"/>
  <c r="AE48" i="13"/>
  <c r="AF48" i="13" s="1"/>
  <c r="S80" i="13"/>
  <c r="P80" i="13" s="1"/>
  <c r="M81" i="13"/>
  <c r="A87" i="13"/>
  <c r="B86" i="13"/>
  <c r="AD80" i="11"/>
  <c r="I81" i="11"/>
  <c r="J81" i="11" s="1"/>
  <c r="W80" i="11"/>
  <c r="X80" i="11" s="1"/>
  <c r="K80" i="11"/>
  <c r="L80" i="11" s="1"/>
  <c r="N81" i="11"/>
  <c r="Q80" i="11"/>
  <c r="AE80" i="11" s="1"/>
  <c r="AA52" i="11"/>
  <c r="AM52" i="11" s="1"/>
  <c r="C83" i="11"/>
  <c r="B84" i="11"/>
  <c r="U57" i="11"/>
  <c r="AK57" i="11" s="1"/>
  <c r="AK42" i="8"/>
  <c r="K79" i="8"/>
  <c r="L79" i="8" s="1"/>
  <c r="AD79" i="8"/>
  <c r="I80" i="8"/>
  <c r="J80" i="8" s="1"/>
  <c r="W80" i="8" s="1"/>
  <c r="X80" i="8" s="1"/>
  <c r="C82" i="8"/>
  <c r="B83" i="8"/>
  <c r="N82" i="8"/>
  <c r="Q81" i="8"/>
  <c r="AE81" i="8" s="1"/>
  <c r="W51" i="15" l="1"/>
  <c r="Y51" i="15"/>
  <c r="AS51" i="15" s="1"/>
  <c r="AX51" i="15"/>
  <c r="W52" i="15"/>
  <c r="AS53" i="19"/>
  <c r="W54" i="19"/>
  <c r="AG52" i="19"/>
  <c r="AA47" i="19"/>
  <c r="AY47" i="19" s="1"/>
  <c r="AM83" i="19"/>
  <c r="P83" i="19"/>
  <c r="Q83" i="19" s="1"/>
  <c r="M85" i="19"/>
  <c r="S84" i="19" s="1"/>
  <c r="AL81" i="19"/>
  <c r="J81" i="19"/>
  <c r="K81" i="19" s="1"/>
  <c r="AE81" i="19"/>
  <c r="AF81" i="19" s="1"/>
  <c r="H82" i="19"/>
  <c r="I82" i="19" s="1"/>
  <c r="B85" i="19"/>
  <c r="A86" i="19"/>
  <c r="AW51" i="15"/>
  <c r="AG52" i="15"/>
  <c r="AL80" i="18"/>
  <c r="J80" i="18"/>
  <c r="K80" i="18" s="1"/>
  <c r="AE80" i="18"/>
  <c r="AF80" i="18" s="1"/>
  <c r="H81" i="18"/>
  <c r="I81" i="18" s="1"/>
  <c r="AA48" i="18"/>
  <c r="P81" i="18"/>
  <c r="Q81" i="18" s="1"/>
  <c r="AM81" i="18"/>
  <c r="AG52" i="18"/>
  <c r="AC48" i="17"/>
  <c r="AU48" i="17" s="1"/>
  <c r="M83" i="18"/>
  <c r="S82" i="18" s="1"/>
  <c r="A83" i="18"/>
  <c r="B82" i="18"/>
  <c r="W52" i="18"/>
  <c r="W54" i="17"/>
  <c r="AE80" i="17"/>
  <c r="AF80" i="17" s="1"/>
  <c r="J80" i="17"/>
  <c r="K80" i="17" s="1"/>
  <c r="H81" i="17"/>
  <c r="I81" i="17" s="1"/>
  <c r="AL80" i="17"/>
  <c r="AX54" i="17"/>
  <c r="Y54" i="17"/>
  <c r="AS54" i="17" s="1"/>
  <c r="AI50" i="17"/>
  <c r="AW50" i="17" s="1"/>
  <c r="AZ50" i="17"/>
  <c r="A83" i="17"/>
  <c r="B82" i="17"/>
  <c r="AA49" i="17"/>
  <c r="S82" i="17"/>
  <c r="M83" i="17"/>
  <c r="AM81" i="17"/>
  <c r="P81" i="17"/>
  <c r="Q81" i="17" s="1"/>
  <c r="AA50" i="15"/>
  <c r="AC50" i="15" s="1"/>
  <c r="AU50" i="15" s="1"/>
  <c r="H80" i="15"/>
  <c r="I80" i="15" s="1"/>
  <c r="AE79" i="15"/>
  <c r="AF79" i="15" s="1"/>
  <c r="J79" i="15"/>
  <c r="K79" i="15" s="1"/>
  <c r="AL79" i="15"/>
  <c r="M83" i="15"/>
  <c r="S82" i="15"/>
  <c r="AM81" i="15"/>
  <c r="P81" i="15"/>
  <c r="Q81" i="15" s="1"/>
  <c r="A83" i="15"/>
  <c r="B82" i="15"/>
  <c r="AY45" i="13"/>
  <c r="AC45" i="13"/>
  <c r="AU45" i="13" s="1"/>
  <c r="AG47" i="13"/>
  <c r="AM80" i="13"/>
  <c r="Q80" i="13"/>
  <c r="I49" i="13"/>
  <c r="B87" i="13"/>
  <c r="A88" i="13"/>
  <c r="S81" i="13"/>
  <c r="P81" i="13" s="1"/>
  <c r="M82" i="13"/>
  <c r="S58" i="11"/>
  <c r="W81" i="11"/>
  <c r="X81" i="11" s="1"/>
  <c r="I82" i="11"/>
  <c r="J82" i="11" s="1"/>
  <c r="K81" i="11"/>
  <c r="L81" i="11" s="1"/>
  <c r="AD81" i="11"/>
  <c r="N82" i="11"/>
  <c r="Q81" i="11"/>
  <c r="AE81" i="11" s="1"/>
  <c r="B85" i="11"/>
  <c r="C84" i="11"/>
  <c r="Y53" i="11"/>
  <c r="U43" i="8"/>
  <c r="AD80" i="8"/>
  <c r="I81" i="8"/>
  <c r="J81" i="8" s="1"/>
  <c r="W81" i="8" s="1"/>
  <c r="X81" i="8" s="1"/>
  <c r="K80" i="8"/>
  <c r="L80" i="8" s="1"/>
  <c r="C83" i="8"/>
  <c r="B84" i="8"/>
  <c r="Q82" i="8"/>
  <c r="AE82" i="8" s="1"/>
  <c r="N83" i="8"/>
  <c r="Y52" i="15" l="1"/>
  <c r="AX52" i="15"/>
  <c r="Y54" i="19"/>
  <c r="AX54" i="19"/>
  <c r="AC47" i="19"/>
  <c r="AU47" i="19" s="1"/>
  <c r="AZ52" i="19"/>
  <c r="AI52" i="19"/>
  <c r="AW52" i="19" s="1"/>
  <c r="J82" i="19"/>
  <c r="K82" i="19" s="1"/>
  <c r="AL82" i="19"/>
  <c r="AE82" i="19"/>
  <c r="AF82" i="19" s="1"/>
  <c r="H83" i="19"/>
  <c r="I83" i="19" s="1"/>
  <c r="M86" i="19"/>
  <c r="S85" i="19" s="1"/>
  <c r="P84" i="19"/>
  <c r="Q84" i="19" s="1"/>
  <c r="AM84" i="19"/>
  <c r="A87" i="19"/>
  <c r="B86" i="19"/>
  <c r="AZ52" i="15"/>
  <c r="AI52" i="15"/>
  <c r="AE81" i="18"/>
  <c r="AF81" i="18" s="1"/>
  <c r="H82" i="18"/>
  <c r="I82" i="18" s="1"/>
  <c r="AL81" i="18"/>
  <c r="J81" i="18"/>
  <c r="K81" i="18" s="1"/>
  <c r="Y52" i="18"/>
  <c r="AS52" i="18" s="1"/>
  <c r="AX52" i="18"/>
  <c r="A84" i="18"/>
  <c r="B83" i="18"/>
  <c r="AY48" i="18"/>
  <c r="AC48" i="18"/>
  <c r="AU48" i="18" s="1"/>
  <c r="M84" i="18"/>
  <c r="S83" i="18"/>
  <c r="P82" i="18"/>
  <c r="Q82" i="18" s="1"/>
  <c r="AM82" i="18"/>
  <c r="AI52" i="18"/>
  <c r="AW52" i="18" s="1"/>
  <c r="AZ52" i="18"/>
  <c r="AY50" i="15"/>
  <c r="AG51" i="17"/>
  <c r="AZ51" i="17" s="1"/>
  <c r="H82" i="17"/>
  <c r="I82" i="17" s="1"/>
  <c r="AL81" i="17"/>
  <c r="J81" i="17"/>
  <c r="K81" i="17" s="1"/>
  <c r="AE81" i="17"/>
  <c r="AF81" i="17" s="1"/>
  <c r="W55" i="17"/>
  <c r="A84" i="17"/>
  <c r="B83" i="17"/>
  <c r="M84" i="17"/>
  <c r="S83" i="17"/>
  <c r="P82" i="17"/>
  <c r="Q82" i="17" s="1"/>
  <c r="AM82" i="17"/>
  <c r="AY49" i="17"/>
  <c r="AC49" i="17"/>
  <c r="AU49" i="17" s="1"/>
  <c r="P82" i="15"/>
  <c r="Q82" i="15" s="1"/>
  <c r="AM82" i="15"/>
  <c r="S83" i="15"/>
  <c r="M84" i="15"/>
  <c r="AE80" i="15"/>
  <c r="AF80" i="15" s="1"/>
  <c r="J80" i="15"/>
  <c r="K80" i="15" s="1"/>
  <c r="H81" i="15"/>
  <c r="I81" i="15" s="1"/>
  <c r="AL80" i="15"/>
  <c r="AA51" i="15"/>
  <c r="B83" i="15"/>
  <c r="A84" i="15"/>
  <c r="AA46" i="13"/>
  <c r="AZ47" i="13"/>
  <c r="AI47" i="13"/>
  <c r="AM81" i="13"/>
  <c r="Q81" i="13"/>
  <c r="H50" i="13"/>
  <c r="AE49" i="13"/>
  <c r="AF49" i="13" s="1"/>
  <c r="J49" i="13"/>
  <c r="K49" i="13" s="1"/>
  <c r="AL49" i="13"/>
  <c r="S82" i="13"/>
  <c r="P82" i="13" s="1"/>
  <c r="M83" i="13"/>
  <c r="B88" i="13"/>
  <c r="A89" i="13"/>
  <c r="U58" i="11"/>
  <c r="AK58" i="11" s="1"/>
  <c r="W82" i="11"/>
  <c r="X82" i="11" s="1"/>
  <c r="K82" i="11"/>
  <c r="L82" i="11" s="1"/>
  <c r="AD82" i="11"/>
  <c r="I83" i="11"/>
  <c r="J83" i="11" s="1"/>
  <c r="AA53" i="11"/>
  <c r="AM53" i="11" s="1"/>
  <c r="N83" i="11"/>
  <c r="Q82" i="11"/>
  <c r="AE82" i="11" s="1"/>
  <c r="B86" i="11"/>
  <c r="C85" i="11"/>
  <c r="AK43" i="8"/>
  <c r="S44" i="8"/>
  <c r="I82" i="8"/>
  <c r="J82" i="8" s="1"/>
  <c r="W82" i="8" s="1"/>
  <c r="X82" i="8" s="1"/>
  <c r="K81" i="8"/>
  <c r="L81" i="8" s="1"/>
  <c r="AD81" i="8"/>
  <c r="N84" i="8"/>
  <c r="Q83" i="8"/>
  <c r="AE83" i="8" s="1"/>
  <c r="B85" i="8"/>
  <c r="C84" i="8"/>
  <c r="AS52" i="15" l="1"/>
  <c r="W53" i="15"/>
  <c r="AS54" i="19"/>
  <c r="W55" i="19"/>
  <c r="AA48" i="19"/>
  <c r="AY48" i="19" s="1"/>
  <c r="AG53" i="19"/>
  <c r="AZ53" i="19" s="1"/>
  <c r="AC48" i="19"/>
  <c r="AL83" i="19"/>
  <c r="J83" i="19"/>
  <c r="K83" i="19" s="1"/>
  <c r="H84" i="19"/>
  <c r="I84" i="19" s="1"/>
  <c r="AE83" i="19"/>
  <c r="AF83" i="19" s="1"/>
  <c r="M87" i="19"/>
  <c r="S86" i="19" s="1"/>
  <c r="A88" i="19"/>
  <c r="B87" i="19"/>
  <c r="P85" i="19"/>
  <c r="Q85" i="19" s="1"/>
  <c r="AM85" i="19"/>
  <c r="AW52" i="15"/>
  <c r="AG53" i="15"/>
  <c r="AG53" i="18"/>
  <c r="AI53" i="18" s="1"/>
  <c r="AW53" i="18" s="1"/>
  <c r="J82" i="18"/>
  <c r="K82" i="18" s="1"/>
  <c r="AL82" i="18"/>
  <c r="AE82" i="18"/>
  <c r="AF82" i="18" s="1"/>
  <c r="H83" i="18"/>
  <c r="I83" i="18" s="1"/>
  <c r="P83" i="18"/>
  <c r="Q83" i="18" s="1"/>
  <c r="AM83" i="18"/>
  <c r="W53" i="18"/>
  <c r="S84" i="18"/>
  <c r="M85" i="18"/>
  <c r="AA49" i="18"/>
  <c r="A85" i="18"/>
  <c r="B84" i="18"/>
  <c r="AI51" i="17"/>
  <c r="AW51" i="17" s="1"/>
  <c r="AA50" i="17"/>
  <c r="AY50" i="17" s="1"/>
  <c r="J82" i="17"/>
  <c r="K82" i="17" s="1"/>
  <c r="AE82" i="17"/>
  <c r="AF82" i="17" s="1"/>
  <c r="H83" i="17"/>
  <c r="I83" i="17" s="1"/>
  <c r="AL82" i="17"/>
  <c r="B84" i="17"/>
  <c r="A85" i="17"/>
  <c r="Y55" i="17"/>
  <c r="AS55" i="17" s="1"/>
  <c r="AX55" i="17"/>
  <c r="AM83" i="17"/>
  <c r="P83" i="17"/>
  <c r="Q83" i="17" s="1"/>
  <c r="M85" i="17"/>
  <c r="S84" i="17"/>
  <c r="H82" i="15"/>
  <c r="I82" i="15" s="1"/>
  <c r="AE81" i="15"/>
  <c r="AF81" i="15" s="1"/>
  <c r="J81" i="15"/>
  <c r="K81" i="15" s="1"/>
  <c r="AL81" i="15"/>
  <c r="AM83" i="15"/>
  <c r="P83" i="15"/>
  <c r="Q83" i="15" s="1"/>
  <c r="AY51" i="15"/>
  <c r="AC51" i="15"/>
  <c r="AU51" i="15" s="1"/>
  <c r="M85" i="15"/>
  <c r="S84" i="15"/>
  <c r="B84" i="15"/>
  <c r="A85" i="15"/>
  <c r="AY46" i="13"/>
  <c r="AC46" i="13"/>
  <c r="AU46" i="13" s="1"/>
  <c r="AW47" i="13"/>
  <c r="AG48" i="13"/>
  <c r="AM82" i="13"/>
  <c r="Q82" i="13"/>
  <c r="I50" i="13"/>
  <c r="S83" i="13"/>
  <c r="P83" i="13" s="1"/>
  <c r="M84" i="13"/>
  <c r="A90" i="13"/>
  <c r="B89" i="13"/>
  <c r="S59" i="11"/>
  <c r="U59" i="11" s="1"/>
  <c r="AK59" i="11" s="1"/>
  <c r="AD83" i="11"/>
  <c r="K83" i="11"/>
  <c r="L83" i="11" s="1"/>
  <c r="I84" i="11"/>
  <c r="J84" i="11" s="1"/>
  <c r="W83" i="11"/>
  <c r="X83" i="11" s="1"/>
  <c r="C86" i="11"/>
  <c r="B87" i="11"/>
  <c r="Q83" i="11"/>
  <c r="AE83" i="11" s="1"/>
  <c r="N84" i="11"/>
  <c r="Y54" i="11"/>
  <c r="U44" i="8"/>
  <c r="AK44" i="8" s="1"/>
  <c r="I83" i="8"/>
  <c r="J83" i="8" s="1"/>
  <c r="W83" i="8" s="1"/>
  <c r="X83" i="8" s="1"/>
  <c r="AD82" i="8"/>
  <c r="K82" i="8"/>
  <c r="L82" i="8" s="1"/>
  <c r="B86" i="8"/>
  <c r="C85" i="8"/>
  <c r="N85" i="8"/>
  <c r="Q84" i="8"/>
  <c r="AE84" i="8" s="1"/>
  <c r="AX53" i="15" l="1"/>
  <c r="Y53" i="15"/>
  <c r="AI53" i="19"/>
  <c r="AW53" i="19" s="1"/>
  <c r="Y55" i="19"/>
  <c r="AX55" i="19"/>
  <c r="AG54" i="19"/>
  <c r="AU48" i="19"/>
  <c r="AA49" i="19"/>
  <c r="AL84" i="19"/>
  <c r="J84" i="19"/>
  <c r="K84" i="19" s="1"/>
  <c r="H85" i="19"/>
  <c r="I85" i="19" s="1"/>
  <c r="AE84" i="19"/>
  <c r="AF84" i="19" s="1"/>
  <c r="B88" i="19"/>
  <c r="A89" i="19"/>
  <c r="P86" i="19"/>
  <c r="Q86" i="19" s="1"/>
  <c r="AM86" i="19"/>
  <c r="M88" i="19"/>
  <c r="S87" i="19"/>
  <c r="AI53" i="15"/>
  <c r="AZ53" i="15"/>
  <c r="AZ53" i="18"/>
  <c r="AL83" i="18"/>
  <c r="AE83" i="18"/>
  <c r="AF83" i="18" s="1"/>
  <c r="J83" i="18"/>
  <c r="K83" i="18" s="1"/>
  <c r="H84" i="18"/>
  <c r="I84" i="18" s="1"/>
  <c r="A86" i="18"/>
  <c r="B85" i="18"/>
  <c r="AX53" i="18"/>
  <c r="Y53" i="18"/>
  <c r="AS53" i="18" s="1"/>
  <c r="AY49" i="18"/>
  <c r="AC49" i="18"/>
  <c r="AU49" i="18" s="1"/>
  <c r="AG54" i="18"/>
  <c r="S85" i="18"/>
  <c r="M86" i="18"/>
  <c r="P84" i="18"/>
  <c r="Q84" i="18" s="1"/>
  <c r="AM84" i="18"/>
  <c r="AC50" i="17"/>
  <c r="AU50" i="17" s="1"/>
  <c r="AG52" i="17"/>
  <c r="AI52" i="17" s="1"/>
  <c r="AW52" i="17" s="1"/>
  <c r="H84" i="17"/>
  <c r="I84" i="17" s="1"/>
  <c r="AE83" i="17"/>
  <c r="AF83" i="17" s="1"/>
  <c r="AL83" i="17"/>
  <c r="J83" i="17"/>
  <c r="K83" i="17" s="1"/>
  <c r="AZ52" i="17"/>
  <c r="P84" i="17"/>
  <c r="Q84" i="17" s="1"/>
  <c r="AM84" i="17"/>
  <c r="B85" i="17"/>
  <c r="A86" i="17"/>
  <c r="S85" i="17"/>
  <c r="M86" i="17"/>
  <c r="W56" i="17"/>
  <c r="AA52" i="15"/>
  <c r="AC52" i="15" s="1"/>
  <c r="AU52" i="15" s="1"/>
  <c r="S85" i="15"/>
  <c r="M86" i="15"/>
  <c r="AM84" i="15"/>
  <c r="P84" i="15"/>
  <c r="Q84" i="15" s="1"/>
  <c r="J82" i="15"/>
  <c r="K82" i="15" s="1"/>
  <c r="AL82" i="15"/>
  <c r="H83" i="15"/>
  <c r="I83" i="15" s="1"/>
  <c r="AE82" i="15"/>
  <c r="AF82" i="15" s="1"/>
  <c r="A86" i="15"/>
  <c r="B85" i="15"/>
  <c r="AA47" i="13"/>
  <c r="AZ48" i="13"/>
  <c r="AI48" i="13"/>
  <c r="AW48" i="13" s="1"/>
  <c r="AM83" i="13"/>
  <c r="Q83" i="13"/>
  <c r="AE50" i="13"/>
  <c r="AF50" i="13" s="1"/>
  <c r="H51" i="13"/>
  <c r="J50" i="13"/>
  <c r="K50" i="13" s="1"/>
  <c r="AL50" i="13"/>
  <c r="S84" i="13"/>
  <c r="P84" i="13" s="1"/>
  <c r="M85" i="13"/>
  <c r="A91" i="13"/>
  <c r="B90" i="13"/>
  <c r="S60" i="11"/>
  <c r="U60" i="11" s="1"/>
  <c r="AK60" i="11" s="1"/>
  <c r="AD84" i="11"/>
  <c r="K84" i="11"/>
  <c r="L84" i="11" s="1"/>
  <c r="W84" i="11"/>
  <c r="X84" i="11" s="1"/>
  <c r="I85" i="11"/>
  <c r="J85" i="11" s="1"/>
  <c r="B88" i="11"/>
  <c r="C87" i="11"/>
  <c r="AA54" i="11"/>
  <c r="AM54" i="11" s="1"/>
  <c r="N85" i="11"/>
  <c r="Q84" i="11"/>
  <c r="AE84" i="11" s="1"/>
  <c r="S45" i="8"/>
  <c r="K83" i="8"/>
  <c r="L83" i="8" s="1"/>
  <c r="AD83" i="8"/>
  <c r="I84" i="8"/>
  <c r="J84" i="8" s="1"/>
  <c r="W84" i="8" s="1"/>
  <c r="X84" i="8" s="1"/>
  <c r="C86" i="8"/>
  <c r="B87" i="8"/>
  <c r="Q85" i="8"/>
  <c r="AE85" i="8" s="1"/>
  <c r="N86" i="8"/>
  <c r="AS53" i="15" l="1"/>
  <c r="W54" i="15"/>
  <c r="AS55" i="19"/>
  <c r="W56" i="19"/>
  <c r="AZ54" i="19"/>
  <c r="AI54" i="19"/>
  <c r="AW54" i="19" s="1"/>
  <c r="AC49" i="19"/>
  <c r="AY49" i="19"/>
  <c r="AL85" i="19"/>
  <c r="AE85" i="19"/>
  <c r="AF85" i="19" s="1"/>
  <c r="H86" i="19"/>
  <c r="I86" i="19" s="1"/>
  <c r="J85" i="19"/>
  <c r="K85" i="19" s="1"/>
  <c r="AA51" i="17"/>
  <c r="A90" i="19"/>
  <c r="B89" i="19"/>
  <c r="AM87" i="19"/>
  <c r="P87" i="19"/>
  <c r="Q87" i="19" s="1"/>
  <c r="M89" i="19"/>
  <c r="S88" i="19"/>
  <c r="AW53" i="15"/>
  <c r="AG54" i="15"/>
  <c r="W54" i="18"/>
  <c r="J84" i="18"/>
  <c r="K84" i="18" s="1"/>
  <c r="AE84" i="18"/>
  <c r="AF84" i="18" s="1"/>
  <c r="AL84" i="18"/>
  <c r="H85" i="18"/>
  <c r="I85" i="18" s="1"/>
  <c r="P85" i="18"/>
  <c r="Q85" i="18" s="1"/>
  <c r="AM85" i="18"/>
  <c r="AZ54" i="18"/>
  <c r="AI54" i="18"/>
  <c r="AW54" i="18" s="1"/>
  <c r="B86" i="18"/>
  <c r="A87" i="18"/>
  <c r="S86" i="18"/>
  <c r="M87" i="18"/>
  <c r="AA50" i="18"/>
  <c r="Y54" i="18"/>
  <c r="AS54" i="18" s="1"/>
  <c r="AX54" i="18"/>
  <c r="AY52" i="15"/>
  <c r="AG53" i="17"/>
  <c r="AY51" i="17"/>
  <c r="AC51" i="17"/>
  <c r="AU51" i="17" s="1"/>
  <c r="H85" i="17"/>
  <c r="I85" i="17" s="1"/>
  <c r="J84" i="17"/>
  <c r="K84" i="17" s="1"/>
  <c r="AL84" i="17"/>
  <c r="AE84" i="17"/>
  <c r="AF84" i="17" s="1"/>
  <c r="Y56" i="17"/>
  <c r="AS56" i="17" s="1"/>
  <c r="AX56" i="17"/>
  <c r="M87" i="17"/>
  <c r="S86" i="17"/>
  <c r="P85" i="17"/>
  <c r="Q85" i="17" s="1"/>
  <c r="AM85" i="17"/>
  <c r="B86" i="17"/>
  <c r="A87" i="17"/>
  <c r="J83" i="15"/>
  <c r="K83" i="15" s="1"/>
  <c r="AE83" i="15"/>
  <c r="AF83" i="15" s="1"/>
  <c r="H84" i="15"/>
  <c r="I84" i="15" s="1"/>
  <c r="AL83" i="15"/>
  <c r="AA53" i="15"/>
  <c r="A87" i="15"/>
  <c r="B86" i="15"/>
  <c r="M87" i="15"/>
  <c r="S86" i="15"/>
  <c r="P85" i="15"/>
  <c r="Q85" i="15" s="1"/>
  <c r="AM85" i="15"/>
  <c r="AY47" i="13"/>
  <c r="AC47" i="13"/>
  <c r="AU47" i="13" s="1"/>
  <c r="AG49" i="13"/>
  <c r="AZ49" i="13" s="1"/>
  <c r="AM84" i="13"/>
  <c r="Q84" i="13"/>
  <c r="I51" i="13"/>
  <c r="S85" i="13"/>
  <c r="P85" i="13" s="1"/>
  <c r="M86" i="13"/>
  <c r="B91" i="13"/>
  <c r="A92" i="13"/>
  <c r="BB52" i="13"/>
  <c r="K85" i="11"/>
  <c r="L85" i="11" s="1"/>
  <c r="I86" i="11"/>
  <c r="J86" i="11" s="1"/>
  <c r="AD85" i="11"/>
  <c r="W85" i="11"/>
  <c r="X85" i="11" s="1"/>
  <c r="C88" i="11"/>
  <c r="B89" i="11"/>
  <c r="S61" i="11"/>
  <c r="Q85" i="11"/>
  <c r="AE85" i="11" s="1"/>
  <c r="N86" i="11"/>
  <c r="Y55" i="11"/>
  <c r="U45" i="8"/>
  <c r="AK45" i="8" s="1"/>
  <c r="K84" i="8"/>
  <c r="L84" i="8" s="1"/>
  <c r="I85" i="8"/>
  <c r="J85" i="8" s="1"/>
  <c r="W85" i="8" s="1"/>
  <c r="X85" i="8" s="1"/>
  <c r="AD84" i="8"/>
  <c r="B88" i="8"/>
  <c r="C87" i="8"/>
  <c r="N87" i="8"/>
  <c r="Q86" i="8"/>
  <c r="AE86" i="8" s="1"/>
  <c r="Y54" i="15" l="1"/>
  <c r="AS54" i="15" s="1"/>
  <c r="W55" i="15"/>
  <c r="AX54" i="15"/>
  <c r="AX56" i="19"/>
  <c r="Y56" i="19"/>
  <c r="AG55" i="19"/>
  <c r="AZ55" i="19" s="1"/>
  <c r="AU49" i="19"/>
  <c r="AA50" i="19"/>
  <c r="AE86" i="19"/>
  <c r="AF86" i="19" s="1"/>
  <c r="H87" i="19"/>
  <c r="I87" i="19" s="1"/>
  <c r="AL86" i="19"/>
  <c r="J86" i="19"/>
  <c r="K86" i="19" s="1"/>
  <c r="A91" i="19"/>
  <c r="B90" i="19"/>
  <c r="AM88" i="19"/>
  <c r="P88" i="19"/>
  <c r="Q88" i="19" s="1"/>
  <c r="S89" i="19"/>
  <c r="M90" i="19"/>
  <c r="AI54" i="15"/>
  <c r="AZ54" i="15"/>
  <c r="J85" i="18"/>
  <c r="K85" i="18" s="1"/>
  <c r="H86" i="18"/>
  <c r="I86" i="18" s="1"/>
  <c r="AE85" i="18"/>
  <c r="AF85" i="18" s="1"/>
  <c r="AL85" i="18"/>
  <c r="AY50" i="18"/>
  <c r="AC50" i="18"/>
  <c r="AU50" i="18" s="1"/>
  <c r="S87" i="18"/>
  <c r="M88" i="18"/>
  <c r="P86" i="18"/>
  <c r="Q86" i="18" s="1"/>
  <c r="AM86" i="18"/>
  <c r="A88" i="18"/>
  <c r="B87" i="18"/>
  <c r="W55" i="18"/>
  <c r="AG55" i="18"/>
  <c r="AL85" i="17"/>
  <c r="AE85" i="17"/>
  <c r="AF85" i="17" s="1"/>
  <c r="J85" i="17"/>
  <c r="K85" i="17" s="1"/>
  <c r="H86" i="17"/>
  <c r="I86" i="17" s="1"/>
  <c r="S87" i="17"/>
  <c r="M88" i="17"/>
  <c r="B87" i="17"/>
  <c r="A88" i="17"/>
  <c r="AA52" i="17"/>
  <c r="W57" i="17"/>
  <c r="AM86" i="17"/>
  <c r="P86" i="17"/>
  <c r="Q86" i="17" s="1"/>
  <c r="AZ53" i="17"/>
  <c r="AI53" i="17"/>
  <c r="AW53" i="17" s="1"/>
  <c r="H85" i="15"/>
  <c r="I85" i="15" s="1"/>
  <c r="AE84" i="15"/>
  <c r="AF84" i="15" s="1"/>
  <c r="AL84" i="15"/>
  <c r="J84" i="15"/>
  <c r="K84" i="15" s="1"/>
  <c r="B87" i="15"/>
  <c r="A88" i="15"/>
  <c r="M88" i="15"/>
  <c r="S87" i="15"/>
  <c r="AY53" i="15"/>
  <c r="AC53" i="15"/>
  <c r="AU53" i="15" s="1"/>
  <c r="AM86" i="15"/>
  <c r="P86" i="15"/>
  <c r="Q86" i="15" s="1"/>
  <c r="AA48" i="13"/>
  <c r="AI49" i="13"/>
  <c r="AW49" i="13" s="1"/>
  <c r="AM85" i="13"/>
  <c r="Q85" i="13"/>
  <c r="J51" i="13"/>
  <c r="K51" i="13" s="1"/>
  <c r="AE51" i="13"/>
  <c r="AF51" i="13" s="1"/>
  <c r="AL51" i="13"/>
  <c r="H52" i="13"/>
  <c r="M87" i="13"/>
  <c r="S86" i="13"/>
  <c r="P86" i="13" s="1"/>
  <c r="BB53" i="13"/>
  <c r="BB49" i="13"/>
  <c r="B92" i="13"/>
  <c r="A93" i="13"/>
  <c r="AD86" i="11"/>
  <c r="W86" i="11"/>
  <c r="X86" i="11" s="1"/>
  <c r="I87" i="11"/>
  <c r="J87" i="11" s="1"/>
  <c r="K86" i="11"/>
  <c r="L86" i="11" s="1"/>
  <c r="U61" i="11"/>
  <c r="AK61" i="11" s="1"/>
  <c r="C89" i="11"/>
  <c r="B90" i="11"/>
  <c r="AA55" i="11"/>
  <c r="AM55" i="11" s="1"/>
  <c r="Q86" i="11"/>
  <c r="AE86" i="11" s="1"/>
  <c r="N87" i="11"/>
  <c r="S46" i="8"/>
  <c r="N88" i="8"/>
  <c r="Q87" i="8"/>
  <c r="AE87" i="8" s="1"/>
  <c r="B89" i="8"/>
  <c r="C88" i="8"/>
  <c r="AD85" i="8"/>
  <c r="I86" i="8"/>
  <c r="J86" i="8" s="1"/>
  <c r="W86" i="8" s="1"/>
  <c r="X86" i="8" s="1"/>
  <c r="K85" i="8"/>
  <c r="L85" i="8" s="1"/>
  <c r="Y55" i="15" l="1"/>
  <c r="AX55" i="15"/>
  <c r="AS56" i="19"/>
  <c r="W57" i="19"/>
  <c r="AI55" i="19"/>
  <c r="AW55" i="19" s="1"/>
  <c r="AY50" i="19"/>
  <c r="AC50" i="19"/>
  <c r="H88" i="19"/>
  <c r="I88" i="19" s="1"/>
  <c r="AL87" i="19"/>
  <c r="J87" i="19"/>
  <c r="K87" i="19" s="1"/>
  <c r="AE87" i="19"/>
  <c r="AF87" i="19" s="1"/>
  <c r="AM89" i="19"/>
  <c r="P89" i="19"/>
  <c r="Q89" i="19" s="1"/>
  <c r="B91" i="19"/>
  <c r="A92" i="19"/>
  <c r="M91" i="19"/>
  <c r="S90" i="19"/>
  <c r="AW54" i="15"/>
  <c r="AG55" i="15"/>
  <c r="J86" i="18"/>
  <c r="K86" i="18" s="1"/>
  <c r="H87" i="18"/>
  <c r="I87" i="18" s="1"/>
  <c r="AE86" i="18"/>
  <c r="AF86" i="18" s="1"/>
  <c r="AL86" i="18"/>
  <c r="AA51" i="18"/>
  <c r="A89" i="18"/>
  <c r="B88" i="18"/>
  <c r="AX55" i="18"/>
  <c r="Y55" i="18"/>
  <c r="AS55" i="18" s="1"/>
  <c r="M89" i="18"/>
  <c r="S88" i="18"/>
  <c r="AZ55" i="18"/>
  <c r="AI55" i="18"/>
  <c r="AW55" i="18" s="1"/>
  <c r="P87" i="18"/>
  <c r="Q87" i="18" s="1"/>
  <c r="AM87" i="18"/>
  <c r="AG54" i="17"/>
  <c r="AZ54" i="17" s="1"/>
  <c r="AL86" i="17"/>
  <c r="J86" i="17"/>
  <c r="K86" i="17" s="1"/>
  <c r="AE86" i="17"/>
  <c r="AF86" i="17" s="1"/>
  <c r="H87" i="17"/>
  <c r="I87" i="17" s="1"/>
  <c r="M89" i="17"/>
  <c r="S88" i="17"/>
  <c r="Y57" i="17"/>
  <c r="AS57" i="17" s="1"/>
  <c r="AX57" i="17"/>
  <c r="AM87" i="17"/>
  <c r="P87" i="17"/>
  <c r="Q87" i="17" s="1"/>
  <c r="AY52" i="17"/>
  <c r="AC52" i="17"/>
  <c r="AU52" i="17" s="1"/>
  <c r="A89" i="17"/>
  <c r="B88" i="17"/>
  <c r="AA54" i="15"/>
  <c r="S88" i="15"/>
  <c r="M89" i="15"/>
  <c r="AL85" i="15"/>
  <c r="J85" i="15"/>
  <c r="K85" i="15" s="1"/>
  <c r="AE85" i="15"/>
  <c r="AF85" i="15" s="1"/>
  <c r="H86" i="15"/>
  <c r="I86" i="15" s="1"/>
  <c r="B88" i="15"/>
  <c r="A89" i="15"/>
  <c r="AM87" i="15"/>
  <c r="P87" i="15"/>
  <c r="Q87" i="15" s="1"/>
  <c r="AG50" i="13"/>
  <c r="AZ50" i="13" s="1"/>
  <c r="AY48" i="13"/>
  <c r="AC48" i="13"/>
  <c r="AU48" i="13" s="1"/>
  <c r="AM86" i="13"/>
  <c r="Q86" i="13"/>
  <c r="I52" i="13"/>
  <c r="A94" i="13"/>
  <c r="B93" i="13"/>
  <c r="S87" i="13"/>
  <c r="P87" i="13" s="1"/>
  <c r="M88" i="13"/>
  <c r="S62" i="11"/>
  <c r="U62" i="11" s="1"/>
  <c r="AK62" i="11" s="1"/>
  <c r="I88" i="11"/>
  <c r="J88" i="11" s="1"/>
  <c r="K87" i="11"/>
  <c r="L87" i="11" s="1"/>
  <c r="AD87" i="11"/>
  <c r="W87" i="11"/>
  <c r="X87" i="11" s="1"/>
  <c r="N88" i="11"/>
  <c r="Q87" i="11"/>
  <c r="AE87" i="11" s="1"/>
  <c r="Y56" i="11"/>
  <c r="C90" i="11"/>
  <c r="B91" i="11"/>
  <c r="AO49" i="11"/>
  <c r="U46" i="8"/>
  <c r="AK46" i="8" s="1"/>
  <c r="I87" i="8"/>
  <c r="J87" i="8" s="1"/>
  <c r="W87" i="8" s="1"/>
  <c r="X87" i="8" s="1"/>
  <c r="AD86" i="8"/>
  <c r="K86" i="8"/>
  <c r="L86" i="8" s="1"/>
  <c r="C89" i="8"/>
  <c r="B90" i="8"/>
  <c r="AO49" i="8" s="1"/>
  <c r="N89" i="8"/>
  <c r="Q88" i="8"/>
  <c r="AE88" i="8" s="1"/>
  <c r="AS55" i="15" l="1"/>
  <c r="W56" i="15"/>
  <c r="AG56" i="19"/>
  <c r="Y57" i="19"/>
  <c r="AX57" i="19"/>
  <c r="AI56" i="19"/>
  <c r="AW56" i="19" s="1"/>
  <c r="AZ56" i="19"/>
  <c r="AU50" i="19"/>
  <c r="AA51" i="19"/>
  <c r="AL88" i="19"/>
  <c r="AE88" i="19"/>
  <c r="AF88" i="19" s="1"/>
  <c r="J88" i="19"/>
  <c r="K88" i="19" s="1"/>
  <c r="H89" i="19"/>
  <c r="I89" i="19" s="1"/>
  <c r="AI54" i="17"/>
  <c r="AW54" i="17" s="1"/>
  <c r="P90" i="19"/>
  <c r="Q90" i="19" s="1"/>
  <c r="AM90" i="19"/>
  <c r="S91" i="19"/>
  <c r="M92" i="19"/>
  <c r="A93" i="19"/>
  <c r="B92" i="19"/>
  <c r="AZ55" i="15"/>
  <c r="AI55" i="15"/>
  <c r="AW55" i="15" s="1"/>
  <c r="AG56" i="18"/>
  <c r="AI56" i="18" s="1"/>
  <c r="AW56" i="18" s="1"/>
  <c r="H88" i="18"/>
  <c r="I88" i="18" s="1"/>
  <c r="AE87" i="18"/>
  <c r="AF87" i="18" s="1"/>
  <c r="AL87" i="18"/>
  <c r="J87" i="18"/>
  <c r="K87" i="18" s="1"/>
  <c r="B89" i="18"/>
  <c r="A90" i="18"/>
  <c r="AY51" i="18"/>
  <c r="AC51" i="18"/>
  <c r="AU51" i="18" s="1"/>
  <c r="P88" i="18"/>
  <c r="Q88" i="18" s="1"/>
  <c r="AM88" i="18"/>
  <c r="M90" i="18"/>
  <c r="S89" i="18"/>
  <c r="W56" i="18"/>
  <c r="W58" i="17"/>
  <c r="AA53" i="17"/>
  <c r="AY53" i="17" s="1"/>
  <c r="AL87" i="17"/>
  <c r="H88" i="17"/>
  <c r="I88" i="17" s="1"/>
  <c r="AE87" i="17"/>
  <c r="AF87" i="17" s="1"/>
  <c r="J87" i="17"/>
  <c r="K87" i="17" s="1"/>
  <c r="P88" i="17"/>
  <c r="Q88" i="17" s="1"/>
  <c r="AM88" i="17"/>
  <c r="M90" i="17"/>
  <c r="S89" i="17"/>
  <c r="B89" i="17"/>
  <c r="A90" i="17"/>
  <c r="AX58" i="17"/>
  <c r="Y58" i="17"/>
  <c r="AS58" i="17" s="1"/>
  <c r="AG55" i="17"/>
  <c r="H87" i="15"/>
  <c r="I87" i="15" s="1"/>
  <c r="J86" i="15"/>
  <c r="K86" i="15" s="1"/>
  <c r="AE86" i="15"/>
  <c r="AF86" i="15" s="1"/>
  <c r="AL86" i="15"/>
  <c r="M90" i="15"/>
  <c r="S89" i="15"/>
  <c r="P88" i="15"/>
  <c r="Q88" i="15" s="1"/>
  <c r="AM88" i="15"/>
  <c r="A90" i="15"/>
  <c r="B89" i="15"/>
  <c r="AY54" i="15"/>
  <c r="AC54" i="15"/>
  <c r="AU54" i="15" s="1"/>
  <c r="AI50" i="13"/>
  <c r="AW50" i="13" s="1"/>
  <c r="AA49" i="13"/>
  <c r="AM87" i="13"/>
  <c r="Q87" i="13"/>
  <c r="H53" i="13"/>
  <c r="AE52" i="13"/>
  <c r="AF52" i="13" s="1"/>
  <c r="AL52" i="13"/>
  <c r="J52" i="13"/>
  <c r="K52" i="13" s="1"/>
  <c r="S88" i="13"/>
  <c r="P88" i="13" s="1"/>
  <c r="M89" i="13"/>
  <c r="B94" i="13"/>
  <c r="A95" i="13"/>
  <c r="AO50" i="11"/>
  <c r="AO46" i="11"/>
  <c r="S63" i="11"/>
  <c r="B92" i="11"/>
  <c r="C91" i="11"/>
  <c r="AA56" i="11"/>
  <c r="AM56" i="11" s="1"/>
  <c r="W88" i="11"/>
  <c r="X88" i="11" s="1"/>
  <c r="AD88" i="11"/>
  <c r="I89" i="11"/>
  <c r="J89" i="11" s="1"/>
  <c r="K88" i="11"/>
  <c r="L88" i="11" s="1"/>
  <c r="Q88" i="11"/>
  <c r="AE88" i="11" s="1"/>
  <c r="N89" i="11"/>
  <c r="S47" i="8"/>
  <c r="AO50" i="8"/>
  <c r="AO46" i="8"/>
  <c r="K87" i="8"/>
  <c r="L87" i="8" s="1"/>
  <c r="AD87" i="8"/>
  <c r="I88" i="8"/>
  <c r="J88" i="8" s="1"/>
  <c r="W88" i="8" s="1"/>
  <c r="X88" i="8" s="1"/>
  <c r="N90" i="8"/>
  <c r="Q89" i="8"/>
  <c r="AE89" i="8" s="1"/>
  <c r="B91" i="8"/>
  <c r="C90" i="8"/>
  <c r="Y56" i="15" l="1"/>
  <c r="AS56" i="15" s="1"/>
  <c r="AX56" i="15"/>
  <c r="W57" i="15"/>
  <c r="AS57" i="19"/>
  <c r="W58" i="19"/>
  <c r="AG57" i="19"/>
  <c r="AY51" i="19"/>
  <c r="AC51" i="19"/>
  <c r="AU51" i="19" s="1"/>
  <c r="H90" i="19"/>
  <c r="I90" i="19" s="1"/>
  <c r="AL89" i="19"/>
  <c r="J89" i="19"/>
  <c r="K89" i="19" s="1"/>
  <c r="AE89" i="19"/>
  <c r="AF89" i="19" s="1"/>
  <c r="S92" i="19"/>
  <c r="M93" i="19"/>
  <c r="AM91" i="19"/>
  <c r="P91" i="19"/>
  <c r="Q91" i="19" s="1"/>
  <c r="A94" i="19"/>
  <c r="B93" i="19"/>
  <c r="AG56" i="15"/>
  <c r="AZ56" i="18"/>
  <c r="AA52" i="18"/>
  <c r="AC52" i="18" s="1"/>
  <c r="AU52" i="18" s="1"/>
  <c r="A91" i="18"/>
  <c r="B90" i="18"/>
  <c r="AL88" i="18"/>
  <c r="J88" i="18"/>
  <c r="K88" i="18" s="1"/>
  <c r="AE88" i="18"/>
  <c r="AF88" i="18" s="1"/>
  <c r="H89" i="18"/>
  <c r="I89" i="18" s="1"/>
  <c r="M91" i="18"/>
  <c r="S90" i="18"/>
  <c r="AX56" i="18"/>
  <c r="Y56" i="18"/>
  <c r="AS56" i="18" s="1"/>
  <c r="AG57" i="18"/>
  <c r="AM89" i="18"/>
  <c r="P89" i="18"/>
  <c r="Q89" i="18" s="1"/>
  <c r="AY52" i="18"/>
  <c r="AC53" i="17"/>
  <c r="AU53" i="17" s="1"/>
  <c r="AE88" i="17"/>
  <c r="AF88" i="17" s="1"/>
  <c r="J88" i="17"/>
  <c r="K88" i="17" s="1"/>
  <c r="H89" i="17"/>
  <c r="I89" i="17" s="1"/>
  <c r="AL88" i="17"/>
  <c r="AI55" i="17"/>
  <c r="AW55" i="17" s="1"/>
  <c r="AZ55" i="17"/>
  <c r="B90" i="17"/>
  <c r="A91" i="17"/>
  <c r="AM89" i="17"/>
  <c r="P89" i="17"/>
  <c r="Q89" i="17" s="1"/>
  <c r="S90" i="17"/>
  <c r="M91" i="17"/>
  <c r="W59" i="17"/>
  <c r="AG51" i="13"/>
  <c r="AZ51" i="13" s="1"/>
  <c r="AL87" i="15"/>
  <c r="AE87" i="15"/>
  <c r="AF87" i="15" s="1"/>
  <c r="H88" i="15"/>
  <c r="I88" i="15" s="1"/>
  <c r="J87" i="15"/>
  <c r="K87" i="15" s="1"/>
  <c r="A91" i="15"/>
  <c r="B90" i="15"/>
  <c r="P89" i="15"/>
  <c r="Q89" i="15" s="1"/>
  <c r="AM89" i="15"/>
  <c r="AA55" i="15"/>
  <c r="M91" i="15"/>
  <c r="S90" i="15"/>
  <c r="AY49" i="13"/>
  <c r="AC49" i="13"/>
  <c r="AU49" i="13" s="1"/>
  <c r="AM88" i="13"/>
  <c r="Q88" i="13"/>
  <c r="I53" i="13"/>
  <c r="S89" i="13"/>
  <c r="P89" i="13" s="1"/>
  <c r="M90" i="13"/>
  <c r="B95" i="13"/>
  <c r="A96" i="13"/>
  <c r="K89" i="11"/>
  <c r="L89" i="11" s="1"/>
  <c r="I90" i="11"/>
  <c r="J90" i="11" s="1"/>
  <c r="W89" i="11"/>
  <c r="X89" i="11" s="1"/>
  <c r="AD89" i="11"/>
  <c r="Y57" i="11"/>
  <c r="C92" i="11"/>
  <c r="B93" i="11"/>
  <c r="U63" i="11"/>
  <c r="AK63" i="11" s="1"/>
  <c r="Q89" i="11"/>
  <c r="AE89" i="11" s="1"/>
  <c r="N90" i="11"/>
  <c r="U47" i="8"/>
  <c r="AK47" i="8" s="1"/>
  <c r="AD88" i="8"/>
  <c r="I89" i="8"/>
  <c r="J89" i="8" s="1"/>
  <c r="W89" i="8" s="1"/>
  <c r="X89" i="8" s="1"/>
  <c r="K88" i="8"/>
  <c r="L88" i="8" s="1"/>
  <c r="Q90" i="8"/>
  <c r="AE90" i="8" s="1"/>
  <c r="N91" i="8"/>
  <c r="B92" i="8"/>
  <c r="C91" i="8"/>
  <c r="Y57" i="15" l="1"/>
  <c r="AS57" i="15" s="1"/>
  <c r="AX57" i="15"/>
  <c r="AX58" i="19"/>
  <c r="Y58" i="19"/>
  <c r="AZ57" i="19"/>
  <c r="AI57" i="19"/>
  <c r="AW57" i="19" s="1"/>
  <c r="AA52" i="19"/>
  <c r="AC52" i="19" s="1"/>
  <c r="AL90" i="19"/>
  <c r="J90" i="19"/>
  <c r="K90" i="19" s="1"/>
  <c r="AE90" i="19"/>
  <c r="AF90" i="19" s="1"/>
  <c r="H91" i="19"/>
  <c r="I91" i="19" s="1"/>
  <c r="M94" i="19"/>
  <c r="S93" i="19"/>
  <c r="AM92" i="19"/>
  <c r="P92" i="19"/>
  <c r="Q92" i="19" s="1"/>
  <c r="AA54" i="17"/>
  <c r="A95" i="19"/>
  <c r="B94" i="19"/>
  <c r="AI56" i="15"/>
  <c r="AW56" i="15" s="1"/>
  <c r="AZ56" i="15"/>
  <c r="W57" i="18"/>
  <c r="AX57" i="18" s="1"/>
  <c r="AA53" i="18"/>
  <c r="AL89" i="18"/>
  <c r="J89" i="18"/>
  <c r="K89" i="18" s="1"/>
  <c r="AE89" i="18"/>
  <c r="AF89" i="18" s="1"/>
  <c r="H90" i="18"/>
  <c r="I90" i="18" s="1"/>
  <c r="AI51" i="13"/>
  <c r="AW51" i="13" s="1"/>
  <c r="AZ57" i="18"/>
  <c r="AI57" i="18"/>
  <c r="AW57" i="18" s="1"/>
  <c r="AY53" i="18"/>
  <c r="AC53" i="18"/>
  <c r="AU53" i="18" s="1"/>
  <c r="AM90" i="18"/>
  <c r="P90" i="18"/>
  <c r="Q90" i="18" s="1"/>
  <c r="M92" i="18"/>
  <c r="S91" i="18"/>
  <c r="A92" i="18"/>
  <c r="B91" i="18"/>
  <c r="H90" i="17"/>
  <c r="I90" i="17" s="1"/>
  <c r="AE89" i="17"/>
  <c r="AF89" i="17" s="1"/>
  <c r="J89" i="17"/>
  <c r="K89" i="17" s="1"/>
  <c r="AL89" i="17"/>
  <c r="P90" i="17"/>
  <c r="Q90" i="17" s="1"/>
  <c r="AM90" i="17"/>
  <c r="AA55" i="17"/>
  <c r="AY54" i="17"/>
  <c r="AC54" i="17"/>
  <c r="AU54" i="17" s="1"/>
  <c r="B91" i="17"/>
  <c r="A92" i="17"/>
  <c r="AX59" i="17"/>
  <c r="Y59" i="17"/>
  <c r="AS59" i="17" s="1"/>
  <c r="M92" i="17"/>
  <c r="S91" i="17"/>
  <c r="AG56" i="17"/>
  <c r="J88" i="15"/>
  <c r="K88" i="15" s="1"/>
  <c r="AL88" i="15"/>
  <c r="H89" i="15"/>
  <c r="I89" i="15" s="1"/>
  <c r="AE88" i="15"/>
  <c r="AF88" i="15" s="1"/>
  <c r="A92" i="15"/>
  <c r="B91" i="15"/>
  <c r="S91" i="15"/>
  <c r="M92" i="15"/>
  <c r="AY55" i="15"/>
  <c r="AC55" i="15"/>
  <c r="AU55" i="15" s="1"/>
  <c r="P90" i="15"/>
  <c r="Q90" i="15" s="1"/>
  <c r="AM90" i="15"/>
  <c r="AA50" i="13"/>
  <c r="AY50" i="13" s="1"/>
  <c r="AM89" i="13"/>
  <c r="Q89" i="13"/>
  <c r="H54" i="13"/>
  <c r="AL53" i="13"/>
  <c r="AE53" i="13"/>
  <c r="AF53" i="13" s="1"/>
  <c r="J53" i="13"/>
  <c r="K53" i="13" s="1"/>
  <c r="M91" i="13"/>
  <c r="S90" i="13"/>
  <c r="P90" i="13" s="1"/>
  <c r="A97" i="13"/>
  <c r="B96" i="13"/>
  <c r="S64" i="11"/>
  <c r="U64" i="11" s="1"/>
  <c r="AK64" i="11" s="1"/>
  <c r="AD90" i="11"/>
  <c r="W90" i="11"/>
  <c r="X90" i="11" s="1"/>
  <c r="K90" i="11"/>
  <c r="L90" i="11" s="1"/>
  <c r="I91" i="11"/>
  <c r="J91" i="11" s="1"/>
  <c r="AA57" i="11"/>
  <c r="AM57" i="11" s="1"/>
  <c r="Q90" i="11"/>
  <c r="AE90" i="11" s="1"/>
  <c r="N91" i="11"/>
  <c r="C93" i="11"/>
  <c r="B94" i="11"/>
  <c r="S48" i="8"/>
  <c r="C92" i="8"/>
  <c r="B93" i="8"/>
  <c r="I90" i="8"/>
  <c r="J90" i="8" s="1"/>
  <c r="W90" i="8" s="1"/>
  <c r="X90" i="8" s="1"/>
  <c r="AD89" i="8"/>
  <c r="K89" i="8"/>
  <c r="L89" i="8" s="1"/>
  <c r="N92" i="8"/>
  <c r="Q91" i="8"/>
  <c r="AE91" i="8" s="1"/>
  <c r="W58" i="15" l="1"/>
  <c r="AX58" i="15"/>
  <c r="Y58" i="15"/>
  <c r="AS58" i="19"/>
  <c r="W59" i="19"/>
  <c r="AY52" i="19"/>
  <c r="AG58" i="19"/>
  <c r="AI58" i="19" s="1"/>
  <c r="AU52" i="19"/>
  <c r="AA53" i="19"/>
  <c r="J91" i="19"/>
  <c r="K91" i="19" s="1"/>
  <c r="H92" i="19"/>
  <c r="I92" i="19" s="1"/>
  <c r="AL91" i="19"/>
  <c r="AE91" i="19"/>
  <c r="AF91" i="19" s="1"/>
  <c r="AG57" i="15"/>
  <c r="P93" i="19"/>
  <c r="Q93" i="19" s="1"/>
  <c r="AM93" i="19"/>
  <c r="S94" i="19"/>
  <c r="M95" i="19"/>
  <c r="A96" i="19"/>
  <c r="B95" i="19"/>
  <c r="BB52" i="19"/>
  <c r="AI57" i="15"/>
  <c r="AW57" i="15" s="1"/>
  <c r="AZ57" i="15"/>
  <c r="Y57" i="18"/>
  <c r="AS57" i="18" s="1"/>
  <c r="AG58" i="18"/>
  <c r="AI58" i="18" s="1"/>
  <c r="AW58" i="18" s="1"/>
  <c r="AL90" i="18"/>
  <c r="H91" i="18"/>
  <c r="I91" i="18" s="1"/>
  <c r="AE90" i="18"/>
  <c r="AF90" i="18" s="1"/>
  <c r="J90" i="18"/>
  <c r="K90" i="18" s="1"/>
  <c r="AA54" i="18"/>
  <c r="A93" i="18"/>
  <c r="B92" i="18"/>
  <c r="AM91" i="18"/>
  <c r="P91" i="18"/>
  <c r="Q91" i="18" s="1"/>
  <c r="M93" i="18"/>
  <c r="S92" i="18"/>
  <c r="AG52" i="13"/>
  <c r="AI52" i="13" s="1"/>
  <c r="AW52" i="13" s="1"/>
  <c r="AY55" i="17"/>
  <c r="AC55" i="17"/>
  <c r="AU55" i="17" s="1"/>
  <c r="AI56" i="17"/>
  <c r="AW56" i="17" s="1"/>
  <c r="AZ56" i="17"/>
  <c r="A93" i="17"/>
  <c r="B92" i="17"/>
  <c r="AM91" i="17"/>
  <c r="P91" i="17"/>
  <c r="Q91" i="17" s="1"/>
  <c r="J90" i="17"/>
  <c r="K90" i="17" s="1"/>
  <c r="AL90" i="17"/>
  <c r="H91" i="17"/>
  <c r="I91" i="17" s="1"/>
  <c r="AE90" i="17"/>
  <c r="AF90" i="17" s="1"/>
  <c r="S92" i="17"/>
  <c r="M93" i="17"/>
  <c r="W60" i="17"/>
  <c r="AA56" i="15"/>
  <c r="AY56" i="15" s="1"/>
  <c r="H90" i="15"/>
  <c r="I90" i="15" s="1"/>
  <c r="AE89" i="15"/>
  <c r="AF89" i="15" s="1"/>
  <c r="AL89" i="15"/>
  <c r="J89" i="15"/>
  <c r="K89" i="15" s="1"/>
  <c r="M93" i="15"/>
  <c r="S92" i="15"/>
  <c r="AM91" i="15"/>
  <c r="P91" i="15"/>
  <c r="Q91" i="15" s="1"/>
  <c r="A93" i="15"/>
  <c r="B92" i="15"/>
  <c r="AC50" i="13"/>
  <c r="AA51" i="13" s="1"/>
  <c r="AZ52" i="13"/>
  <c r="AM90" i="13"/>
  <c r="Q90" i="13"/>
  <c r="I54" i="13"/>
  <c r="S91" i="13"/>
  <c r="P91" i="13" s="1"/>
  <c r="M92" i="13"/>
  <c r="A98" i="13"/>
  <c r="B97" i="13"/>
  <c r="Y58" i="11"/>
  <c r="AA58" i="11" s="1"/>
  <c r="AM58" i="11" s="1"/>
  <c r="I92" i="11"/>
  <c r="J92" i="11" s="1"/>
  <c r="K91" i="11"/>
  <c r="L91" i="11" s="1"/>
  <c r="AD91" i="11"/>
  <c r="W91" i="11"/>
  <c r="X91" i="11" s="1"/>
  <c r="C94" i="11"/>
  <c r="B95" i="11"/>
  <c r="S65" i="11"/>
  <c r="Q91" i="11"/>
  <c r="AE91" i="11" s="1"/>
  <c r="N92" i="11"/>
  <c r="U48" i="8"/>
  <c r="AK48" i="8" s="1"/>
  <c r="AD90" i="8"/>
  <c r="K90" i="8"/>
  <c r="L90" i="8" s="1"/>
  <c r="I91" i="8"/>
  <c r="J91" i="8" s="1"/>
  <c r="W91" i="8" s="1"/>
  <c r="X91" i="8" s="1"/>
  <c r="B94" i="8"/>
  <c r="C93" i="8"/>
  <c r="N93" i="8"/>
  <c r="Q92" i="8"/>
  <c r="AE92" i="8" s="1"/>
  <c r="W59" i="15" l="1"/>
  <c r="AS58" i="15"/>
  <c r="AX59" i="19"/>
  <c r="Y59" i="19"/>
  <c r="AS59" i="19" s="1"/>
  <c r="AZ58" i="19"/>
  <c r="AW58" i="19"/>
  <c r="AG59" i="19"/>
  <c r="AY53" i="19"/>
  <c r="AC53" i="19"/>
  <c r="J92" i="19"/>
  <c r="K92" i="19" s="1"/>
  <c r="AL92" i="19"/>
  <c r="AE92" i="19"/>
  <c r="AF92" i="19" s="1"/>
  <c r="H93" i="19"/>
  <c r="I93" i="19" s="1"/>
  <c r="AG58" i="15"/>
  <c r="AZ58" i="15" s="1"/>
  <c r="A97" i="19"/>
  <c r="B96" i="19"/>
  <c r="M96" i="19"/>
  <c r="S95" i="19"/>
  <c r="AM94" i="19"/>
  <c r="P94" i="19"/>
  <c r="Q94" i="19" s="1"/>
  <c r="BB49" i="19"/>
  <c r="BB53" i="19"/>
  <c r="AI58" i="15"/>
  <c r="AW58" i="15" s="1"/>
  <c r="W58" i="18"/>
  <c r="AZ58" i="18"/>
  <c r="AG59" i="18"/>
  <c r="AZ59" i="18" s="1"/>
  <c r="P92" i="18"/>
  <c r="Q92" i="18" s="1"/>
  <c r="AM92" i="18"/>
  <c r="S93" i="18"/>
  <c r="M94" i="18"/>
  <c r="AI59" i="18"/>
  <c r="AW59" i="18" s="1"/>
  <c r="AL91" i="18"/>
  <c r="H92" i="18"/>
  <c r="I92" i="18" s="1"/>
  <c r="AE91" i="18"/>
  <c r="AF91" i="18" s="1"/>
  <c r="J91" i="18"/>
  <c r="K91" i="18" s="1"/>
  <c r="A94" i="18"/>
  <c r="B93" i="18"/>
  <c r="Y58" i="18"/>
  <c r="AS58" i="18" s="1"/>
  <c r="AX58" i="18"/>
  <c r="AY54" i="18"/>
  <c r="AC54" i="18"/>
  <c r="AU54" i="18" s="1"/>
  <c r="AC56" i="15"/>
  <c r="AU56" i="15" s="1"/>
  <c r="AE91" i="17"/>
  <c r="AF91" i="17" s="1"/>
  <c r="AL91" i="17"/>
  <c r="H92" i="17"/>
  <c r="I92" i="17" s="1"/>
  <c r="J91" i="17"/>
  <c r="K91" i="17" s="1"/>
  <c r="B93" i="17"/>
  <c r="A94" i="17"/>
  <c r="AM92" i="17"/>
  <c r="P92" i="17"/>
  <c r="Q92" i="17" s="1"/>
  <c r="AX60" i="17"/>
  <c r="Y60" i="17"/>
  <c r="AS60" i="17" s="1"/>
  <c r="W61" i="17"/>
  <c r="AG57" i="17"/>
  <c r="M94" i="17"/>
  <c r="S93" i="17"/>
  <c r="AA56" i="17"/>
  <c r="B93" i="15"/>
  <c r="A94" i="15"/>
  <c r="H91" i="15"/>
  <c r="I91" i="15" s="1"/>
  <c r="J90" i="15"/>
  <c r="K90" i="15" s="1"/>
  <c r="AL90" i="15"/>
  <c r="AE90" i="15"/>
  <c r="AF90" i="15" s="1"/>
  <c r="AM92" i="15"/>
  <c r="P92" i="15"/>
  <c r="Q92" i="15" s="1"/>
  <c r="M94" i="15"/>
  <c r="S93" i="15"/>
  <c r="AU50" i="13"/>
  <c r="AY51" i="13"/>
  <c r="AC51" i="13"/>
  <c r="AG53" i="13"/>
  <c r="AM91" i="13"/>
  <c r="Q91" i="13"/>
  <c r="J54" i="13"/>
  <c r="K54" i="13" s="1"/>
  <c r="AE54" i="13"/>
  <c r="AF54" i="13" s="1"/>
  <c r="H55" i="13"/>
  <c r="AL54" i="13"/>
  <c r="B98" i="13"/>
  <c r="A99" i="13"/>
  <c r="M93" i="13"/>
  <c r="S92" i="13"/>
  <c r="P92" i="13" s="1"/>
  <c r="B96" i="11"/>
  <c r="C95" i="11"/>
  <c r="W92" i="11"/>
  <c r="X92" i="11" s="1"/>
  <c r="AD92" i="11"/>
  <c r="K92" i="11"/>
  <c r="L92" i="11" s="1"/>
  <c r="I93" i="11"/>
  <c r="J93" i="11" s="1"/>
  <c r="Q92" i="11"/>
  <c r="AE92" i="11" s="1"/>
  <c r="N93" i="11"/>
  <c r="U65" i="11"/>
  <c r="AK65" i="11" s="1"/>
  <c r="Y59" i="11"/>
  <c r="S49" i="8"/>
  <c r="AD91" i="8"/>
  <c r="K91" i="8"/>
  <c r="L91" i="8" s="1"/>
  <c r="I92" i="8"/>
  <c r="J92" i="8" s="1"/>
  <c r="W92" i="8" s="1"/>
  <c r="X92" i="8" s="1"/>
  <c r="C94" i="8"/>
  <c r="B95" i="8"/>
  <c r="Q93" i="8"/>
  <c r="AE93" i="8" s="1"/>
  <c r="N94" i="8"/>
  <c r="AX59" i="15" l="1"/>
  <c r="Y59" i="15"/>
  <c r="AS59" i="15" s="1"/>
  <c r="W60" i="19"/>
  <c r="Y60" i="19"/>
  <c r="AX60" i="19"/>
  <c r="AI59" i="19"/>
  <c r="AZ59" i="19"/>
  <c r="AU53" i="19"/>
  <c r="AA54" i="19"/>
  <c r="H94" i="19"/>
  <c r="I94" i="19" s="1"/>
  <c r="AE93" i="19"/>
  <c r="AF93" i="19" s="1"/>
  <c r="J93" i="19"/>
  <c r="K93" i="19" s="1"/>
  <c r="AL93" i="19"/>
  <c r="AG59" i="15"/>
  <c r="AM95" i="19"/>
  <c r="P95" i="19"/>
  <c r="Q95" i="19" s="1"/>
  <c r="M97" i="19"/>
  <c r="S96" i="19"/>
  <c r="A98" i="19"/>
  <c r="B97" i="19"/>
  <c r="AL92" i="18"/>
  <c r="AE92" i="18"/>
  <c r="AF92" i="18" s="1"/>
  <c r="J92" i="18"/>
  <c r="K92" i="18" s="1"/>
  <c r="H93" i="18"/>
  <c r="I93" i="18" s="1"/>
  <c r="A95" i="18"/>
  <c r="B94" i="18"/>
  <c r="AG60" i="18"/>
  <c r="M95" i="18"/>
  <c r="S94" i="18"/>
  <c r="AA55" i="18"/>
  <c r="AM93" i="18"/>
  <c r="P93" i="18"/>
  <c r="Q93" i="18" s="1"/>
  <c r="W59" i="18"/>
  <c r="AA57" i="15"/>
  <c r="AY57" i="15" s="1"/>
  <c r="J92" i="17"/>
  <c r="K92" i="17" s="1"/>
  <c r="H93" i="17"/>
  <c r="I93" i="17" s="1"/>
  <c r="AE92" i="17"/>
  <c r="AF92" i="17" s="1"/>
  <c r="AL92" i="17"/>
  <c r="AI59" i="15"/>
  <c r="AW59" i="15" s="1"/>
  <c r="AZ59" i="15"/>
  <c r="B94" i="17"/>
  <c r="A95" i="17"/>
  <c r="AZ57" i="17"/>
  <c r="AI57" i="17"/>
  <c r="AW57" i="17" s="1"/>
  <c r="AX61" i="17"/>
  <c r="Y61" i="17"/>
  <c r="AS61" i="17" s="1"/>
  <c r="M95" i="17"/>
  <c r="S94" i="17"/>
  <c r="AY56" i="17"/>
  <c r="AC56" i="17"/>
  <c r="AU56" i="17" s="1"/>
  <c r="P93" i="17"/>
  <c r="Q93" i="17" s="1"/>
  <c r="AM93" i="17"/>
  <c r="H92" i="15"/>
  <c r="I92" i="15" s="1"/>
  <c r="J91" i="15"/>
  <c r="K91" i="15" s="1"/>
  <c r="AE91" i="15"/>
  <c r="AF91" i="15" s="1"/>
  <c r="AL91" i="15"/>
  <c r="P93" i="15"/>
  <c r="Q93" i="15" s="1"/>
  <c r="AM93" i="15"/>
  <c r="A95" i="15"/>
  <c r="B94" i="15"/>
  <c r="S94" i="15"/>
  <c r="M95" i="15"/>
  <c r="AU51" i="13"/>
  <c r="AA52" i="13"/>
  <c r="AZ53" i="13"/>
  <c r="AI53" i="13"/>
  <c r="AW53" i="13" s="1"/>
  <c r="AM92" i="13"/>
  <c r="Q92" i="13"/>
  <c r="I55" i="13"/>
  <c r="S93" i="13"/>
  <c r="P93" i="13" s="1"/>
  <c r="M94" i="13"/>
  <c r="B99" i="13"/>
  <c r="A100" i="13"/>
  <c r="K93" i="11"/>
  <c r="L93" i="11" s="1"/>
  <c r="I94" i="11"/>
  <c r="J94" i="11" s="1"/>
  <c r="AD93" i="11"/>
  <c r="W93" i="11"/>
  <c r="X93" i="11" s="1"/>
  <c r="AA59" i="11"/>
  <c r="AM59" i="11" s="1"/>
  <c r="S66" i="11"/>
  <c r="N94" i="11"/>
  <c r="Q93" i="11"/>
  <c r="AE93" i="11" s="1"/>
  <c r="C96" i="11"/>
  <c r="B97" i="11"/>
  <c r="U49" i="8"/>
  <c r="AK49" i="8" s="1"/>
  <c r="K92" i="8"/>
  <c r="L92" i="8" s="1"/>
  <c r="I93" i="8"/>
  <c r="J93" i="8" s="1"/>
  <c r="W93" i="8" s="1"/>
  <c r="X93" i="8" s="1"/>
  <c r="AD92" i="8"/>
  <c r="B96" i="8"/>
  <c r="C95" i="8"/>
  <c r="N95" i="8"/>
  <c r="Q94" i="8"/>
  <c r="AE94" i="8" s="1"/>
  <c r="W60" i="15" l="1"/>
  <c r="AS60" i="19"/>
  <c r="W61" i="19"/>
  <c r="AW59" i="19"/>
  <c r="AG60" i="19"/>
  <c r="AY54" i="19"/>
  <c r="AC54" i="19"/>
  <c r="A99" i="19"/>
  <c r="B98" i="19"/>
  <c r="P96" i="19"/>
  <c r="Q96" i="19" s="1"/>
  <c r="AM96" i="19"/>
  <c r="AG60" i="15"/>
  <c r="M98" i="19"/>
  <c r="S97" i="19"/>
  <c r="J94" i="19"/>
  <c r="K94" i="19" s="1"/>
  <c r="AE94" i="19"/>
  <c r="AF94" i="19" s="1"/>
  <c r="H95" i="19"/>
  <c r="I95" i="19" s="1"/>
  <c r="AL94" i="19"/>
  <c r="AC57" i="15"/>
  <c r="AU57" i="15" s="1"/>
  <c r="J93" i="18"/>
  <c r="K93" i="18" s="1"/>
  <c r="AE93" i="18"/>
  <c r="AF93" i="18" s="1"/>
  <c r="H94" i="18"/>
  <c r="I94" i="18" s="1"/>
  <c r="AL93" i="18"/>
  <c r="Y59" i="18"/>
  <c r="AS59" i="18" s="1"/>
  <c r="AX59" i="18"/>
  <c r="A96" i="18"/>
  <c r="B95" i="18"/>
  <c r="AY55" i="18"/>
  <c r="AC55" i="18"/>
  <c r="AU55" i="18" s="1"/>
  <c r="AM94" i="18"/>
  <c r="P94" i="18"/>
  <c r="Q94" i="18" s="1"/>
  <c r="S95" i="18"/>
  <c r="M96" i="18"/>
  <c r="AI60" i="18"/>
  <c r="AW60" i="18" s="1"/>
  <c r="AZ60" i="18"/>
  <c r="W62" i="17"/>
  <c r="AX62" i="17" s="1"/>
  <c r="AG58" i="17"/>
  <c r="AZ58" i="17" s="1"/>
  <c r="H94" i="17"/>
  <c r="I94" i="17" s="1"/>
  <c r="AE93" i="17"/>
  <c r="AF93" i="17" s="1"/>
  <c r="J93" i="17"/>
  <c r="K93" i="17" s="1"/>
  <c r="AL93" i="17"/>
  <c r="Y62" i="17"/>
  <c r="AS62" i="17" s="1"/>
  <c r="AI60" i="15"/>
  <c r="AW60" i="15" s="1"/>
  <c r="AZ60" i="15"/>
  <c r="AA57" i="17"/>
  <c r="P94" i="17"/>
  <c r="Q94" i="17" s="1"/>
  <c r="AM94" i="17"/>
  <c r="M96" i="17"/>
  <c r="S95" i="17"/>
  <c r="B95" i="17"/>
  <c r="A96" i="17"/>
  <c r="J92" i="15"/>
  <c r="K92" i="15" s="1"/>
  <c r="H93" i="15"/>
  <c r="I93" i="15" s="1"/>
  <c r="AE92" i="15"/>
  <c r="AF92" i="15" s="1"/>
  <c r="AL92" i="15"/>
  <c r="A96" i="15"/>
  <c r="B95" i="15"/>
  <c r="M96" i="15"/>
  <c r="S95" i="15"/>
  <c r="P94" i="15"/>
  <c r="Q94" i="15" s="1"/>
  <c r="AM94" i="15"/>
  <c r="AY52" i="13"/>
  <c r="AC52" i="13"/>
  <c r="AG54" i="13"/>
  <c r="AM93" i="13"/>
  <c r="Q93" i="13"/>
  <c r="AL55" i="13"/>
  <c r="J55" i="13"/>
  <c r="K55" i="13" s="1"/>
  <c r="AE55" i="13"/>
  <c r="AF55" i="13" s="1"/>
  <c r="H56" i="13"/>
  <c r="M95" i="13"/>
  <c r="S94" i="13"/>
  <c r="P94" i="13" s="1"/>
  <c r="A101" i="13"/>
  <c r="B100" i="13"/>
  <c r="Y60" i="11"/>
  <c r="AA60" i="11" s="1"/>
  <c r="AM60" i="11" s="1"/>
  <c r="AD94" i="11"/>
  <c r="K94" i="11"/>
  <c r="L94" i="11" s="1"/>
  <c r="I95" i="11"/>
  <c r="J95" i="11" s="1"/>
  <c r="W94" i="11"/>
  <c r="X94" i="11" s="1"/>
  <c r="B98" i="11"/>
  <c r="C97" i="11"/>
  <c r="Q94" i="11"/>
  <c r="AE94" i="11" s="1"/>
  <c r="N95" i="11"/>
  <c r="U66" i="11"/>
  <c r="AK66" i="11" s="1"/>
  <c r="S50" i="8"/>
  <c r="AD93" i="8"/>
  <c r="K93" i="8"/>
  <c r="L93" i="8" s="1"/>
  <c r="I94" i="8"/>
  <c r="J94" i="8" s="1"/>
  <c r="W94" i="8" s="1"/>
  <c r="X94" i="8" s="1"/>
  <c r="B97" i="8"/>
  <c r="C96" i="8"/>
  <c r="Q95" i="8"/>
  <c r="AE95" i="8" s="1"/>
  <c r="N96" i="8"/>
  <c r="AX60" i="15" l="1"/>
  <c r="Y60" i="15"/>
  <c r="AX61" i="19"/>
  <c r="Y61" i="19"/>
  <c r="AS61" i="19" s="1"/>
  <c r="W62" i="19"/>
  <c r="AX62" i="19" s="1"/>
  <c r="AI60" i="19"/>
  <c r="AZ60" i="19"/>
  <c r="AU54" i="19"/>
  <c r="AA55" i="19"/>
  <c r="Y62" i="19"/>
  <c r="AS62" i="19" s="1"/>
  <c r="H96" i="19"/>
  <c r="I96" i="19" s="1"/>
  <c r="AE95" i="19"/>
  <c r="AF95" i="19" s="1"/>
  <c r="J95" i="19"/>
  <c r="K95" i="19" s="1"/>
  <c r="AL95" i="19"/>
  <c r="A100" i="19"/>
  <c r="B99" i="19"/>
  <c r="AM97" i="19"/>
  <c r="P97" i="19"/>
  <c r="Q97" i="19" s="1"/>
  <c r="M99" i="19"/>
  <c r="S98" i="19"/>
  <c r="AA58" i="15"/>
  <c r="AY58" i="15" s="1"/>
  <c r="W60" i="18"/>
  <c r="AA56" i="18"/>
  <c r="AY56" i="18" s="1"/>
  <c r="H95" i="18"/>
  <c r="I95" i="18" s="1"/>
  <c r="AE94" i="18"/>
  <c r="AF94" i="18" s="1"/>
  <c r="AL94" i="18"/>
  <c r="J94" i="18"/>
  <c r="K94" i="18" s="1"/>
  <c r="AX60" i="18"/>
  <c r="Y60" i="18"/>
  <c r="AS60" i="18" s="1"/>
  <c r="AI58" i="17"/>
  <c r="AW58" i="17" s="1"/>
  <c r="AG61" i="18"/>
  <c r="S96" i="18"/>
  <c r="M97" i="18"/>
  <c r="P95" i="18"/>
  <c r="Q95" i="18" s="1"/>
  <c r="AM95" i="18"/>
  <c r="B96" i="18"/>
  <c r="A97" i="18"/>
  <c r="AG59" i="17"/>
  <c r="AZ59" i="17" s="1"/>
  <c r="W63" i="17"/>
  <c r="B96" i="17"/>
  <c r="A97" i="17"/>
  <c r="AY57" i="17"/>
  <c r="AC57" i="17"/>
  <c r="AU57" i="17" s="1"/>
  <c r="H95" i="17"/>
  <c r="I95" i="17" s="1"/>
  <c r="AE94" i="17"/>
  <c r="AF94" i="17" s="1"/>
  <c r="J94" i="17"/>
  <c r="K94" i="17" s="1"/>
  <c r="AL94" i="17"/>
  <c r="AM95" i="17"/>
  <c r="P95" i="17"/>
  <c r="Q95" i="17" s="1"/>
  <c r="AG61" i="15"/>
  <c r="M97" i="17"/>
  <c r="S96" i="17"/>
  <c r="AL93" i="15"/>
  <c r="H94" i="15"/>
  <c r="I94" i="15" s="1"/>
  <c r="AE93" i="15"/>
  <c r="AF93" i="15" s="1"/>
  <c r="J93" i="15"/>
  <c r="K93" i="15" s="1"/>
  <c r="S96" i="15"/>
  <c r="M97" i="15"/>
  <c r="AM95" i="15"/>
  <c r="P95" i="15"/>
  <c r="Q95" i="15" s="1"/>
  <c r="B96" i="15"/>
  <c r="A97" i="15"/>
  <c r="AA53" i="13"/>
  <c r="AU52" i="13"/>
  <c r="AZ54" i="13"/>
  <c r="AI54" i="13"/>
  <c r="AW54" i="13" s="1"/>
  <c r="AM94" i="13"/>
  <c r="Q94" i="13"/>
  <c r="I56" i="13"/>
  <c r="A102" i="13"/>
  <c r="B101" i="13"/>
  <c r="S95" i="13"/>
  <c r="P95" i="13" s="1"/>
  <c r="M96" i="13"/>
  <c r="I96" i="11"/>
  <c r="J96" i="11" s="1"/>
  <c r="K95" i="11"/>
  <c r="L95" i="11" s="1"/>
  <c r="W95" i="11"/>
  <c r="X95" i="11" s="1"/>
  <c r="AD95" i="11"/>
  <c r="Y61" i="11"/>
  <c r="S67" i="11"/>
  <c r="C98" i="11"/>
  <c r="B99" i="11"/>
  <c r="N96" i="11"/>
  <c r="Q95" i="11"/>
  <c r="AE95" i="11" s="1"/>
  <c r="U50" i="8"/>
  <c r="AK50" i="8" s="1"/>
  <c r="I95" i="8"/>
  <c r="J95" i="8" s="1"/>
  <c r="W95" i="8" s="1"/>
  <c r="X95" i="8" s="1"/>
  <c r="AD94" i="8"/>
  <c r="K94" i="8"/>
  <c r="L94" i="8" s="1"/>
  <c r="C97" i="8"/>
  <c r="B98" i="8"/>
  <c r="Q96" i="8"/>
  <c r="AE96" i="8" s="1"/>
  <c r="N97" i="8"/>
  <c r="AS60" i="15" l="1"/>
  <c r="W61" i="15"/>
  <c r="AW60" i="19"/>
  <c r="AG61" i="19"/>
  <c r="AY55" i="19"/>
  <c r="AC55" i="19"/>
  <c r="AL96" i="19"/>
  <c r="J96" i="19"/>
  <c r="K96" i="19" s="1"/>
  <c r="H97" i="19"/>
  <c r="I97" i="19" s="1"/>
  <c r="AE96" i="19"/>
  <c r="AF96" i="19" s="1"/>
  <c r="AM98" i="19"/>
  <c r="P98" i="19"/>
  <c r="Q98" i="19" s="1"/>
  <c r="A101" i="19"/>
  <c r="B100" i="19"/>
  <c r="W63" i="19"/>
  <c r="AC58" i="15"/>
  <c r="AU58" i="15" s="1"/>
  <c r="S99" i="19"/>
  <c r="M100" i="19"/>
  <c r="AC56" i="18"/>
  <c r="AU56" i="18" s="1"/>
  <c r="AM96" i="18"/>
  <c r="P96" i="18"/>
  <c r="Q96" i="18" s="1"/>
  <c r="W61" i="18"/>
  <c r="AI61" i="18"/>
  <c r="AW61" i="18" s="1"/>
  <c r="AZ61" i="18"/>
  <c r="AI59" i="17"/>
  <c r="AW59" i="17" s="1"/>
  <c r="B97" i="18"/>
  <c r="A98" i="18"/>
  <c r="J95" i="18"/>
  <c r="K95" i="18" s="1"/>
  <c r="AE95" i="18"/>
  <c r="AF95" i="18" s="1"/>
  <c r="AL95" i="18"/>
  <c r="H96" i="18"/>
  <c r="I96" i="18" s="1"/>
  <c r="M98" i="18"/>
  <c r="S97" i="18"/>
  <c r="AA58" i="17"/>
  <c r="AY58" i="17" s="1"/>
  <c r="AL95" i="17"/>
  <c r="H96" i="17"/>
  <c r="I96" i="17" s="1"/>
  <c r="AE95" i="17"/>
  <c r="AF95" i="17" s="1"/>
  <c r="J95" i="17"/>
  <c r="K95" i="17" s="1"/>
  <c r="AM96" i="17"/>
  <c r="P96" i="17"/>
  <c r="Q96" i="17" s="1"/>
  <c r="M98" i="17"/>
  <c r="S97" i="17"/>
  <c r="A98" i="17"/>
  <c r="B97" i="17"/>
  <c r="AZ61" i="15"/>
  <c r="AI61" i="15"/>
  <c r="AW61" i="15" s="1"/>
  <c r="AX63" i="17"/>
  <c r="Y63" i="17"/>
  <c r="AS63" i="17" s="1"/>
  <c r="W64" i="17"/>
  <c r="AL94" i="15"/>
  <c r="H95" i="15"/>
  <c r="I95" i="15" s="1"/>
  <c r="AE94" i="15"/>
  <c r="AF94" i="15" s="1"/>
  <c r="J94" i="15"/>
  <c r="K94" i="15" s="1"/>
  <c r="M98" i="15"/>
  <c r="S97" i="15"/>
  <c r="AM96" i="15"/>
  <c r="P96" i="15"/>
  <c r="Q96" i="15" s="1"/>
  <c r="AA59" i="15"/>
  <c r="A98" i="15"/>
  <c r="B97" i="15"/>
  <c r="AY53" i="13"/>
  <c r="AC53" i="13"/>
  <c r="AG55" i="13"/>
  <c r="AM95" i="13"/>
  <c r="Q95" i="13"/>
  <c r="AE56" i="13"/>
  <c r="AF56" i="13" s="1"/>
  <c r="H57" i="13"/>
  <c r="AL56" i="13"/>
  <c r="J56" i="13"/>
  <c r="K56" i="13" s="1"/>
  <c r="S96" i="13"/>
  <c r="P96" i="13" s="1"/>
  <c r="M97" i="13"/>
  <c r="A103" i="13"/>
  <c r="B102" i="13"/>
  <c r="W96" i="11"/>
  <c r="X96" i="11" s="1"/>
  <c r="AD96" i="11"/>
  <c r="K96" i="11"/>
  <c r="L96" i="11" s="1"/>
  <c r="I97" i="11"/>
  <c r="J97" i="11" s="1"/>
  <c r="U67" i="11"/>
  <c r="AK67" i="11" s="1"/>
  <c r="AA61" i="11"/>
  <c r="AM61" i="11" s="1"/>
  <c r="Q96" i="11"/>
  <c r="AE96" i="11" s="1"/>
  <c r="N97" i="11"/>
  <c r="B100" i="11"/>
  <c r="C99" i="11"/>
  <c r="S51" i="8"/>
  <c r="B99" i="8"/>
  <c r="C98" i="8"/>
  <c r="I96" i="8"/>
  <c r="J96" i="8" s="1"/>
  <c r="W96" i="8" s="1"/>
  <c r="X96" i="8" s="1"/>
  <c r="K95" i="8"/>
  <c r="L95" i="8" s="1"/>
  <c r="AD95" i="8"/>
  <c r="Q97" i="8"/>
  <c r="AE97" i="8" s="1"/>
  <c r="N98" i="8"/>
  <c r="AX61" i="15" l="1"/>
  <c r="Y61" i="15"/>
  <c r="AI61" i="19"/>
  <c r="AZ61" i="19"/>
  <c r="AU55" i="19"/>
  <c r="AA56" i="19"/>
  <c r="AE97" i="19"/>
  <c r="AF97" i="19" s="1"/>
  <c r="H98" i="19"/>
  <c r="I98" i="19" s="1"/>
  <c r="J97" i="19"/>
  <c r="K97" i="19" s="1"/>
  <c r="AL97" i="19"/>
  <c r="AX63" i="19"/>
  <c r="Y63" i="19"/>
  <c r="AS63" i="19" s="1"/>
  <c r="AA57" i="18"/>
  <c r="AY57" i="18" s="1"/>
  <c r="A102" i="19"/>
  <c r="B101" i="19"/>
  <c r="S100" i="19"/>
  <c r="M101" i="19"/>
  <c r="AM99" i="19"/>
  <c r="P99" i="19"/>
  <c r="Q99" i="19" s="1"/>
  <c r="H97" i="18"/>
  <c r="I97" i="18" s="1"/>
  <c r="AE96" i="18"/>
  <c r="AF96" i="18" s="1"/>
  <c r="J96" i="18"/>
  <c r="K96" i="18" s="1"/>
  <c r="AL96" i="18"/>
  <c r="AG60" i="17"/>
  <c r="AZ60" i="17" s="1"/>
  <c r="AG62" i="18"/>
  <c r="AX61" i="18"/>
  <c r="Y61" i="18"/>
  <c r="AS61" i="18" s="1"/>
  <c r="AC57" i="18"/>
  <c r="AU57" i="18" s="1"/>
  <c r="A99" i="18"/>
  <c r="B98" i="18"/>
  <c r="S98" i="18"/>
  <c r="M99" i="18"/>
  <c r="P97" i="18"/>
  <c r="Q97" i="18" s="1"/>
  <c r="AM97" i="18"/>
  <c r="AC58" i="17"/>
  <c r="AU58" i="17" s="1"/>
  <c r="J96" i="17"/>
  <c r="K96" i="17" s="1"/>
  <c r="H97" i="17"/>
  <c r="I97" i="17" s="1"/>
  <c r="AE96" i="17"/>
  <c r="AF96" i="17" s="1"/>
  <c r="AL96" i="17"/>
  <c r="A99" i="17"/>
  <c r="B98" i="17"/>
  <c r="Y64" i="17"/>
  <c r="AS64" i="17" s="1"/>
  <c r="AX64" i="17"/>
  <c r="P97" i="17"/>
  <c r="Q97" i="17" s="1"/>
  <c r="AM97" i="17"/>
  <c r="S98" i="17"/>
  <c r="M99" i="17"/>
  <c r="AG62" i="15"/>
  <c r="AE95" i="15"/>
  <c r="AF95" i="15" s="1"/>
  <c r="J95" i="15"/>
  <c r="K95" i="15" s="1"/>
  <c r="H96" i="15"/>
  <c r="I96" i="15" s="1"/>
  <c r="AL95" i="15"/>
  <c r="AY59" i="15"/>
  <c r="AC59" i="15"/>
  <c r="AU59" i="15" s="1"/>
  <c r="A99" i="15"/>
  <c r="B98" i="15"/>
  <c r="AM97" i="15"/>
  <c r="P97" i="15"/>
  <c r="Q97" i="15" s="1"/>
  <c r="M99" i="15"/>
  <c r="S98" i="15"/>
  <c r="AU53" i="13"/>
  <c r="AA54" i="13"/>
  <c r="AZ55" i="13"/>
  <c r="AI55" i="13"/>
  <c r="AW55" i="13" s="1"/>
  <c r="AM96" i="13"/>
  <c r="Q96" i="13"/>
  <c r="I57" i="13"/>
  <c r="B103" i="13"/>
  <c r="A104" i="13"/>
  <c r="S97" i="13"/>
  <c r="P97" i="13" s="1"/>
  <c r="M98" i="13"/>
  <c r="Y62" i="11"/>
  <c r="AA62" i="11" s="1"/>
  <c r="AM62" i="11" s="1"/>
  <c r="S68" i="11"/>
  <c r="U68" i="11" s="1"/>
  <c r="AK68" i="11" s="1"/>
  <c r="K97" i="11"/>
  <c r="L97" i="11" s="1"/>
  <c r="I98" i="11"/>
  <c r="J98" i="11" s="1"/>
  <c r="AD97" i="11"/>
  <c r="W97" i="11"/>
  <c r="X97" i="11" s="1"/>
  <c r="C100" i="11"/>
  <c r="B101" i="11"/>
  <c r="N98" i="11"/>
  <c r="Q97" i="11"/>
  <c r="AE97" i="11" s="1"/>
  <c r="U51" i="8"/>
  <c r="AK51" i="8" s="1"/>
  <c r="I97" i="8"/>
  <c r="J97" i="8" s="1"/>
  <c r="W97" i="8" s="1"/>
  <c r="X97" i="8" s="1"/>
  <c r="AD96" i="8"/>
  <c r="K96" i="8"/>
  <c r="L96" i="8" s="1"/>
  <c r="B100" i="8"/>
  <c r="C99" i="8"/>
  <c r="Q98" i="8"/>
  <c r="AE98" i="8" s="1"/>
  <c r="N99" i="8"/>
  <c r="AS61" i="15" l="1"/>
  <c r="W62" i="15"/>
  <c r="AW61" i="19"/>
  <c r="AG62" i="19"/>
  <c r="AY56" i="19"/>
  <c r="AC56" i="19"/>
  <c r="J98" i="19"/>
  <c r="K98" i="19" s="1"/>
  <c r="H99" i="19"/>
  <c r="I99" i="19" s="1"/>
  <c r="AL98" i="19"/>
  <c r="AE98" i="19"/>
  <c r="AF98" i="19" s="1"/>
  <c r="AI60" i="17"/>
  <c r="AW60" i="17" s="1"/>
  <c r="A103" i="19"/>
  <c r="B102" i="19"/>
  <c r="S101" i="19"/>
  <c r="M102" i="19"/>
  <c r="AM100" i="19"/>
  <c r="P100" i="19"/>
  <c r="Q100" i="19" s="1"/>
  <c r="W64" i="19"/>
  <c r="A100" i="18"/>
  <c r="B99" i="18"/>
  <c r="AZ62" i="18"/>
  <c r="AI62" i="18"/>
  <c r="AW62" i="18" s="1"/>
  <c r="AA58" i="18"/>
  <c r="H98" i="18"/>
  <c r="I98" i="18" s="1"/>
  <c r="J97" i="18"/>
  <c r="K97" i="18" s="1"/>
  <c r="AL97" i="18"/>
  <c r="AE97" i="18"/>
  <c r="AF97" i="18" s="1"/>
  <c r="AA59" i="17"/>
  <c r="AC59" i="17" s="1"/>
  <c r="AU59" i="17" s="1"/>
  <c r="M100" i="18"/>
  <c r="S99" i="18"/>
  <c r="AM98" i="18"/>
  <c r="P98" i="18"/>
  <c r="Q98" i="18" s="1"/>
  <c r="W62" i="18"/>
  <c r="W65" i="17"/>
  <c r="AL97" i="17"/>
  <c r="H98" i="17"/>
  <c r="J97" i="17"/>
  <c r="K97" i="17" s="1"/>
  <c r="I98" i="17"/>
  <c r="AE97" i="17"/>
  <c r="AF97" i="17" s="1"/>
  <c r="M100" i="17"/>
  <c r="S99" i="17"/>
  <c r="P98" i="17"/>
  <c r="Q98" i="17" s="1"/>
  <c r="AM98" i="17"/>
  <c r="B99" i="17"/>
  <c r="A100" i="17"/>
  <c r="Y65" i="17"/>
  <c r="AS65" i="17" s="1"/>
  <c r="AX65" i="17"/>
  <c r="AZ62" i="15"/>
  <c r="AI62" i="15"/>
  <c r="AW62" i="15" s="1"/>
  <c r="AG61" i="17"/>
  <c r="AA60" i="15"/>
  <c r="AY60" i="15" s="1"/>
  <c r="J96" i="15"/>
  <c r="K96" i="15" s="1"/>
  <c r="AL96" i="15"/>
  <c r="H97" i="15"/>
  <c r="I97" i="15" s="1"/>
  <c r="AE96" i="15"/>
  <c r="AF96" i="15" s="1"/>
  <c r="B99" i="15"/>
  <c r="A100" i="15"/>
  <c r="P98" i="15"/>
  <c r="Q98" i="15" s="1"/>
  <c r="AM98" i="15"/>
  <c r="S99" i="15"/>
  <c r="M100" i="15"/>
  <c r="AY54" i="13"/>
  <c r="AC54" i="13"/>
  <c r="AG56" i="13"/>
  <c r="AM97" i="13"/>
  <c r="Q97" i="13"/>
  <c r="AE57" i="13"/>
  <c r="AF57" i="13" s="1"/>
  <c r="H58" i="13"/>
  <c r="AL57" i="13"/>
  <c r="J57" i="13"/>
  <c r="K57" i="13" s="1"/>
  <c r="A105" i="13"/>
  <c r="B104" i="13"/>
  <c r="M99" i="13"/>
  <c r="S98" i="13"/>
  <c r="P98" i="13" s="1"/>
  <c r="Y63" i="11"/>
  <c r="AA63" i="11" s="1"/>
  <c r="AM63" i="11" s="1"/>
  <c r="AD98" i="11"/>
  <c r="I99" i="11"/>
  <c r="J99" i="11" s="1"/>
  <c r="K98" i="11"/>
  <c r="L98" i="11" s="1"/>
  <c r="W98" i="11"/>
  <c r="X98" i="11" s="1"/>
  <c r="Q98" i="11"/>
  <c r="AE98" i="11" s="1"/>
  <c r="N99" i="11"/>
  <c r="S69" i="11"/>
  <c r="B102" i="11"/>
  <c r="C101" i="11"/>
  <c r="S52" i="8"/>
  <c r="I98" i="8"/>
  <c r="J98" i="8" s="1"/>
  <c r="W98" i="8" s="1"/>
  <c r="X98" i="8" s="1"/>
  <c r="AD97" i="8"/>
  <c r="K97" i="8"/>
  <c r="L97" i="8" s="1"/>
  <c r="C100" i="8"/>
  <c r="B101" i="8"/>
  <c r="N100" i="8"/>
  <c r="Q99" i="8"/>
  <c r="AE99" i="8" s="1"/>
  <c r="Y62" i="15" l="1"/>
  <c r="AS62" i="15" s="1"/>
  <c r="AX62" i="15"/>
  <c r="AI62" i="19"/>
  <c r="AZ62" i="19"/>
  <c r="AU56" i="19"/>
  <c r="AA57" i="19"/>
  <c r="AL99" i="19"/>
  <c r="J99" i="19"/>
  <c r="K99" i="19" s="1"/>
  <c r="H100" i="19"/>
  <c r="I100" i="19" s="1"/>
  <c r="AE99" i="19"/>
  <c r="AF99" i="19" s="1"/>
  <c r="Y64" i="19"/>
  <c r="AS64" i="19" s="1"/>
  <c r="AX64" i="19"/>
  <c r="AY59" i="17"/>
  <c r="B103" i="19"/>
  <c r="A104" i="19"/>
  <c r="S102" i="19"/>
  <c r="M103" i="19"/>
  <c r="P101" i="19"/>
  <c r="Q101" i="19" s="1"/>
  <c r="AM101" i="19"/>
  <c r="AG63" i="15"/>
  <c r="AL98" i="18"/>
  <c r="AE98" i="18"/>
  <c r="AF98" i="18" s="1"/>
  <c r="H99" i="18"/>
  <c r="I99" i="18" s="1"/>
  <c r="J98" i="18"/>
  <c r="K98" i="18" s="1"/>
  <c r="AC60" i="15"/>
  <c r="AU60" i="15" s="1"/>
  <c r="AM99" i="18"/>
  <c r="P99" i="18"/>
  <c r="Q99" i="18" s="1"/>
  <c r="M101" i="18"/>
  <c r="S100" i="18"/>
  <c r="AY58" i="18"/>
  <c r="AC58" i="18"/>
  <c r="AU58" i="18" s="1"/>
  <c r="AG63" i="18"/>
  <c r="Y62" i="18"/>
  <c r="AS62" i="18" s="1"/>
  <c r="AX62" i="18"/>
  <c r="A101" i="18"/>
  <c r="B100" i="18"/>
  <c r="W66" i="17"/>
  <c r="AM99" i="17"/>
  <c r="P99" i="17"/>
  <c r="Q99" i="17" s="1"/>
  <c r="S100" i="17"/>
  <c r="M101" i="17"/>
  <c r="AZ61" i="17"/>
  <c r="AI61" i="17"/>
  <c r="AW61" i="17" s="1"/>
  <c r="AI63" i="15"/>
  <c r="AW63" i="15" s="1"/>
  <c r="AZ63" i="15"/>
  <c r="AG64" i="15"/>
  <c r="AA60" i="17"/>
  <c r="AE98" i="17"/>
  <c r="AF98" i="17" s="1"/>
  <c r="AL98" i="17"/>
  <c r="H99" i="17"/>
  <c r="I99" i="17" s="1"/>
  <c r="J98" i="17"/>
  <c r="K98" i="17" s="1"/>
  <c r="A101" i="17"/>
  <c r="B100" i="17"/>
  <c r="H98" i="15"/>
  <c r="I98" i="15" s="1"/>
  <c r="AE97" i="15"/>
  <c r="AF97" i="15" s="1"/>
  <c r="AL97" i="15"/>
  <c r="J97" i="15"/>
  <c r="K97" i="15" s="1"/>
  <c r="M101" i="15"/>
  <c r="S100" i="15"/>
  <c r="A101" i="15"/>
  <c r="B100" i="15"/>
  <c r="AM99" i="15"/>
  <c r="P99" i="15"/>
  <c r="Q99" i="15" s="1"/>
  <c r="AA55" i="13"/>
  <c r="AU54" i="13"/>
  <c r="AZ56" i="13"/>
  <c r="AI56" i="13"/>
  <c r="AW56" i="13" s="1"/>
  <c r="AM98" i="13"/>
  <c r="Q98" i="13"/>
  <c r="I58" i="13"/>
  <c r="A106" i="13"/>
  <c r="B105" i="13"/>
  <c r="S99" i="13"/>
  <c r="P99" i="13" s="1"/>
  <c r="M100" i="13"/>
  <c r="Y64" i="11"/>
  <c r="AA64" i="11" s="1"/>
  <c r="AM64" i="11" s="1"/>
  <c r="I100" i="11"/>
  <c r="J100" i="11" s="1"/>
  <c r="K99" i="11"/>
  <c r="L99" i="11" s="1"/>
  <c r="AD99" i="11"/>
  <c r="W99" i="11"/>
  <c r="X99" i="11" s="1"/>
  <c r="N100" i="11"/>
  <c r="Q99" i="11"/>
  <c r="AE99" i="11" s="1"/>
  <c r="U69" i="11"/>
  <c r="AK69" i="11" s="1"/>
  <c r="C102" i="11"/>
  <c r="B103" i="11"/>
  <c r="U52" i="8"/>
  <c r="S53" i="8" s="1"/>
  <c r="K98" i="8"/>
  <c r="L98" i="8" s="1"/>
  <c r="I99" i="8"/>
  <c r="J99" i="8" s="1"/>
  <c r="W99" i="8" s="1"/>
  <c r="X99" i="8" s="1"/>
  <c r="AD98" i="8"/>
  <c r="C101" i="8"/>
  <c r="B102" i="8"/>
  <c r="N101" i="8"/>
  <c r="Q100" i="8"/>
  <c r="AE100" i="8" s="1"/>
  <c r="W63" i="15" l="1"/>
  <c r="AW62" i="19"/>
  <c r="AG63" i="19"/>
  <c r="AC57" i="19"/>
  <c r="AU57" i="19" s="1"/>
  <c r="AY57" i="19"/>
  <c r="H101" i="19"/>
  <c r="I101" i="19" s="1"/>
  <c r="AE100" i="19"/>
  <c r="AF100" i="19" s="1"/>
  <c r="J100" i="19"/>
  <c r="K100" i="19" s="1"/>
  <c r="AL100" i="19"/>
  <c r="M104" i="19"/>
  <c r="S103" i="19"/>
  <c r="AM102" i="19"/>
  <c r="P102" i="19"/>
  <c r="Q102" i="19" s="1"/>
  <c r="W65" i="19"/>
  <c r="A105" i="19"/>
  <c r="B104" i="19"/>
  <c r="AA61" i="15"/>
  <c r="AA59" i="18"/>
  <c r="AE99" i="18"/>
  <c r="AF99" i="18" s="1"/>
  <c r="J99" i="18"/>
  <c r="K99" i="18" s="1"/>
  <c r="AL99" i="18"/>
  <c r="H100" i="18"/>
  <c r="I100" i="18" s="1"/>
  <c r="W63" i="18"/>
  <c r="AZ63" i="18"/>
  <c r="AI63" i="18"/>
  <c r="AW63" i="18" s="1"/>
  <c r="AY59" i="18"/>
  <c r="AC59" i="18"/>
  <c r="AU59" i="18" s="1"/>
  <c r="A102" i="18"/>
  <c r="B101" i="18"/>
  <c r="P100" i="18"/>
  <c r="Q100" i="18" s="1"/>
  <c r="AM100" i="18"/>
  <c r="M102" i="18"/>
  <c r="S101" i="18"/>
  <c r="AG62" i="17"/>
  <c r="AZ62" i="17" s="1"/>
  <c r="AL99" i="17"/>
  <c r="H100" i="17"/>
  <c r="I100" i="17" s="1"/>
  <c r="AE99" i="17"/>
  <c r="AF99" i="17" s="1"/>
  <c r="J99" i="17"/>
  <c r="K99" i="17" s="1"/>
  <c r="M102" i="17"/>
  <c r="S101" i="17"/>
  <c r="AY60" i="17"/>
  <c r="AC60" i="17"/>
  <c r="AU60" i="17" s="1"/>
  <c r="AM100" i="17"/>
  <c r="P100" i="17"/>
  <c r="Q100" i="17" s="1"/>
  <c r="AZ64" i="15"/>
  <c r="AI64" i="15"/>
  <c r="A102" i="17"/>
  <c r="B101" i="17"/>
  <c r="AX66" i="17"/>
  <c r="Y66" i="17"/>
  <c r="AS66" i="17" s="1"/>
  <c r="B101" i="15"/>
  <c r="A102" i="15"/>
  <c r="M102" i="15"/>
  <c r="S101" i="15"/>
  <c r="AM100" i="15"/>
  <c r="P100" i="15"/>
  <c r="Q100" i="15" s="1"/>
  <c r="AY61" i="15"/>
  <c r="AC61" i="15"/>
  <c r="AU61" i="15" s="1"/>
  <c r="AE98" i="15"/>
  <c r="AF98" i="15" s="1"/>
  <c r="J98" i="15"/>
  <c r="K98" i="15" s="1"/>
  <c r="H99" i="15"/>
  <c r="I99" i="15" s="1"/>
  <c r="AL98" i="15"/>
  <c r="AY55" i="13"/>
  <c r="AC55" i="13"/>
  <c r="AG57" i="13"/>
  <c r="AM99" i="13"/>
  <c r="Q99" i="13"/>
  <c r="H59" i="13"/>
  <c r="AL58" i="13"/>
  <c r="J58" i="13"/>
  <c r="K58" i="13" s="1"/>
  <c r="AE58" i="13"/>
  <c r="AF58" i="13" s="1"/>
  <c r="S100" i="13"/>
  <c r="P100" i="13" s="1"/>
  <c r="M101" i="13"/>
  <c r="A107" i="13"/>
  <c r="B106" i="13"/>
  <c r="S70" i="11"/>
  <c r="B104" i="11"/>
  <c r="C103" i="11"/>
  <c r="AD100" i="11"/>
  <c r="W100" i="11"/>
  <c r="X100" i="11" s="1"/>
  <c r="K100" i="11"/>
  <c r="L100" i="11" s="1"/>
  <c r="I101" i="11"/>
  <c r="J101" i="11" s="1"/>
  <c r="Q100" i="11"/>
  <c r="AE100" i="11" s="1"/>
  <c r="N101" i="11"/>
  <c r="Y65" i="11"/>
  <c r="AK52" i="8"/>
  <c r="AD99" i="8"/>
  <c r="K99" i="8"/>
  <c r="L99" i="8" s="1"/>
  <c r="I100" i="8"/>
  <c r="J100" i="8" s="1"/>
  <c r="W100" i="8" s="1"/>
  <c r="X100" i="8" s="1"/>
  <c r="C102" i="8"/>
  <c r="B103" i="8"/>
  <c r="N102" i="8"/>
  <c r="Q101" i="8"/>
  <c r="AE101" i="8" s="1"/>
  <c r="Y63" i="15" l="1"/>
  <c r="AX63" i="15"/>
  <c r="AA58" i="19"/>
  <c r="AC58" i="19" s="1"/>
  <c r="AU58" i="19" s="1"/>
  <c r="AZ63" i="19"/>
  <c r="AI63" i="19"/>
  <c r="A106" i="19"/>
  <c r="B105" i="19"/>
  <c r="AM103" i="19"/>
  <c r="P103" i="19"/>
  <c r="Q103" i="19" s="1"/>
  <c r="M105" i="19"/>
  <c r="S104" i="19"/>
  <c r="AG64" i="18"/>
  <c r="AX65" i="19"/>
  <c r="Y65" i="19"/>
  <c r="AS65" i="19" s="1"/>
  <c r="J101" i="19"/>
  <c r="K101" i="19" s="1"/>
  <c r="H102" i="19"/>
  <c r="I102" i="19" s="1"/>
  <c r="AL101" i="19"/>
  <c r="AE101" i="19"/>
  <c r="AF101" i="19" s="1"/>
  <c r="AL100" i="18"/>
  <c r="AE100" i="18"/>
  <c r="AF100" i="18" s="1"/>
  <c r="H101" i="18"/>
  <c r="I101" i="18" s="1"/>
  <c r="J100" i="18"/>
  <c r="K100" i="18" s="1"/>
  <c r="B102" i="18"/>
  <c r="A103" i="18"/>
  <c r="W64" i="18"/>
  <c r="AX63" i="18"/>
  <c r="Y63" i="18"/>
  <c r="AS63" i="18" s="1"/>
  <c r="AI64" i="18"/>
  <c r="AW64" i="18" s="1"/>
  <c r="AZ64" i="18"/>
  <c r="AI62" i="17"/>
  <c r="AW62" i="17" s="1"/>
  <c r="AM101" i="18"/>
  <c r="P101" i="18"/>
  <c r="Q101" i="18" s="1"/>
  <c r="AA60" i="18"/>
  <c r="M103" i="18"/>
  <c r="S102" i="18"/>
  <c r="W67" i="17"/>
  <c r="AX67" i="17" s="1"/>
  <c r="J100" i="17"/>
  <c r="K100" i="17" s="1"/>
  <c r="H101" i="17"/>
  <c r="I101" i="17" s="1"/>
  <c r="AL100" i="17"/>
  <c r="AE100" i="17"/>
  <c r="AF100" i="17" s="1"/>
  <c r="AA61" i="17"/>
  <c r="B102" i="17"/>
  <c r="A103" i="17"/>
  <c r="P101" i="17"/>
  <c r="Q101" i="17" s="1"/>
  <c r="AM101" i="17"/>
  <c r="AW64" i="15"/>
  <c r="AG65" i="15"/>
  <c r="M103" i="17"/>
  <c r="S102" i="17"/>
  <c r="J99" i="15"/>
  <c r="K99" i="15" s="1"/>
  <c r="H100" i="15"/>
  <c r="I100" i="15" s="1"/>
  <c r="AL99" i="15"/>
  <c r="AE99" i="15"/>
  <c r="AF99" i="15" s="1"/>
  <c r="AA62" i="15"/>
  <c r="P101" i="15"/>
  <c r="Q101" i="15" s="1"/>
  <c r="AM101" i="15"/>
  <c r="S102" i="15"/>
  <c r="M103" i="15"/>
  <c r="A103" i="15"/>
  <c r="B102" i="15"/>
  <c r="AU55" i="13"/>
  <c r="AA56" i="13"/>
  <c r="AZ57" i="13"/>
  <c r="AI57" i="13"/>
  <c r="AW57" i="13" s="1"/>
  <c r="AM100" i="13"/>
  <c r="Q100" i="13"/>
  <c r="I59" i="13"/>
  <c r="S101" i="13"/>
  <c r="P101" i="13" s="1"/>
  <c r="M102" i="13"/>
  <c r="B107" i="13"/>
  <c r="A108" i="13"/>
  <c r="K101" i="11"/>
  <c r="L101" i="11" s="1"/>
  <c r="I102" i="11"/>
  <c r="J102" i="11" s="1"/>
  <c r="AD101" i="11"/>
  <c r="W101" i="11"/>
  <c r="X101" i="11" s="1"/>
  <c r="AA65" i="11"/>
  <c r="AM65" i="11" s="1"/>
  <c r="Q101" i="11"/>
  <c r="AE101" i="11" s="1"/>
  <c r="N102" i="11"/>
  <c r="C104" i="11"/>
  <c r="B105" i="11"/>
  <c r="U70" i="11"/>
  <c r="AK70" i="11" s="1"/>
  <c r="U53" i="8"/>
  <c r="AD100" i="8"/>
  <c r="K100" i="8"/>
  <c r="L100" i="8" s="1"/>
  <c r="I101" i="8"/>
  <c r="J101" i="8" s="1"/>
  <c r="W101" i="8" s="1"/>
  <c r="X101" i="8" s="1"/>
  <c r="B104" i="8"/>
  <c r="C103" i="8"/>
  <c r="N103" i="8"/>
  <c r="Q102" i="8"/>
  <c r="AE102" i="8" s="1"/>
  <c r="AS63" i="15" l="1"/>
  <c r="W64" i="15"/>
  <c r="AY58" i="19"/>
  <c r="AW63" i="19"/>
  <c r="AG64" i="19"/>
  <c r="AA59" i="19"/>
  <c r="AY59" i="19" s="1"/>
  <c r="W66" i="19"/>
  <c r="AX66" i="19" s="1"/>
  <c r="J102" i="19"/>
  <c r="K102" i="19" s="1"/>
  <c r="AL102" i="19"/>
  <c r="AE102" i="19"/>
  <c r="AF102" i="19" s="1"/>
  <c r="H103" i="19"/>
  <c r="I103" i="19" s="1"/>
  <c r="P104" i="19"/>
  <c r="Q104" i="19" s="1"/>
  <c r="AM104" i="19"/>
  <c r="M106" i="19"/>
  <c r="S105" i="19"/>
  <c r="A107" i="19"/>
  <c r="B106" i="19"/>
  <c r="AG65" i="18"/>
  <c r="J101" i="18"/>
  <c r="K101" i="18" s="1"/>
  <c r="H102" i="18"/>
  <c r="I102" i="18" s="1"/>
  <c r="AL101" i="18"/>
  <c r="AE101" i="18"/>
  <c r="AF101" i="18" s="1"/>
  <c r="AX64" i="18"/>
  <c r="Y64" i="18"/>
  <c r="AS64" i="18" s="1"/>
  <c r="W65" i="18"/>
  <c r="AG63" i="17"/>
  <c r="A104" i="18"/>
  <c r="B103" i="18"/>
  <c r="AM102" i="18"/>
  <c r="P102" i="18"/>
  <c r="Q102" i="18" s="1"/>
  <c r="S103" i="18"/>
  <c r="M104" i="18"/>
  <c r="AZ65" i="18"/>
  <c r="AI65" i="18"/>
  <c r="AW65" i="18" s="1"/>
  <c r="AY60" i="18"/>
  <c r="AC60" i="18"/>
  <c r="AU60" i="18" s="1"/>
  <c r="Y67" i="17"/>
  <c r="AS67" i="17" s="1"/>
  <c r="H102" i="17"/>
  <c r="AE101" i="17"/>
  <c r="AF101" i="17" s="1"/>
  <c r="J101" i="17"/>
  <c r="K101" i="17" s="1"/>
  <c r="AL101" i="17"/>
  <c r="I102" i="17"/>
  <c r="B103" i="17"/>
  <c r="A104" i="17"/>
  <c r="P102" i="17"/>
  <c r="Q102" i="17" s="1"/>
  <c r="AM102" i="17"/>
  <c r="AY61" i="17"/>
  <c r="AC61" i="17"/>
  <c r="AU61" i="17" s="1"/>
  <c r="M104" i="17"/>
  <c r="S103" i="17"/>
  <c r="AI65" i="15"/>
  <c r="AZ65" i="15"/>
  <c r="W68" i="17"/>
  <c r="J100" i="15"/>
  <c r="K100" i="15" s="1"/>
  <c r="H101" i="15"/>
  <c r="I101" i="15" s="1"/>
  <c r="AE100" i="15"/>
  <c r="AF100" i="15" s="1"/>
  <c r="AL100" i="15"/>
  <c r="A104" i="15"/>
  <c r="B103" i="15"/>
  <c r="P102" i="15"/>
  <c r="Q102" i="15" s="1"/>
  <c r="AM102" i="15"/>
  <c r="M104" i="15"/>
  <c r="S103" i="15"/>
  <c r="AY62" i="15"/>
  <c r="AC62" i="15"/>
  <c r="AU62" i="15" s="1"/>
  <c r="AY56" i="13"/>
  <c r="AC56" i="13"/>
  <c r="AG58" i="13"/>
  <c r="AM101" i="13"/>
  <c r="Q101" i="13"/>
  <c r="AE59" i="13"/>
  <c r="AF59" i="13" s="1"/>
  <c r="H60" i="13"/>
  <c r="J59" i="13"/>
  <c r="K59" i="13" s="1"/>
  <c r="AL59" i="13"/>
  <c r="M103" i="13"/>
  <c r="S102" i="13"/>
  <c r="P102" i="13" s="1"/>
  <c r="A109" i="13"/>
  <c r="B108" i="13"/>
  <c r="S71" i="11"/>
  <c r="U71" i="11" s="1"/>
  <c r="AK71" i="11" s="1"/>
  <c r="W102" i="11"/>
  <c r="X102" i="11" s="1"/>
  <c r="AD102" i="11"/>
  <c r="I103" i="11"/>
  <c r="J103" i="11" s="1"/>
  <c r="K102" i="11"/>
  <c r="L102" i="11" s="1"/>
  <c r="Y66" i="11"/>
  <c r="B106" i="11"/>
  <c r="C105" i="11"/>
  <c r="N103" i="11"/>
  <c r="Q102" i="11"/>
  <c r="AE102" i="11" s="1"/>
  <c r="AK53" i="8"/>
  <c r="S54" i="8"/>
  <c r="AD101" i="8"/>
  <c r="I102" i="8"/>
  <c r="J102" i="8" s="1"/>
  <c r="W102" i="8" s="1"/>
  <c r="X102" i="8" s="1"/>
  <c r="K101" i="8"/>
  <c r="L101" i="8" s="1"/>
  <c r="C104" i="8"/>
  <c r="B105" i="8"/>
  <c r="Q103" i="8"/>
  <c r="AE103" i="8" s="1"/>
  <c r="N104" i="8"/>
  <c r="Y64" i="15" l="1"/>
  <c r="AS64" i="15" s="1"/>
  <c r="AX64" i="15"/>
  <c r="AC59" i="19"/>
  <c r="AU59" i="19" s="1"/>
  <c r="AI64" i="19"/>
  <c r="AZ64" i="19"/>
  <c r="AA60" i="19"/>
  <c r="AC60" i="19" s="1"/>
  <c r="Y66" i="19"/>
  <c r="AS66" i="19" s="1"/>
  <c r="H104" i="19"/>
  <c r="I104" i="19" s="1"/>
  <c r="AE103" i="19"/>
  <c r="AF103" i="19" s="1"/>
  <c r="J103" i="19"/>
  <c r="K103" i="19" s="1"/>
  <c r="AL103" i="19"/>
  <c r="AM105" i="19"/>
  <c r="P105" i="19"/>
  <c r="Q105" i="19" s="1"/>
  <c r="A108" i="19"/>
  <c r="B107" i="19"/>
  <c r="M107" i="19"/>
  <c r="S106" i="19"/>
  <c r="AL102" i="18"/>
  <c r="H103" i="18"/>
  <c r="I103" i="18" s="1"/>
  <c r="AE102" i="18"/>
  <c r="AF102" i="18" s="1"/>
  <c r="J102" i="18"/>
  <c r="K102" i="18" s="1"/>
  <c r="P103" i="18"/>
  <c r="Q103" i="18" s="1"/>
  <c r="AM103" i="18"/>
  <c r="S104" i="18"/>
  <c r="M105" i="18"/>
  <c r="AA61" i="18"/>
  <c r="AG66" i="18"/>
  <c r="A105" i="18"/>
  <c r="B104" i="18"/>
  <c r="AX65" i="18"/>
  <c r="Y65" i="18"/>
  <c r="AS65" i="18" s="1"/>
  <c r="AI63" i="17"/>
  <c r="AZ63" i="17"/>
  <c r="P103" i="17"/>
  <c r="Q103" i="17" s="1"/>
  <c r="AM103" i="17"/>
  <c r="A105" i="17"/>
  <c r="B104" i="17"/>
  <c r="M105" i="17"/>
  <c r="S104" i="17"/>
  <c r="H103" i="17"/>
  <c r="I103" i="17" s="1"/>
  <c r="AL102" i="17"/>
  <c r="J102" i="17"/>
  <c r="K102" i="17" s="1"/>
  <c r="AE102" i="17"/>
  <c r="AF102" i="17" s="1"/>
  <c r="AW65" i="15"/>
  <c r="AG66" i="15"/>
  <c r="AA62" i="17"/>
  <c r="AX68" i="17"/>
  <c r="Y68" i="17"/>
  <c r="AS68" i="17" s="1"/>
  <c r="AL101" i="15"/>
  <c r="H102" i="15"/>
  <c r="I102" i="15" s="1"/>
  <c r="AE101" i="15"/>
  <c r="AF101" i="15" s="1"/>
  <c r="J101" i="15"/>
  <c r="K101" i="15" s="1"/>
  <c r="AM103" i="15"/>
  <c r="P103" i="15"/>
  <c r="Q103" i="15" s="1"/>
  <c r="S104" i="15"/>
  <c r="M105" i="15"/>
  <c r="B104" i="15"/>
  <c r="A105" i="15"/>
  <c r="AA63" i="15"/>
  <c r="AA57" i="13"/>
  <c r="AU56" i="13"/>
  <c r="AZ58" i="13"/>
  <c r="AI58" i="13"/>
  <c r="AW58" i="13" s="1"/>
  <c r="AM102" i="13"/>
  <c r="Q102" i="13"/>
  <c r="I60" i="13"/>
  <c r="S103" i="13"/>
  <c r="P103" i="13" s="1"/>
  <c r="M104" i="13"/>
  <c r="A110" i="13"/>
  <c r="B109" i="13"/>
  <c r="I104" i="11"/>
  <c r="J104" i="11" s="1"/>
  <c r="K103" i="11"/>
  <c r="L103" i="11" s="1"/>
  <c r="W103" i="11"/>
  <c r="X103" i="11" s="1"/>
  <c r="AD103" i="11"/>
  <c r="AA66" i="11"/>
  <c r="AM66" i="11" s="1"/>
  <c r="S72" i="11"/>
  <c r="N104" i="11"/>
  <c r="Q103" i="11"/>
  <c r="AE103" i="11" s="1"/>
  <c r="C106" i="11"/>
  <c r="B107" i="11"/>
  <c r="U54" i="8"/>
  <c r="S55" i="8" s="1"/>
  <c r="AD102" i="8"/>
  <c r="K102" i="8"/>
  <c r="L102" i="8" s="1"/>
  <c r="I103" i="8"/>
  <c r="J103" i="8" s="1"/>
  <c r="W103" i="8" s="1"/>
  <c r="X103" i="8" s="1"/>
  <c r="C105" i="8"/>
  <c r="B106" i="8"/>
  <c r="Q104" i="8"/>
  <c r="AE104" i="8" s="1"/>
  <c r="N105" i="8"/>
  <c r="W65" i="15" l="1"/>
  <c r="AY60" i="19"/>
  <c r="AW64" i="19"/>
  <c r="AG65" i="19"/>
  <c r="W67" i="19"/>
  <c r="AX67" i="19" s="1"/>
  <c r="AU60" i="19"/>
  <c r="AA61" i="19"/>
  <c r="AM106" i="19"/>
  <c r="P106" i="19"/>
  <c r="Q106" i="19" s="1"/>
  <c r="S107" i="19"/>
  <c r="M108" i="19"/>
  <c r="A109" i="19"/>
  <c r="B108" i="19"/>
  <c r="AL104" i="19"/>
  <c r="AE104" i="19"/>
  <c r="AF104" i="19" s="1"/>
  <c r="J104" i="19"/>
  <c r="K104" i="19" s="1"/>
  <c r="H105" i="19"/>
  <c r="I105" i="19" s="1"/>
  <c r="W66" i="18"/>
  <c r="Y66" i="18" s="1"/>
  <c r="AS66" i="18" s="1"/>
  <c r="J103" i="18"/>
  <c r="K103" i="18" s="1"/>
  <c r="AL103" i="18"/>
  <c r="AE103" i="18"/>
  <c r="AF103" i="18" s="1"/>
  <c r="H104" i="18"/>
  <c r="I104" i="18" s="1"/>
  <c r="P104" i="18"/>
  <c r="Q104" i="18" s="1"/>
  <c r="AM104" i="18"/>
  <c r="A106" i="18"/>
  <c r="B105" i="18"/>
  <c r="AI66" i="18"/>
  <c r="AW66" i="18" s="1"/>
  <c r="AZ66" i="18"/>
  <c r="AW63" i="17"/>
  <c r="AG64" i="17"/>
  <c r="AY61" i="18"/>
  <c r="AC61" i="18"/>
  <c r="AU61" i="18" s="1"/>
  <c r="S105" i="18"/>
  <c r="M106" i="18"/>
  <c r="W69" i="17"/>
  <c r="AE103" i="17"/>
  <c r="AF103" i="17" s="1"/>
  <c r="H104" i="17"/>
  <c r="I104" i="17" s="1"/>
  <c r="AL103" i="17"/>
  <c r="J103" i="17"/>
  <c r="K103" i="17" s="1"/>
  <c r="AY62" i="17"/>
  <c r="AC62" i="17"/>
  <c r="AU62" i="17" s="1"/>
  <c r="AM104" i="17"/>
  <c r="P104" i="17"/>
  <c r="Q104" i="17" s="1"/>
  <c r="AZ66" i="15"/>
  <c r="AI66" i="15"/>
  <c r="AW66" i="15" s="1"/>
  <c r="M106" i="17"/>
  <c r="S105" i="17"/>
  <c r="Y69" i="17"/>
  <c r="AS69" i="17" s="1"/>
  <c r="AX69" i="17"/>
  <c r="B105" i="17"/>
  <c r="A106" i="17"/>
  <c r="AM104" i="15"/>
  <c r="P104" i="15"/>
  <c r="Q104" i="15" s="1"/>
  <c r="AL102" i="15"/>
  <c r="H103" i="15"/>
  <c r="I103" i="15" s="1"/>
  <c r="AE102" i="15"/>
  <c r="AF102" i="15" s="1"/>
  <c r="J102" i="15"/>
  <c r="K102" i="15" s="1"/>
  <c r="AY63" i="15"/>
  <c r="AC63" i="15"/>
  <c r="AU63" i="15" s="1"/>
  <c r="A106" i="15"/>
  <c r="B105" i="15"/>
  <c r="M106" i="15"/>
  <c r="S105" i="15"/>
  <c r="AY57" i="13"/>
  <c r="AC57" i="13"/>
  <c r="AG59" i="13"/>
  <c r="AM103" i="13"/>
  <c r="Q103" i="13"/>
  <c r="AE60" i="13"/>
  <c r="AF60" i="13" s="1"/>
  <c r="J60" i="13"/>
  <c r="K60" i="13" s="1"/>
  <c r="H61" i="13"/>
  <c r="AL60" i="13"/>
  <c r="S104" i="13"/>
  <c r="P104" i="13" s="1"/>
  <c r="M105" i="13"/>
  <c r="A111" i="13"/>
  <c r="B110" i="13"/>
  <c r="Y67" i="11"/>
  <c r="AA67" i="11" s="1"/>
  <c r="AM67" i="11" s="1"/>
  <c r="AD104" i="11"/>
  <c r="W104" i="11"/>
  <c r="X104" i="11" s="1"/>
  <c r="I105" i="11"/>
  <c r="J105" i="11" s="1"/>
  <c r="K104" i="11"/>
  <c r="L104" i="11" s="1"/>
  <c r="B108" i="11"/>
  <c r="C107" i="11"/>
  <c r="Q104" i="11"/>
  <c r="AE104" i="11" s="1"/>
  <c r="N105" i="11"/>
  <c r="U72" i="11"/>
  <c r="AK72" i="11" s="1"/>
  <c r="AK54" i="8"/>
  <c r="I104" i="8"/>
  <c r="J104" i="8" s="1"/>
  <c r="W104" i="8" s="1"/>
  <c r="X104" i="8" s="1"/>
  <c r="K103" i="8"/>
  <c r="L103" i="8" s="1"/>
  <c r="AD103" i="8"/>
  <c r="B107" i="8"/>
  <c r="C106" i="8"/>
  <c r="Q105" i="8"/>
  <c r="AE105" i="8" s="1"/>
  <c r="N106" i="8"/>
  <c r="AX65" i="15" l="1"/>
  <c r="Y65" i="15"/>
  <c r="AS65" i="15" s="1"/>
  <c r="Y67" i="19"/>
  <c r="AS67" i="19" s="1"/>
  <c r="AZ65" i="19"/>
  <c r="AI65" i="19"/>
  <c r="AW65" i="19" s="1"/>
  <c r="AY61" i="19"/>
  <c r="AC61" i="19"/>
  <c r="AE105" i="19"/>
  <c r="AF105" i="19" s="1"/>
  <c r="H106" i="19"/>
  <c r="I106" i="19" s="1"/>
  <c r="J105" i="19"/>
  <c r="K105" i="19" s="1"/>
  <c r="AL105" i="19"/>
  <c r="B109" i="19"/>
  <c r="A110" i="19"/>
  <c r="M109" i="19"/>
  <c r="S108" i="19"/>
  <c r="AM107" i="19"/>
  <c r="P107" i="19"/>
  <c r="Q107" i="19" s="1"/>
  <c r="AX66" i="18"/>
  <c r="AG67" i="18"/>
  <c r="AI67" i="18" s="1"/>
  <c r="AW67" i="18" s="1"/>
  <c r="J104" i="18"/>
  <c r="K104" i="18" s="1"/>
  <c r="H105" i="18"/>
  <c r="I105" i="18" s="1"/>
  <c r="AE104" i="18"/>
  <c r="AF104" i="18" s="1"/>
  <c r="AL104" i="18"/>
  <c r="S106" i="18"/>
  <c r="M107" i="18"/>
  <c r="P105" i="18"/>
  <c r="Q105" i="18" s="1"/>
  <c r="AM105" i="18"/>
  <c r="AZ67" i="18"/>
  <c r="A107" i="18"/>
  <c r="B106" i="18"/>
  <c r="AA62" i="18"/>
  <c r="AI64" i="17"/>
  <c r="AZ64" i="17"/>
  <c r="W67" i="18"/>
  <c r="AG67" i="15"/>
  <c r="W70" i="17"/>
  <c r="J104" i="17"/>
  <c r="K104" i="17" s="1"/>
  <c r="AE104" i="17"/>
  <c r="AF104" i="17" s="1"/>
  <c r="H105" i="17"/>
  <c r="I105" i="17" s="1"/>
  <c r="AL104" i="17"/>
  <c r="A107" i="17"/>
  <c r="B106" i="17"/>
  <c r="AA63" i="17"/>
  <c r="AI67" i="15"/>
  <c r="AZ67" i="15"/>
  <c r="Y70" i="17"/>
  <c r="AS70" i="17" s="1"/>
  <c r="AX70" i="17"/>
  <c r="AM105" i="17"/>
  <c r="P105" i="17"/>
  <c r="Q105" i="17" s="1"/>
  <c r="S106" i="17"/>
  <c r="M107" i="17"/>
  <c r="AE103" i="15"/>
  <c r="AF103" i="15" s="1"/>
  <c r="J103" i="15"/>
  <c r="K103" i="15" s="1"/>
  <c r="H104" i="15"/>
  <c r="I104" i="15" s="1"/>
  <c r="AL103" i="15"/>
  <c r="AA64" i="15"/>
  <c r="A107" i="15"/>
  <c r="B106" i="15"/>
  <c r="AM105" i="15"/>
  <c r="P105" i="15"/>
  <c r="Q105" i="15" s="1"/>
  <c r="M107" i="15"/>
  <c r="S106" i="15"/>
  <c r="AU57" i="13"/>
  <c r="AA58" i="13"/>
  <c r="AZ59" i="13"/>
  <c r="AI59" i="13"/>
  <c r="AW59" i="13" s="1"/>
  <c r="AM104" i="13"/>
  <c r="Q104" i="13"/>
  <c r="I61" i="13"/>
  <c r="S105" i="13"/>
  <c r="P105" i="13" s="1"/>
  <c r="M106" i="13"/>
  <c r="B111" i="13"/>
  <c r="A112" i="13"/>
  <c r="B112" i="13" s="1"/>
  <c r="Y68" i="11"/>
  <c r="AA68" i="11" s="1"/>
  <c r="AM68" i="11" s="1"/>
  <c r="K105" i="11"/>
  <c r="L105" i="11" s="1"/>
  <c r="I106" i="11"/>
  <c r="J106" i="11" s="1"/>
  <c r="AD105" i="11"/>
  <c r="W105" i="11"/>
  <c r="X105" i="11" s="1"/>
  <c r="S73" i="11"/>
  <c r="N106" i="11"/>
  <c r="Q105" i="11"/>
  <c r="AE105" i="11" s="1"/>
  <c r="C108" i="11"/>
  <c r="B109" i="11"/>
  <c r="U55" i="8"/>
  <c r="Q106" i="8"/>
  <c r="AE106" i="8" s="1"/>
  <c r="N107" i="8"/>
  <c r="I105" i="8"/>
  <c r="J105" i="8" s="1"/>
  <c r="W105" i="8" s="1"/>
  <c r="X105" i="8" s="1"/>
  <c r="AD104" i="8"/>
  <c r="K104" i="8"/>
  <c r="L104" i="8" s="1"/>
  <c r="B108" i="8"/>
  <c r="C107" i="8"/>
  <c r="W66" i="15" l="1"/>
  <c r="W68" i="19"/>
  <c r="Y68" i="19" s="1"/>
  <c r="AS68" i="19" s="1"/>
  <c r="AG66" i="19"/>
  <c r="AI66" i="19" s="1"/>
  <c r="AU61" i="19"/>
  <c r="AA62" i="19"/>
  <c r="J106" i="19"/>
  <c r="K106" i="19" s="1"/>
  <c r="H107" i="19"/>
  <c r="I107" i="19" s="1"/>
  <c r="AL106" i="19"/>
  <c r="AE106" i="19"/>
  <c r="AF106" i="19" s="1"/>
  <c r="A111" i="19"/>
  <c r="B110" i="19"/>
  <c r="AM108" i="19"/>
  <c r="P108" i="19"/>
  <c r="Q108" i="19" s="1"/>
  <c r="M110" i="19"/>
  <c r="S109" i="19"/>
  <c r="AG68" i="18"/>
  <c r="AZ68" i="18" s="1"/>
  <c r="J105" i="18"/>
  <c r="K105" i="18" s="1"/>
  <c r="H106" i="18"/>
  <c r="I106" i="18" s="1"/>
  <c r="AE105" i="18"/>
  <c r="AF105" i="18" s="1"/>
  <c r="AL105" i="18"/>
  <c r="AY62" i="18"/>
  <c r="AC62" i="18"/>
  <c r="AU62" i="18" s="1"/>
  <c r="M108" i="18"/>
  <c r="S107" i="18"/>
  <c r="P106" i="18"/>
  <c r="Q106" i="18" s="1"/>
  <c r="AM106" i="18"/>
  <c r="AW64" i="17"/>
  <c r="AG65" i="17"/>
  <c r="A108" i="18"/>
  <c r="B107" i="18"/>
  <c r="AI68" i="18"/>
  <c r="AW68" i="18" s="1"/>
  <c r="Y67" i="18"/>
  <c r="AS67" i="18" s="1"/>
  <c r="AX67" i="18"/>
  <c r="W71" i="17"/>
  <c r="A108" i="17"/>
  <c r="B107" i="17"/>
  <c r="Y71" i="17"/>
  <c r="AS71" i="17" s="1"/>
  <c r="AX71" i="17"/>
  <c r="AL105" i="17"/>
  <c r="H106" i="17"/>
  <c r="I106" i="17" s="1"/>
  <c r="J105" i="17"/>
  <c r="K105" i="17" s="1"/>
  <c r="AE105" i="17"/>
  <c r="AF105" i="17" s="1"/>
  <c r="M108" i="17"/>
  <c r="S107" i="17"/>
  <c r="AY63" i="17"/>
  <c r="AC63" i="17"/>
  <c r="AU63" i="17" s="1"/>
  <c r="P106" i="17"/>
  <c r="Q106" i="17" s="1"/>
  <c r="AM106" i="17"/>
  <c r="AW67" i="15"/>
  <c r="AG68" i="15"/>
  <c r="J104" i="15"/>
  <c r="K104" i="15" s="1"/>
  <c r="AL104" i="15"/>
  <c r="H105" i="15"/>
  <c r="I105" i="15" s="1"/>
  <c r="AE104" i="15"/>
  <c r="AF104" i="15" s="1"/>
  <c r="AY64" i="15"/>
  <c r="AC64" i="15"/>
  <c r="AU64" i="15" s="1"/>
  <c r="S107" i="15"/>
  <c r="M108" i="15"/>
  <c r="B107" i="15"/>
  <c r="A108" i="15"/>
  <c r="P106" i="15"/>
  <c r="Q106" i="15" s="1"/>
  <c r="AM106" i="15"/>
  <c r="AY58" i="13"/>
  <c r="AC58" i="13"/>
  <c r="AG60" i="13"/>
  <c r="AM105" i="13"/>
  <c r="Q105" i="13"/>
  <c r="J61" i="13"/>
  <c r="K61" i="13" s="1"/>
  <c r="H62" i="13"/>
  <c r="AL61" i="13"/>
  <c r="AE61" i="13"/>
  <c r="AF61" i="13" s="1"/>
  <c r="M107" i="13"/>
  <c r="S106" i="13"/>
  <c r="P106" i="13" s="1"/>
  <c r="Y69" i="11"/>
  <c r="B110" i="11"/>
  <c r="C109" i="11"/>
  <c r="W106" i="11"/>
  <c r="X106" i="11" s="1"/>
  <c r="AD106" i="11"/>
  <c r="K106" i="11"/>
  <c r="L106" i="11" s="1"/>
  <c r="I107" i="11"/>
  <c r="J107" i="11" s="1"/>
  <c r="N107" i="11"/>
  <c r="Q106" i="11"/>
  <c r="AE106" i="11" s="1"/>
  <c r="U73" i="11"/>
  <c r="AK73" i="11" s="1"/>
  <c r="AK55" i="8"/>
  <c r="S56" i="8"/>
  <c r="I106" i="8"/>
  <c r="J106" i="8" s="1"/>
  <c r="W106" i="8" s="1"/>
  <c r="X106" i="8" s="1"/>
  <c r="K105" i="8"/>
  <c r="L105" i="8" s="1"/>
  <c r="AD105" i="8"/>
  <c r="N108" i="8"/>
  <c r="Q107" i="8"/>
  <c r="AE107" i="8" s="1"/>
  <c r="C108" i="8"/>
  <c r="B109" i="8"/>
  <c r="Y66" i="15" l="1"/>
  <c r="AS66" i="15" s="1"/>
  <c r="AX66" i="15"/>
  <c r="W67" i="15"/>
  <c r="W69" i="19"/>
  <c r="AX69" i="19" s="1"/>
  <c r="AZ66" i="19"/>
  <c r="AX68" i="19"/>
  <c r="AW66" i="19"/>
  <c r="AG67" i="19"/>
  <c r="Y69" i="19"/>
  <c r="AS69" i="19" s="1"/>
  <c r="AY62" i="19"/>
  <c r="AC62" i="19"/>
  <c r="AU62" i="19" s="1"/>
  <c r="AL107" i="19"/>
  <c r="J107" i="19"/>
  <c r="K107" i="19" s="1"/>
  <c r="H108" i="19"/>
  <c r="I108" i="19" s="1"/>
  <c r="AE107" i="19"/>
  <c r="AF107" i="19" s="1"/>
  <c r="A112" i="19"/>
  <c r="B112" i="19" s="1"/>
  <c r="B111" i="19"/>
  <c r="P109" i="19"/>
  <c r="Q109" i="19" s="1"/>
  <c r="AM109" i="19"/>
  <c r="S110" i="19"/>
  <c r="M111" i="19"/>
  <c r="H107" i="18"/>
  <c r="I107" i="18" s="1"/>
  <c r="AE106" i="18"/>
  <c r="AF106" i="18" s="1"/>
  <c r="AL106" i="18"/>
  <c r="J106" i="18"/>
  <c r="K106" i="18" s="1"/>
  <c r="A109" i="18"/>
  <c r="B108" i="18"/>
  <c r="AZ65" i="17"/>
  <c r="AI65" i="17"/>
  <c r="AW65" i="17" s="1"/>
  <c r="AA63" i="18"/>
  <c r="W68" i="18"/>
  <c r="P107" i="18"/>
  <c r="Q107" i="18" s="1"/>
  <c r="AM107" i="18"/>
  <c r="AG69" i="18"/>
  <c r="M109" i="18"/>
  <c r="S108" i="18"/>
  <c r="AA64" i="17"/>
  <c r="AY64" i="17" s="1"/>
  <c r="W72" i="17"/>
  <c r="AE106" i="17"/>
  <c r="AF106" i="17" s="1"/>
  <c r="H107" i="17"/>
  <c r="I107" i="17" s="1"/>
  <c r="AL106" i="17"/>
  <c r="J106" i="17"/>
  <c r="K106" i="17" s="1"/>
  <c r="AI68" i="15"/>
  <c r="AW68" i="15" s="1"/>
  <c r="AZ68" i="15"/>
  <c r="Y72" i="17"/>
  <c r="AS72" i="17" s="1"/>
  <c r="AX72" i="17"/>
  <c r="AM107" i="17"/>
  <c r="P107" i="17"/>
  <c r="Q107" i="17" s="1"/>
  <c r="S108" i="17"/>
  <c r="M109" i="17"/>
  <c r="B108" i="17"/>
  <c r="A109" i="17"/>
  <c r="H106" i="15"/>
  <c r="I106" i="15" s="1"/>
  <c r="AE105" i="15"/>
  <c r="AF105" i="15" s="1"/>
  <c r="AL105" i="15"/>
  <c r="J105" i="15"/>
  <c r="K105" i="15" s="1"/>
  <c r="AA65" i="15"/>
  <c r="M109" i="15"/>
  <c r="S108" i="15"/>
  <c r="A109" i="15"/>
  <c r="B108" i="15"/>
  <c r="P107" i="15"/>
  <c r="Q107" i="15" s="1"/>
  <c r="AM107" i="15"/>
  <c r="AU58" i="13"/>
  <c r="AA59" i="13"/>
  <c r="AZ60" i="13"/>
  <c r="AI60" i="13"/>
  <c r="AW60" i="13" s="1"/>
  <c r="AM106" i="13"/>
  <c r="Q106" i="13"/>
  <c r="I62" i="13"/>
  <c r="S107" i="13"/>
  <c r="P107" i="13" s="1"/>
  <c r="M108" i="13"/>
  <c r="S74" i="11"/>
  <c r="U74" i="11" s="1"/>
  <c r="AK74" i="11" s="1"/>
  <c r="I108" i="11"/>
  <c r="J108" i="11" s="1"/>
  <c r="K107" i="11"/>
  <c r="L107" i="11" s="1"/>
  <c r="W107" i="11"/>
  <c r="X107" i="11" s="1"/>
  <c r="AD107" i="11"/>
  <c r="C110" i="11"/>
  <c r="B111" i="11"/>
  <c r="N108" i="11"/>
  <c r="Q107" i="11"/>
  <c r="AE107" i="11" s="1"/>
  <c r="AA69" i="11"/>
  <c r="AM69" i="11" s="1"/>
  <c r="U56" i="8"/>
  <c r="AK56" i="8" s="1"/>
  <c r="K106" i="8"/>
  <c r="L106" i="8" s="1"/>
  <c r="AD106" i="8"/>
  <c r="I107" i="8"/>
  <c r="J107" i="8" s="1"/>
  <c r="W107" i="8" s="1"/>
  <c r="X107" i="8" s="1"/>
  <c r="C109" i="8"/>
  <c r="B110" i="8"/>
  <c r="N109" i="8"/>
  <c r="Q108" i="8"/>
  <c r="AE108" i="8" s="1"/>
  <c r="AX67" i="15" l="1"/>
  <c r="Y67" i="15"/>
  <c r="AS67" i="15" s="1"/>
  <c r="W70" i="19"/>
  <c r="Y70" i="19" s="1"/>
  <c r="AS70" i="19" s="1"/>
  <c r="AA63" i="19"/>
  <c r="AY63" i="19" s="1"/>
  <c r="AZ67" i="19"/>
  <c r="AI67" i="19"/>
  <c r="H109" i="19"/>
  <c r="I109" i="19" s="1"/>
  <c r="AE108" i="19"/>
  <c r="AF108" i="19" s="1"/>
  <c r="J108" i="19"/>
  <c r="K108" i="19" s="1"/>
  <c r="AL108" i="19"/>
  <c r="M112" i="19"/>
  <c r="S111" i="19"/>
  <c r="AM110" i="19"/>
  <c r="P110" i="19"/>
  <c r="Q110" i="19" s="1"/>
  <c r="AI69" i="18"/>
  <c r="AW69" i="18" s="1"/>
  <c r="AZ69" i="18"/>
  <c r="A110" i="18"/>
  <c r="B109" i="18"/>
  <c r="H108" i="18"/>
  <c r="I108" i="18" s="1"/>
  <c r="AE107" i="18"/>
  <c r="AF107" i="18" s="1"/>
  <c r="J107" i="18"/>
  <c r="K107" i="18" s="1"/>
  <c r="AL107" i="18"/>
  <c r="AX68" i="18"/>
  <c r="Y68" i="18"/>
  <c r="AS68" i="18" s="1"/>
  <c r="AY63" i="18"/>
  <c r="AC63" i="18"/>
  <c r="AU63" i="18" s="1"/>
  <c r="AC64" i="17"/>
  <c r="AU64" i="17" s="1"/>
  <c r="AM108" i="18"/>
  <c r="P108" i="18"/>
  <c r="Q108" i="18" s="1"/>
  <c r="AG66" i="17"/>
  <c r="M110" i="18"/>
  <c r="S109" i="18"/>
  <c r="AL107" i="17"/>
  <c r="J107" i="17"/>
  <c r="K107" i="17" s="1"/>
  <c r="AE107" i="17"/>
  <c r="AF107" i="17" s="1"/>
  <c r="H108" i="17"/>
  <c r="I108" i="17" s="1"/>
  <c r="S109" i="17"/>
  <c r="M110" i="17"/>
  <c r="AM108" i="17"/>
  <c r="P108" i="17"/>
  <c r="Q108" i="17" s="1"/>
  <c r="W73" i="17"/>
  <c r="A110" i="17"/>
  <c r="B109" i="17"/>
  <c r="AG69" i="15"/>
  <c r="AY65" i="15"/>
  <c r="AC65" i="15"/>
  <c r="AU65" i="15" s="1"/>
  <c r="M110" i="15"/>
  <c r="S109" i="15"/>
  <c r="AE106" i="15"/>
  <c r="AF106" i="15" s="1"/>
  <c r="J106" i="15"/>
  <c r="K106" i="15" s="1"/>
  <c r="H107" i="15"/>
  <c r="I107" i="15" s="1"/>
  <c r="AL106" i="15"/>
  <c r="AM108" i="15"/>
  <c r="P108" i="15"/>
  <c r="Q108" i="15" s="1"/>
  <c r="A110" i="15"/>
  <c r="B109" i="15"/>
  <c r="AY59" i="13"/>
  <c r="AC59" i="13"/>
  <c r="AG61" i="13"/>
  <c r="AM107" i="13"/>
  <c r="Q107" i="13"/>
  <c r="AE62" i="13"/>
  <c r="AF62" i="13" s="1"/>
  <c r="J62" i="13"/>
  <c r="K62" i="13" s="1"/>
  <c r="AL62" i="13"/>
  <c r="H63" i="13"/>
  <c r="S108" i="13"/>
  <c r="P108" i="13" s="1"/>
  <c r="M109" i="13"/>
  <c r="S75" i="11"/>
  <c r="U75" i="11" s="1"/>
  <c r="AK75" i="11" s="1"/>
  <c r="Y70" i="11"/>
  <c r="AD108" i="11"/>
  <c r="W108" i="11"/>
  <c r="X108" i="11" s="1"/>
  <c r="I109" i="11"/>
  <c r="J109" i="11" s="1"/>
  <c r="K108" i="11"/>
  <c r="L108" i="11" s="1"/>
  <c r="Q108" i="11"/>
  <c r="AE108" i="11" s="1"/>
  <c r="N109" i="11"/>
  <c r="B112" i="11"/>
  <c r="C112" i="11" s="1"/>
  <c r="C111" i="11"/>
  <c r="S57" i="8"/>
  <c r="AD107" i="8"/>
  <c r="K107" i="8"/>
  <c r="L107" i="8" s="1"/>
  <c r="I108" i="8"/>
  <c r="J108" i="8" s="1"/>
  <c r="W108" i="8" s="1"/>
  <c r="X108" i="8" s="1"/>
  <c r="N110" i="8"/>
  <c r="Q109" i="8"/>
  <c r="AE109" i="8" s="1"/>
  <c r="C110" i="8"/>
  <c r="B111" i="8"/>
  <c r="W68" i="15" l="1"/>
  <c r="AX70" i="19"/>
  <c r="AC63" i="19"/>
  <c r="AW67" i="19"/>
  <c r="AG68" i="19"/>
  <c r="AU63" i="19"/>
  <c r="AA64" i="19"/>
  <c r="W71" i="19"/>
  <c r="AX71" i="19" s="1"/>
  <c r="AM111" i="19"/>
  <c r="P111" i="19"/>
  <c r="Q111" i="19" s="1"/>
  <c r="S112" i="19"/>
  <c r="BD47" i="19"/>
  <c r="AL109" i="19"/>
  <c r="H110" i="19"/>
  <c r="I110" i="19" s="1"/>
  <c r="AE109" i="19"/>
  <c r="AF109" i="19" s="1"/>
  <c r="J109" i="19"/>
  <c r="K109" i="19" s="1"/>
  <c r="AA65" i="17"/>
  <c r="W69" i="18"/>
  <c r="AA64" i="18"/>
  <c r="AY64" i="18" s="1"/>
  <c r="AL108" i="18"/>
  <c r="AE108" i="18"/>
  <c r="AF108" i="18" s="1"/>
  <c r="H109" i="18"/>
  <c r="I109" i="18" s="1"/>
  <c r="J108" i="18"/>
  <c r="K108" i="18" s="1"/>
  <c r="AM109" i="18"/>
  <c r="P109" i="18"/>
  <c r="Q109" i="18" s="1"/>
  <c r="S110" i="18"/>
  <c r="M111" i="18"/>
  <c r="AC64" i="18"/>
  <c r="AU64" i="18" s="1"/>
  <c r="AI66" i="17"/>
  <c r="AW66" i="17" s="1"/>
  <c r="AZ66" i="17"/>
  <c r="AX69" i="18"/>
  <c r="Y69" i="18"/>
  <c r="AS69" i="18" s="1"/>
  <c r="A111" i="18"/>
  <c r="B110" i="18"/>
  <c r="AG70" i="18"/>
  <c r="J108" i="17"/>
  <c r="K108" i="17" s="1"/>
  <c r="H109" i="17"/>
  <c r="I109" i="17" s="1"/>
  <c r="AL108" i="17"/>
  <c r="AE108" i="17"/>
  <c r="AF108" i="17" s="1"/>
  <c r="AZ69" i="15"/>
  <c r="AI69" i="15"/>
  <c r="AW69" i="15" s="1"/>
  <c r="S110" i="17"/>
  <c r="M111" i="17"/>
  <c r="P109" i="17"/>
  <c r="Q109" i="17" s="1"/>
  <c r="AM109" i="17"/>
  <c r="AA66" i="15"/>
  <c r="AC66" i="15" s="1"/>
  <c r="AU66" i="15" s="1"/>
  <c r="A111" i="17"/>
  <c r="B110" i="17"/>
  <c r="AY65" i="17"/>
  <c r="AC65" i="17"/>
  <c r="AU65" i="17" s="1"/>
  <c r="Y73" i="17"/>
  <c r="AS73" i="17" s="1"/>
  <c r="AX73" i="17"/>
  <c r="AL107" i="15"/>
  <c r="J107" i="15"/>
  <c r="K107" i="15" s="1"/>
  <c r="H108" i="15"/>
  <c r="I108" i="15" s="1"/>
  <c r="AE107" i="15"/>
  <c r="AF107" i="15" s="1"/>
  <c r="AM109" i="15"/>
  <c r="P109" i="15"/>
  <c r="Q109" i="15" s="1"/>
  <c r="A111" i="15"/>
  <c r="B110" i="15"/>
  <c r="S110" i="15"/>
  <c r="M111" i="15"/>
  <c r="AU59" i="13"/>
  <c r="AA60" i="13"/>
  <c r="AZ61" i="13"/>
  <c r="AI61" i="13"/>
  <c r="AW61" i="13" s="1"/>
  <c r="AM108" i="13"/>
  <c r="Q108" i="13"/>
  <c r="I63" i="13"/>
  <c r="S109" i="13"/>
  <c r="P109" i="13" s="1"/>
  <c r="M110" i="13"/>
  <c r="K109" i="11"/>
  <c r="L109" i="11" s="1"/>
  <c r="I110" i="11"/>
  <c r="J110" i="11" s="1"/>
  <c r="AD109" i="11"/>
  <c r="W109" i="11"/>
  <c r="X109" i="11" s="1"/>
  <c r="AA70" i="11"/>
  <c r="AM70" i="11" s="1"/>
  <c r="Q109" i="11"/>
  <c r="AE109" i="11" s="1"/>
  <c r="N110" i="11"/>
  <c r="S76" i="11"/>
  <c r="U57" i="8"/>
  <c r="AK57" i="8" s="1"/>
  <c r="AD108" i="8"/>
  <c r="K108" i="8"/>
  <c r="L108" i="8" s="1"/>
  <c r="I109" i="8"/>
  <c r="J109" i="8" s="1"/>
  <c r="W109" i="8" s="1"/>
  <c r="X109" i="8" s="1"/>
  <c r="N111" i="8"/>
  <c r="Q110" i="8"/>
  <c r="AE110" i="8" s="1"/>
  <c r="B112" i="8"/>
  <c r="C112" i="8" s="1"/>
  <c r="C111" i="8"/>
  <c r="AX68" i="15" l="1"/>
  <c r="Y68" i="15"/>
  <c r="AS68" i="15" s="1"/>
  <c r="AI68" i="19"/>
  <c r="AZ68" i="19"/>
  <c r="AC64" i="19"/>
  <c r="AY64" i="19"/>
  <c r="Y71" i="19"/>
  <c r="AS71" i="19" s="1"/>
  <c r="J110" i="19"/>
  <c r="K110" i="19" s="1"/>
  <c r="H111" i="19"/>
  <c r="I111" i="19" s="1"/>
  <c r="AL110" i="19"/>
  <c r="AE110" i="19"/>
  <c r="AF110" i="19" s="1"/>
  <c r="P112" i="19"/>
  <c r="Q112" i="19" s="1"/>
  <c r="AM112" i="19"/>
  <c r="AY66" i="15"/>
  <c r="AL109" i="18"/>
  <c r="J109" i="18"/>
  <c r="K109" i="18" s="1"/>
  <c r="AE109" i="18"/>
  <c r="AF109" i="18" s="1"/>
  <c r="H110" i="18"/>
  <c r="I110" i="18" s="1"/>
  <c r="P110" i="18"/>
  <c r="Q110" i="18" s="1"/>
  <c r="AM110" i="18"/>
  <c r="AG67" i="17"/>
  <c r="AZ70" i="18"/>
  <c r="AI70" i="18"/>
  <c r="AW70" i="18" s="1"/>
  <c r="A112" i="18"/>
  <c r="B112" i="18" s="1"/>
  <c r="B111" i="18"/>
  <c r="AA65" i="18"/>
  <c r="AA66" i="17"/>
  <c r="AY66" i="17" s="1"/>
  <c r="AG70" i="15"/>
  <c r="AI70" i="15" s="1"/>
  <c r="AW70" i="15" s="1"/>
  <c r="W70" i="18"/>
  <c r="S111" i="18"/>
  <c r="M112" i="18"/>
  <c r="W74" i="17"/>
  <c r="H110" i="17"/>
  <c r="I110" i="17" s="1"/>
  <c r="AE109" i="17"/>
  <c r="AF109" i="17" s="1"/>
  <c r="J109" i="17"/>
  <c r="K109" i="17" s="1"/>
  <c r="AL109" i="17"/>
  <c r="B111" i="17"/>
  <c r="A112" i="17"/>
  <c r="B112" i="17" s="1"/>
  <c r="AC66" i="17"/>
  <c r="AU66" i="17" s="1"/>
  <c r="AX74" i="17"/>
  <c r="Y74" i="17"/>
  <c r="AS74" i="17" s="1"/>
  <c r="S111" i="17"/>
  <c r="M112" i="17"/>
  <c r="P110" i="17"/>
  <c r="Q110" i="17" s="1"/>
  <c r="AM110" i="17"/>
  <c r="J108" i="15"/>
  <c r="K108" i="15" s="1"/>
  <c r="H109" i="15"/>
  <c r="I109" i="15" s="1"/>
  <c r="AE108" i="15"/>
  <c r="AF108" i="15" s="1"/>
  <c r="AL108" i="15"/>
  <c r="A112" i="15"/>
  <c r="B112" i="15" s="1"/>
  <c r="B111" i="15"/>
  <c r="P110" i="15"/>
  <c r="Q110" i="15" s="1"/>
  <c r="AM110" i="15"/>
  <c r="S111" i="15"/>
  <c r="M112" i="15"/>
  <c r="AA67" i="15"/>
  <c r="AY60" i="13"/>
  <c r="AC60" i="13"/>
  <c r="AG62" i="13"/>
  <c r="AM109" i="13"/>
  <c r="Q109" i="13"/>
  <c r="AE63" i="13"/>
  <c r="AF63" i="13" s="1"/>
  <c r="H64" i="13"/>
  <c r="J63" i="13"/>
  <c r="K63" i="13" s="1"/>
  <c r="AL63" i="13"/>
  <c r="M111" i="13"/>
  <c r="S110" i="13"/>
  <c r="P110" i="13" s="1"/>
  <c r="W110" i="11"/>
  <c r="X110" i="11" s="1"/>
  <c r="AD110" i="11"/>
  <c r="I111" i="11"/>
  <c r="J111" i="11" s="1"/>
  <c r="K110" i="11"/>
  <c r="L110" i="11" s="1"/>
  <c r="Y71" i="11"/>
  <c r="U76" i="11"/>
  <c r="AK76" i="11" s="1"/>
  <c r="N111" i="11"/>
  <c r="Q110" i="11"/>
  <c r="AE110" i="11" s="1"/>
  <c r="S58" i="8"/>
  <c r="AD109" i="8"/>
  <c r="K109" i="8"/>
  <c r="L109" i="8" s="1"/>
  <c r="I110" i="8"/>
  <c r="J110" i="8" s="1"/>
  <c r="W110" i="8" s="1"/>
  <c r="X110" i="8" s="1"/>
  <c r="Q111" i="8"/>
  <c r="AE111" i="8" s="1"/>
  <c r="N112" i="8"/>
  <c r="W69" i="15" l="1"/>
  <c r="AX69" i="15" s="1"/>
  <c r="Y69" i="15"/>
  <c r="AS69" i="15" s="1"/>
  <c r="W70" i="15"/>
  <c r="AW68" i="19"/>
  <c r="AG69" i="19"/>
  <c r="W72" i="19"/>
  <c r="Y72" i="19" s="1"/>
  <c r="AS72" i="19" s="1"/>
  <c r="AU64" i="19"/>
  <c r="AA65" i="19"/>
  <c r="H112" i="19"/>
  <c r="I112" i="19" s="1"/>
  <c r="AE111" i="19"/>
  <c r="AF111" i="19" s="1"/>
  <c r="J111" i="19"/>
  <c r="K111" i="19" s="1"/>
  <c r="AL111" i="19"/>
  <c r="AZ70" i="15"/>
  <c r="AL110" i="18"/>
  <c r="H111" i="18"/>
  <c r="I111" i="18" s="1"/>
  <c r="AE110" i="18"/>
  <c r="AF110" i="18" s="1"/>
  <c r="J110" i="18"/>
  <c r="K110" i="18" s="1"/>
  <c r="AI67" i="17"/>
  <c r="AW67" i="17" s="1"/>
  <c r="AZ67" i="17"/>
  <c r="AG68" i="17"/>
  <c r="AY65" i="18"/>
  <c r="AC65" i="18"/>
  <c r="AU65" i="18" s="1"/>
  <c r="S112" i="18"/>
  <c r="BD47" i="18"/>
  <c r="P111" i="18"/>
  <c r="Q111" i="18" s="1"/>
  <c r="AM111" i="18"/>
  <c r="Y70" i="18"/>
  <c r="AS70" i="18" s="1"/>
  <c r="AX70" i="18"/>
  <c r="AG71" i="18"/>
  <c r="W75" i="17"/>
  <c r="AX75" i="17" s="1"/>
  <c r="P111" i="17"/>
  <c r="Q111" i="17" s="1"/>
  <c r="AM111" i="17"/>
  <c r="J110" i="17"/>
  <c r="K110" i="17" s="1"/>
  <c r="AL110" i="17"/>
  <c r="H111" i="17"/>
  <c r="I111" i="17" s="1"/>
  <c r="AE110" i="17"/>
  <c r="AF110" i="17" s="1"/>
  <c r="Y75" i="17"/>
  <c r="AS75" i="17" s="1"/>
  <c r="AA67" i="17"/>
  <c r="S112" i="17"/>
  <c r="BD47" i="17"/>
  <c r="AG71" i="15"/>
  <c r="AL109" i="15"/>
  <c r="H110" i="15"/>
  <c r="I110" i="15" s="1"/>
  <c r="AE109" i="15"/>
  <c r="AF109" i="15" s="1"/>
  <c r="J109" i="15"/>
  <c r="K109" i="15" s="1"/>
  <c r="AY67" i="15"/>
  <c r="AC67" i="15"/>
  <c r="AU67" i="15" s="1"/>
  <c r="S112" i="15"/>
  <c r="BD47" i="15"/>
  <c r="AM111" i="15"/>
  <c r="P111" i="15"/>
  <c r="Q111" i="15" s="1"/>
  <c r="AU60" i="13"/>
  <c r="AA61" i="13"/>
  <c r="AZ62" i="13"/>
  <c r="AI62" i="13"/>
  <c r="AW62" i="13" s="1"/>
  <c r="AM110" i="13"/>
  <c r="Q110" i="13"/>
  <c r="I64" i="13"/>
  <c r="S111" i="13"/>
  <c r="P111" i="13" s="1"/>
  <c r="M112" i="13"/>
  <c r="I112" i="11"/>
  <c r="J112" i="11" s="1"/>
  <c r="K111" i="11"/>
  <c r="L111" i="11" s="1"/>
  <c r="W111" i="11"/>
  <c r="X111" i="11" s="1"/>
  <c r="AD111" i="11"/>
  <c r="S77" i="11"/>
  <c r="AA71" i="11"/>
  <c r="AM71" i="11" s="1"/>
  <c r="N112" i="11"/>
  <c r="Q111" i="11"/>
  <c r="AE111" i="11" s="1"/>
  <c r="U58" i="8"/>
  <c r="AK58" i="8" s="1"/>
  <c r="Q112" i="8"/>
  <c r="AE112" i="8" s="1"/>
  <c r="AQ44" i="8"/>
  <c r="I111" i="8"/>
  <c r="J111" i="8" s="1"/>
  <c r="W111" i="8" s="1"/>
  <c r="X111" i="8" s="1"/>
  <c r="AD110" i="8"/>
  <c r="K110" i="8"/>
  <c r="L110" i="8" s="1"/>
  <c r="Y70" i="15" l="1"/>
  <c r="AS70" i="15" s="1"/>
  <c r="AX70" i="15"/>
  <c r="W71" i="15"/>
  <c r="AX71" i="15" s="1"/>
  <c r="W73" i="19"/>
  <c r="Y73" i="19" s="1"/>
  <c r="AS73" i="19" s="1"/>
  <c r="AI69" i="19"/>
  <c r="AZ69" i="19"/>
  <c r="AX72" i="19"/>
  <c r="AY65" i="19"/>
  <c r="AC65" i="19"/>
  <c r="J112" i="19"/>
  <c r="K112" i="19" s="1"/>
  <c r="AL112" i="19"/>
  <c r="AE112" i="19"/>
  <c r="AF112" i="19" s="1"/>
  <c r="AZ68" i="17"/>
  <c r="AI68" i="17"/>
  <c r="AW68" i="17" s="1"/>
  <c r="AG69" i="17"/>
  <c r="AZ71" i="18"/>
  <c r="AI71" i="18"/>
  <c r="AW71" i="18" s="1"/>
  <c r="P112" i="18"/>
  <c r="Q112" i="18" s="1"/>
  <c r="AM112" i="18"/>
  <c r="J111" i="18"/>
  <c r="K111" i="18" s="1"/>
  <c r="AE111" i="18"/>
  <c r="AF111" i="18" s="1"/>
  <c r="H112" i="18"/>
  <c r="I112" i="18" s="1"/>
  <c r="AL111" i="18"/>
  <c r="W71" i="18"/>
  <c r="AA66" i="18"/>
  <c r="J111" i="17"/>
  <c r="K111" i="17" s="1"/>
  <c r="H112" i="17"/>
  <c r="I112" i="17" s="1"/>
  <c r="AE111" i="17"/>
  <c r="AF111" i="17" s="1"/>
  <c r="AL111" i="17"/>
  <c r="AY67" i="17"/>
  <c r="AC67" i="17"/>
  <c r="AU67" i="17" s="1"/>
  <c r="W76" i="17"/>
  <c r="P112" i="17"/>
  <c r="Q112" i="17" s="1"/>
  <c r="AM112" i="17"/>
  <c r="AI71" i="15"/>
  <c r="AW71" i="15" s="1"/>
  <c r="AZ71" i="15"/>
  <c r="AA68" i="15"/>
  <c r="AC68" i="15" s="1"/>
  <c r="AL110" i="15"/>
  <c r="J110" i="15"/>
  <c r="K110" i="15" s="1"/>
  <c r="AE110" i="15"/>
  <c r="AF110" i="15" s="1"/>
  <c r="H111" i="15"/>
  <c r="I111" i="15" s="1"/>
  <c r="P112" i="15"/>
  <c r="Q112" i="15" s="1"/>
  <c r="AM112" i="15"/>
  <c r="AY61" i="13"/>
  <c r="AC61" i="13"/>
  <c r="AG63" i="13"/>
  <c r="AM111" i="13"/>
  <c r="Q111" i="13"/>
  <c r="H65" i="13"/>
  <c r="J64" i="13"/>
  <c r="K64" i="13" s="1"/>
  <c r="AL64" i="13"/>
  <c r="AE64" i="13"/>
  <c r="AF64" i="13" s="1"/>
  <c r="S112" i="13"/>
  <c r="P112" i="13" s="1"/>
  <c r="BD47" i="13"/>
  <c r="AD112" i="11"/>
  <c r="W112" i="11"/>
  <c r="X112" i="11" s="1"/>
  <c r="K112" i="11"/>
  <c r="L112" i="11" s="1"/>
  <c r="Y72" i="11"/>
  <c r="U77" i="11"/>
  <c r="AK77" i="11" s="1"/>
  <c r="Q112" i="11"/>
  <c r="AE112" i="11" s="1"/>
  <c r="AQ44" i="11"/>
  <c r="S59" i="8"/>
  <c r="I112" i="8"/>
  <c r="J112" i="8" s="1"/>
  <c r="W112" i="8" s="1"/>
  <c r="X112" i="8" s="1"/>
  <c r="K111" i="8"/>
  <c r="L111" i="8" s="1"/>
  <c r="AD111" i="8"/>
  <c r="Y71" i="15" l="1"/>
  <c r="AX73" i="19"/>
  <c r="AW69" i="19"/>
  <c r="AG70" i="19"/>
  <c r="AU65" i="19"/>
  <c r="AA66" i="19"/>
  <c r="W74" i="19"/>
  <c r="AX74" i="19" s="1"/>
  <c r="AY68" i="15"/>
  <c r="J112" i="18"/>
  <c r="K112" i="18" s="1"/>
  <c r="AE112" i="18"/>
  <c r="AF112" i="18" s="1"/>
  <c r="AL112" i="18"/>
  <c r="AX71" i="18"/>
  <c r="Y71" i="18"/>
  <c r="AS71" i="18" s="1"/>
  <c r="AG72" i="18"/>
  <c r="AI69" i="17"/>
  <c r="AW69" i="17" s="1"/>
  <c r="AZ69" i="17"/>
  <c r="AY66" i="18"/>
  <c r="AC66" i="18"/>
  <c r="AU66" i="18" s="1"/>
  <c r="AG72" i="15"/>
  <c r="AA68" i="17"/>
  <c r="AY68" i="17" s="1"/>
  <c r="J112" i="17"/>
  <c r="K112" i="17" s="1"/>
  <c r="AE112" i="17"/>
  <c r="AF112" i="17" s="1"/>
  <c r="AL112" i="17"/>
  <c r="AX76" i="17"/>
  <c r="Y76" i="17"/>
  <c r="AS76" i="17" s="1"/>
  <c r="AU68" i="15"/>
  <c r="AA69" i="15"/>
  <c r="AC69" i="15" s="1"/>
  <c r="AU69" i="15" s="1"/>
  <c r="J111" i="15"/>
  <c r="K111" i="15" s="1"/>
  <c r="H112" i="15"/>
  <c r="I112" i="15" s="1"/>
  <c r="AE111" i="15"/>
  <c r="AF111" i="15" s="1"/>
  <c r="AL111" i="15"/>
  <c r="AU61" i="13"/>
  <c r="AA62" i="13"/>
  <c r="AZ63" i="13"/>
  <c r="AI63" i="13"/>
  <c r="AW63" i="13" s="1"/>
  <c r="AM112" i="13"/>
  <c r="Q112" i="13"/>
  <c r="I65" i="13"/>
  <c r="S78" i="11"/>
  <c r="AA72" i="11"/>
  <c r="AM72" i="11" s="1"/>
  <c r="U59" i="8"/>
  <c r="AK59" i="8" s="1"/>
  <c r="AD112" i="8"/>
  <c r="K112" i="8"/>
  <c r="L112" i="8" s="1"/>
  <c r="AS71" i="15" l="1"/>
  <c r="W72" i="15"/>
  <c r="AZ70" i="19"/>
  <c r="AI70" i="19"/>
  <c r="AY66" i="19"/>
  <c r="AC66" i="19"/>
  <c r="Y74" i="19"/>
  <c r="AS74" i="19" s="1"/>
  <c r="AC68" i="17"/>
  <c r="AU68" i="17" s="1"/>
  <c r="AA67" i="18"/>
  <c r="AI72" i="18"/>
  <c r="AW72" i="18" s="1"/>
  <c r="AZ72" i="18"/>
  <c r="AG70" i="17"/>
  <c r="W72" i="18"/>
  <c r="AY69" i="15"/>
  <c r="AY67" i="18"/>
  <c r="AA68" i="18"/>
  <c r="AC67" i="18"/>
  <c r="AU67" i="18" s="1"/>
  <c r="AZ72" i="15"/>
  <c r="AI72" i="15"/>
  <c r="AW72" i="15" s="1"/>
  <c r="W77" i="17"/>
  <c r="Y77" i="17" s="1"/>
  <c r="AS77" i="17" s="1"/>
  <c r="J112" i="15"/>
  <c r="K112" i="15" s="1"/>
  <c r="AE112" i="15"/>
  <c r="AF112" i="15" s="1"/>
  <c r="AL112" i="15"/>
  <c r="AA70" i="15"/>
  <c r="AY62" i="13"/>
  <c r="AC62" i="13"/>
  <c r="AU62" i="13" s="1"/>
  <c r="AG64" i="13"/>
  <c r="AL65" i="13"/>
  <c r="H66" i="13"/>
  <c r="J65" i="13"/>
  <c r="K65" i="13" s="1"/>
  <c r="AE65" i="13"/>
  <c r="AF65" i="13" s="1"/>
  <c r="Y73" i="11"/>
  <c r="AA73" i="11" s="1"/>
  <c r="AM73" i="11" s="1"/>
  <c r="U78" i="11"/>
  <c r="AK78" i="11" s="1"/>
  <c r="S60" i="8"/>
  <c r="AX72" i="15" l="1"/>
  <c r="Y72" i="15"/>
  <c r="AS72" i="15" s="1"/>
  <c r="AW70" i="19"/>
  <c r="AG71" i="19"/>
  <c r="AA67" i="19"/>
  <c r="AU66" i="19"/>
  <c r="W75" i="19"/>
  <c r="AX75" i="19" s="1"/>
  <c r="AA69" i="17"/>
  <c r="Y72" i="18"/>
  <c r="AS72" i="18" s="1"/>
  <c r="AX72" i="18"/>
  <c r="AI70" i="17"/>
  <c r="AW70" i="17" s="1"/>
  <c r="AZ70" i="17"/>
  <c r="AG71" i="17"/>
  <c r="AY68" i="18"/>
  <c r="AC68" i="18"/>
  <c r="AU68" i="18" s="1"/>
  <c r="AG73" i="15"/>
  <c r="AZ73" i="15" s="1"/>
  <c r="AG73" i="18"/>
  <c r="AX77" i="17"/>
  <c r="W78" i="17"/>
  <c r="AY70" i="15"/>
  <c r="AC70" i="15"/>
  <c r="AU70" i="15" s="1"/>
  <c r="AA63" i="13"/>
  <c r="AY63" i="13" s="1"/>
  <c r="AZ64" i="13"/>
  <c r="AI64" i="13"/>
  <c r="AW64" i="13" s="1"/>
  <c r="I66" i="13"/>
  <c r="S79" i="11"/>
  <c r="Y74" i="11"/>
  <c r="U60" i="8"/>
  <c r="S61" i="8" s="1"/>
  <c r="W73" i="15" l="1"/>
  <c r="AZ71" i="19"/>
  <c r="AI71" i="19"/>
  <c r="AW71" i="19" s="1"/>
  <c r="AY67" i="19"/>
  <c r="AC67" i="19"/>
  <c r="Y75" i="19"/>
  <c r="AS75" i="19" s="1"/>
  <c r="AC69" i="17"/>
  <c r="AY69" i="17"/>
  <c r="AI73" i="15"/>
  <c r="AW73" i="15" s="1"/>
  <c r="AA69" i="18"/>
  <c r="AY69" i="18" s="1"/>
  <c r="AC69" i="18"/>
  <c r="AU69" i="18" s="1"/>
  <c r="AZ71" i="17"/>
  <c r="AI71" i="17"/>
  <c r="AW71" i="17" s="1"/>
  <c r="AZ73" i="18"/>
  <c r="AI73" i="18"/>
  <c r="AW73" i="18" s="1"/>
  <c r="W73" i="18"/>
  <c r="Y78" i="17"/>
  <c r="AS78" i="17" s="1"/>
  <c r="AX78" i="17"/>
  <c r="AA71" i="15"/>
  <c r="AY71" i="15" s="1"/>
  <c r="AC63" i="13"/>
  <c r="AU63" i="13" s="1"/>
  <c r="AG65" i="13"/>
  <c r="AL66" i="13"/>
  <c r="J66" i="13"/>
  <c r="K66" i="13" s="1"/>
  <c r="AE66" i="13"/>
  <c r="AF66" i="13" s="1"/>
  <c r="H67" i="13"/>
  <c r="AA74" i="11"/>
  <c r="AM74" i="11" s="1"/>
  <c r="U79" i="11"/>
  <c r="AK79" i="11" s="1"/>
  <c r="AK60" i="8"/>
  <c r="U61" i="8"/>
  <c r="AK61" i="8" s="1"/>
  <c r="AX73" i="15" l="1"/>
  <c r="Y73" i="15"/>
  <c r="AS73" i="15" s="1"/>
  <c r="AG72" i="19"/>
  <c r="AI72" i="19" s="1"/>
  <c r="AU67" i="19"/>
  <c r="AA68" i="19"/>
  <c r="W76" i="19"/>
  <c r="Y76" i="19" s="1"/>
  <c r="AS76" i="19" s="1"/>
  <c r="AU69" i="17"/>
  <c r="AA70" i="17"/>
  <c r="AC71" i="15"/>
  <c r="AU71" i="15" s="1"/>
  <c r="AG74" i="15"/>
  <c r="AG74" i="18"/>
  <c r="AI74" i="18" s="1"/>
  <c r="AW74" i="18" s="1"/>
  <c r="AG72" i="17"/>
  <c r="AX73" i="18"/>
  <c r="Y73" i="18"/>
  <c r="AS73" i="18" s="1"/>
  <c r="AA70" i="18"/>
  <c r="W79" i="17"/>
  <c r="AA72" i="15"/>
  <c r="AA64" i="13"/>
  <c r="AI65" i="13"/>
  <c r="AW65" i="13" s="1"/>
  <c r="AZ65" i="13"/>
  <c r="I67" i="13"/>
  <c r="S80" i="11"/>
  <c r="U80" i="11" s="1"/>
  <c r="AK80" i="11" s="1"/>
  <c r="Y75" i="11"/>
  <c r="S62" i="8"/>
  <c r="U62" i="8" s="1"/>
  <c r="AK62" i="8" s="1"/>
  <c r="W74" i="15" l="1"/>
  <c r="AZ72" i="19"/>
  <c r="AW72" i="19"/>
  <c r="AG73" i="19"/>
  <c r="AC68" i="19"/>
  <c r="AU68" i="19" s="1"/>
  <c r="AY68" i="19"/>
  <c r="AX76" i="19"/>
  <c r="W77" i="19"/>
  <c r="AY70" i="17"/>
  <c r="AC70" i="17"/>
  <c r="AZ74" i="15"/>
  <c r="AI74" i="15"/>
  <c r="AZ74" i="18"/>
  <c r="AG75" i="18"/>
  <c r="AZ75" i="18" s="1"/>
  <c r="W74" i="18"/>
  <c r="AY70" i="18"/>
  <c r="AC70" i="18"/>
  <c r="AU70" i="18" s="1"/>
  <c r="AI72" i="17"/>
  <c r="AW72" i="17" s="1"/>
  <c r="AZ72" i="17"/>
  <c r="AX79" i="17"/>
  <c r="Y79" i="17"/>
  <c r="AS79" i="17" s="1"/>
  <c r="AY72" i="15"/>
  <c r="AC72" i="15"/>
  <c r="AU72" i="15" s="1"/>
  <c r="AY64" i="13"/>
  <c r="AC64" i="13"/>
  <c r="AG66" i="13"/>
  <c r="AE67" i="13"/>
  <c r="AF67" i="13" s="1"/>
  <c r="AL67" i="13"/>
  <c r="J67" i="13"/>
  <c r="K67" i="13" s="1"/>
  <c r="H68" i="13"/>
  <c r="AA75" i="11"/>
  <c r="AM75" i="11" s="1"/>
  <c r="S81" i="11"/>
  <c r="S63" i="8"/>
  <c r="U63" i="8" s="1"/>
  <c r="AK63" i="8" s="1"/>
  <c r="Y74" i="15" l="1"/>
  <c r="AS74" i="15" s="1"/>
  <c r="AX74" i="15"/>
  <c r="W75" i="15"/>
  <c r="AI73" i="19"/>
  <c r="AW73" i="19" s="1"/>
  <c r="AZ73" i="19"/>
  <c r="AA69" i="19"/>
  <c r="AU70" i="17"/>
  <c r="AA71" i="17"/>
  <c r="AI75" i="18"/>
  <c r="AW75" i="18" s="1"/>
  <c r="AX77" i="19"/>
  <c r="Y77" i="19"/>
  <c r="AS77" i="19" s="1"/>
  <c r="AW74" i="15"/>
  <c r="AG75" i="15"/>
  <c r="AG76" i="18"/>
  <c r="AZ76" i="18" s="1"/>
  <c r="AG73" i="17"/>
  <c r="AA71" i="18"/>
  <c r="AI76" i="18"/>
  <c r="AW76" i="18" s="1"/>
  <c r="AX74" i="18"/>
  <c r="Y74" i="18"/>
  <c r="AS74" i="18" s="1"/>
  <c r="W80" i="17"/>
  <c r="AA73" i="15"/>
  <c r="AU64" i="13"/>
  <c r="AA65" i="13"/>
  <c r="AZ66" i="13"/>
  <c r="AI66" i="13"/>
  <c r="AW66" i="13" s="1"/>
  <c r="I68" i="13"/>
  <c r="Y76" i="11"/>
  <c r="AA76" i="11" s="1"/>
  <c r="AM76" i="11" s="1"/>
  <c r="U81" i="11"/>
  <c r="AK81" i="11" s="1"/>
  <c r="S64" i="8"/>
  <c r="U64" i="8" s="1"/>
  <c r="AK64" i="8" s="1"/>
  <c r="Y75" i="15" l="1"/>
  <c r="AS75" i="15" s="1"/>
  <c r="W76" i="15"/>
  <c r="AX75" i="15"/>
  <c r="AG74" i="19"/>
  <c r="AZ74" i="19" s="1"/>
  <c r="AY69" i="19"/>
  <c r="AC69" i="19"/>
  <c r="AU69" i="19" s="1"/>
  <c r="W78" i="19"/>
  <c r="Y78" i="19" s="1"/>
  <c r="AS78" i="19" s="1"/>
  <c r="AY71" i="17"/>
  <c r="AC71" i="17"/>
  <c r="AU71" i="17" s="1"/>
  <c r="AZ75" i="15"/>
  <c r="AI75" i="15"/>
  <c r="W75" i="18"/>
  <c r="AG77" i="18"/>
  <c r="AY71" i="18"/>
  <c r="AC71" i="18"/>
  <c r="AU71" i="18" s="1"/>
  <c r="AZ73" i="17"/>
  <c r="AI73" i="17"/>
  <c r="AW73" i="17" s="1"/>
  <c r="AG74" i="17"/>
  <c r="AX80" i="17"/>
  <c r="Y80" i="17"/>
  <c r="AS80" i="17" s="1"/>
  <c r="AY73" i="15"/>
  <c r="AC73" i="15"/>
  <c r="AU73" i="15" s="1"/>
  <c r="AY65" i="13"/>
  <c r="AC65" i="13"/>
  <c r="AG67" i="13"/>
  <c r="AE68" i="13"/>
  <c r="AF68" i="13" s="1"/>
  <c r="H69" i="13"/>
  <c r="J68" i="13"/>
  <c r="K68" i="13" s="1"/>
  <c r="AL68" i="13"/>
  <c r="Y77" i="11"/>
  <c r="S82" i="11"/>
  <c r="S65" i="8"/>
  <c r="AX76" i="15" l="1"/>
  <c r="Y76" i="15"/>
  <c r="AS76" i="15" s="1"/>
  <c r="W77" i="15"/>
  <c r="AI74" i="19"/>
  <c r="AG75" i="19" s="1"/>
  <c r="AA70" i="19"/>
  <c r="AC70" i="19" s="1"/>
  <c r="AU70" i="19" s="1"/>
  <c r="AX78" i="19"/>
  <c r="AA72" i="17"/>
  <c r="W79" i="19"/>
  <c r="AW75" i="15"/>
  <c r="AG76" i="15"/>
  <c r="AZ74" i="17"/>
  <c r="AI74" i="17"/>
  <c r="AW74" i="17" s="1"/>
  <c r="AA72" i="18"/>
  <c r="AI77" i="18"/>
  <c r="AW77" i="18" s="1"/>
  <c r="AZ77" i="18"/>
  <c r="AX75" i="18"/>
  <c r="Y75" i="18"/>
  <c r="AS75" i="18" s="1"/>
  <c r="W81" i="17"/>
  <c r="AX81" i="17" s="1"/>
  <c r="Y81" i="17"/>
  <c r="AS81" i="17" s="1"/>
  <c r="AA74" i="15"/>
  <c r="AY74" i="15" s="1"/>
  <c r="AU65" i="13"/>
  <c r="AA66" i="13"/>
  <c r="AI67" i="13"/>
  <c r="AW67" i="13" s="1"/>
  <c r="AZ67" i="13"/>
  <c r="I69" i="13"/>
  <c r="U82" i="11"/>
  <c r="AK82" i="11" s="1"/>
  <c r="AA77" i="11"/>
  <c r="AM77" i="11" s="1"/>
  <c r="U65" i="8"/>
  <c r="AK65" i="8" s="1"/>
  <c r="Y77" i="15" l="1"/>
  <c r="AX77" i="15"/>
  <c r="AW74" i="19"/>
  <c r="AI75" i="19"/>
  <c r="AW75" i="19" s="1"/>
  <c r="AZ75" i="19"/>
  <c r="AA71" i="19"/>
  <c r="AY71" i="19" s="1"/>
  <c r="AY70" i="19"/>
  <c r="AC74" i="15"/>
  <c r="AU74" i="15" s="1"/>
  <c r="AG75" i="17"/>
  <c r="AX79" i="19"/>
  <c r="Y79" i="19"/>
  <c r="AS79" i="19" s="1"/>
  <c r="AY72" i="17"/>
  <c r="AC72" i="17"/>
  <c r="AZ76" i="15"/>
  <c r="AI76" i="15"/>
  <c r="AW76" i="15" s="1"/>
  <c r="W76" i="18"/>
  <c r="AG78" i="18"/>
  <c r="AZ78" i="18" s="1"/>
  <c r="AI78" i="18"/>
  <c r="AW78" i="18" s="1"/>
  <c r="AY72" i="18"/>
  <c r="AC72" i="18"/>
  <c r="AU72" i="18" s="1"/>
  <c r="AX76" i="18"/>
  <c r="Y76" i="18"/>
  <c r="AS76" i="18" s="1"/>
  <c r="W82" i="17"/>
  <c r="AX82" i="17" s="1"/>
  <c r="AA75" i="15"/>
  <c r="AY66" i="13"/>
  <c r="AC66" i="13"/>
  <c r="AG68" i="13"/>
  <c r="AZ68" i="13" s="1"/>
  <c r="H70" i="13"/>
  <c r="AE69" i="13"/>
  <c r="AF69" i="13" s="1"/>
  <c r="J69" i="13"/>
  <c r="K69" i="13" s="1"/>
  <c r="AL69" i="13"/>
  <c r="Y78" i="11"/>
  <c r="S83" i="11"/>
  <c r="S66" i="8"/>
  <c r="AS77" i="15" l="1"/>
  <c r="W78" i="15"/>
  <c r="AC71" i="19"/>
  <c r="AU71" i="19" s="1"/>
  <c r="AG76" i="19"/>
  <c r="AI76" i="19" s="1"/>
  <c r="W80" i="19"/>
  <c r="AX80" i="19" s="1"/>
  <c r="AI75" i="17"/>
  <c r="AW75" i="17" s="1"/>
  <c r="AZ75" i="17"/>
  <c r="AG76" i="17"/>
  <c r="AU72" i="17"/>
  <c r="AA73" i="17"/>
  <c r="AG77" i="15"/>
  <c r="AI77" i="15" s="1"/>
  <c r="AA73" i="18"/>
  <c r="W77" i="18"/>
  <c r="AG79" i="18"/>
  <c r="Y82" i="17"/>
  <c r="AS82" i="17" s="1"/>
  <c r="W83" i="17"/>
  <c r="AY75" i="15"/>
  <c r="AC75" i="15"/>
  <c r="AU75" i="15" s="1"/>
  <c r="AI68" i="13"/>
  <c r="AW68" i="13" s="1"/>
  <c r="AU66" i="13"/>
  <c r="AA67" i="13"/>
  <c r="I70" i="13"/>
  <c r="U83" i="11"/>
  <c r="AK83" i="11" s="1"/>
  <c r="AA78" i="11"/>
  <c r="AM78" i="11" s="1"/>
  <c r="U66" i="8"/>
  <c r="AX78" i="15" l="1"/>
  <c r="Y78" i="15"/>
  <c r="AS78" i="15" s="1"/>
  <c r="W79" i="15"/>
  <c r="AA72" i="19"/>
  <c r="AY72" i="19" s="1"/>
  <c r="AZ76" i="19"/>
  <c r="AW76" i="19"/>
  <c r="AG77" i="19"/>
  <c r="Y80" i="19"/>
  <c r="AS80" i="19" s="1"/>
  <c r="AC73" i="17"/>
  <c r="AU73" i="17" s="1"/>
  <c r="AY73" i="17"/>
  <c r="AZ76" i="17"/>
  <c r="AI76" i="17"/>
  <c r="AZ77" i="15"/>
  <c r="AW77" i="15"/>
  <c r="AG78" i="15"/>
  <c r="AI78" i="15" s="1"/>
  <c r="AW78" i="15" s="1"/>
  <c r="AZ78" i="15"/>
  <c r="AZ79" i="18"/>
  <c r="AI79" i="18"/>
  <c r="AW79" i="18" s="1"/>
  <c r="AX77" i="18"/>
  <c r="Y77" i="18"/>
  <c r="AS77" i="18" s="1"/>
  <c r="AY73" i="18"/>
  <c r="AC73" i="18"/>
  <c r="AU73" i="18" s="1"/>
  <c r="AX83" i="17"/>
  <c r="Y83" i="17"/>
  <c r="AS83" i="17" s="1"/>
  <c r="AA76" i="15"/>
  <c r="AG69" i="13"/>
  <c r="AY67" i="13"/>
  <c r="AC67" i="13"/>
  <c r="J70" i="13"/>
  <c r="K70" i="13" s="1"/>
  <c r="AL70" i="13"/>
  <c r="H71" i="13"/>
  <c r="AE70" i="13"/>
  <c r="AF70" i="13" s="1"/>
  <c r="Y79" i="11"/>
  <c r="S84" i="11"/>
  <c r="AK66" i="8"/>
  <c r="S67" i="8"/>
  <c r="AX79" i="15" l="1"/>
  <c r="Y79" i="15"/>
  <c r="AS79" i="15" s="1"/>
  <c r="W80" i="15"/>
  <c r="AC72" i="19"/>
  <c r="AU72" i="19" s="1"/>
  <c r="AI77" i="19"/>
  <c r="AZ77" i="19"/>
  <c r="W81" i="19"/>
  <c r="AA74" i="17"/>
  <c r="AW76" i="17"/>
  <c r="AG77" i="17"/>
  <c r="AG79" i="15"/>
  <c r="AI79" i="15"/>
  <c r="AW79" i="15" s="1"/>
  <c r="AZ79" i="15"/>
  <c r="AA74" i="18"/>
  <c r="AY74" i="18" s="1"/>
  <c r="W78" i="18"/>
  <c r="AG80" i="18"/>
  <c r="W84" i="17"/>
  <c r="AY76" i="15"/>
  <c r="AC76" i="15"/>
  <c r="AU76" i="15" s="1"/>
  <c r="AZ69" i="13"/>
  <c r="AI69" i="13"/>
  <c r="AW69" i="13" s="1"/>
  <c r="AU67" i="13"/>
  <c r="AA68" i="13"/>
  <c r="I71" i="13"/>
  <c r="U84" i="11"/>
  <c r="AK84" i="11" s="1"/>
  <c r="AA79" i="11"/>
  <c r="AM79" i="11" s="1"/>
  <c r="U67" i="8"/>
  <c r="AK67" i="8" s="1"/>
  <c r="AX80" i="15" l="1"/>
  <c r="Y80" i="15"/>
  <c r="AA73" i="19"/>
  <c r="AW77" i="19"/>
  <c r="AG78" i="19"/>
  <c r="Y81" i="19"/>
  <c r="AS81" i="19" s="1"/>
  <c r="AX81" i="19"/>
  <c r="AI77" i="17"/>
  <c r="AW77" i="17" s="1"/>
  <c r="AZ77" i="17"/>
  <c r="AC74" i="18"/>
  <c r="AU74" i="18" s="1"/>
  <c r="AY74" i="17"/>
  <c r="AC74" i="17"/>
  <c r="AG80" i="15"/>
  <c r="AZ80" i="15" s="1"/>
  <c r="AA75" i="18"/>
  <c r="AI80" i="18"/>
  <c r="AW80" i="18" s="1"/>
  <c r="AZ80" i="18"/>
  <c r="Y78" i="18"/>
  <c r="AS78" i="18" s="1"/>
  <c r="AX78" i="18"/>
  <c r="AA77" i="15"/>
  <c r="AC77" i="15" s="1"/>
  <c r="AU77" i="15" s="1"/>
  <c r="AX84" i="17"/>
  <c r="Y84" i="17"/>
  <c r="AS84" i="17" s="1"/>
  <c r="AG70" i="13"/>
  <c r="AY68" i="13"/>
  <c r="AC68" i="13"/>
  <c r="AU68" i="13" s="1"/>
  <c r="H72" i="13"/>
  <c r="J71" i="13"/>
  <c r="K71" i="13" s="1"/>
  <c r="AE71" i="13"/>
  <c r="AF71" i="13" s="1"/>
  <c r="AL71" i="13"/>
  <c r="Y80" i="11"/>
  <c r="AA80" i="11" s="1"/>
  <c r="S85" i="11"/>
  <c r="U85" i="11" s="1"/>
  <c r="AK85" i="11" s="1"/>
  <c r="S68" i="8"/>
  <c r="AS80" i="15" l="1"/>
  <c r="W81" i="15"/>
  <c r="AY73" i="19"/>
  <c r="AC73" i="19"/>
  <c r="AU73" i="19" s="1"/>
  <c r="AI78" i="19"/>
  <c r="AZ78" i="19"/>
  <c r="W82" i="19"/>
  <c r="AU74" i="17"/>
  <c r="AA75" i="17"/>
  <c r="AI80" i="15"/>
  <c r="AG78" i="17"/>
  <c r="AW80" i="15"/>
  <c r="AG81" i="15"/>
  <c r="W79" i="18"/>
  <c r="AG81" i="18"/>
  <c r="AY75" i="18"/>
  <c r="AC75" i="18"/>
  <c r="AU75" i="18" s="1"/>
  <c r="AY77" i="15"/>
  <c r="W85" i="17"/>
  <c r="AX85" i="17" s="1"/>
  <c r="AA78" i="15"/>
  <c r="AC78" i="15" s="1"/>
  <c r="AU78" i="15" s="1"/>
  <c r="AA69" i="13"/>
  <c r="AY69" i="13" s="1"/>
  <c r="AZ70" i="13"/>
  <c r="AI70" i="13"/>
  <c r="AW70" i="13" s="1"/>
  <c r="I72" i="13"/>
  <c r="AM80" i="11"/>
  <c r="Y81" i="11"/>
  <c r="AA81" i="11" s="1"/>
  <c r="AM81" i="11" s="1"/>
  <c r="S86" i="11"/>
  <c r="U68" i="8"/>
  <c r="AK68" i="8" s="1"/>
  <c r="AX81" i="15" l="1"/>
  <c r="Y81" i="15"/>
  <c r="AA74" i="19"/>
  <c r="AW78" i="19"/>
  <c r="AG79" i="19"/>
  <c r="AX82" i="19"/>
  <c r="Y82" i="19"/>
  <c r="AI78" i="17"/>
  <c r="AW78" i="17" s="1"/>
  <c r="AG79" i="17"/>
  <c r="AZ78" i="17"/>
  <c r="AC75" i="17"/>
  <c r="AY75" i="17"/>
  <c r="AZ81" i="15"/>
  <c r="AI81" i="15"/>
  <c r="AA76" i="18"/>
  <c r="AZ81" i="18"/>
  <c r="AI81" i="18"/>
  <c r="AW81" i="18" s="1"/>
  <c r="AX79" i="18"/>
  <c r="Y79" i="18"/>
  <c r="AS79" i="18" s="1"/>
  <c r="AY78" i="15"/>
  <c r="W86" i="17"/>
  <c r="Y86" i="17" s="1"/>
  <c r="AS86" i="17" s="1"/>
  <c r="Y85" i="17"/>
  <c r="AS85" i="17" s="1"/>
  <c r="AX86" i="17"/>
  <c r="AA79" i="15"/>
  <c r="AC69" i="13"/>
  <c r="AA70" i="13" s="1"/>
  <c r="AY70" i="13" s="1"/>
  <c r="AG71" i="13"/>
  <c r="AL72" i="13"/>
  <c r="H73" i="13"/>
  <c r="AE72" i="13"/>
  <c r="AF72" i="13" s="1"/>
  <c r="J72" i="13"/>
  <c r="K72" i="13" s="1"/>
  <c r="Y82" i="11"/>
  <c r="U86" i="11"/>
  <c r="AK86" i="11" s="1"/>
  <c r="S69" i="8"/>
  <c r="AS81" i="15" l="1"/>
  <c r="W82" i="15"/>
  <c r="AY74" i="19"/>
  <c r="AC74" i="19"/>
  <c r="AZ79" i="19"/>
  <c r="AI79" i="19"/>
  <c r="AS82" i="19"/>
  <c r="W83" i="19"/>
  <c r="AU75" i="17"/>
  <c r="AA76" i="17"/>
  <c r="AZ79" i="17"/>
  <c r="AI79" i="17"/>
  <c r="AW79" i="17" s="1"/>
  <c r="AW81" i="15"/>
  <c r="AG82" i="15"/>
  <c r="AG82" i="18"/>
  <c r="AI82" i="18" s="1"/>
  <c r="AW82" i="18" s="1"/>
  <c r="W80" i="18"/>
  <c r="AY76" i="18"/>
  <c r="AC76" i="18"/>
  <c r="AU76" i="18" s="1"/>
  <c r="W87" i="17"/>
  <c r="AC70" i="13"/>
  <c r="AA71" i="13" s="1"/>
  <c r="AY71" i="13" s="1"/>
  <c r="AY79" i="15"/>
  <c r="AC79" i="15"/>
  <c r="AU79" i="15" s="1"/>
  <c r="AU69" i="13"/>
  <c r="AI71" i="13"/>
  <c r="AW71" i="13" s="1"/>
  <c r="AZ71" i="13"/>
  <c r="I73" i="13"/>
  <c r="S87" i="11"/>
  <c r="U87" i="11" s="1"/>
  <c r="AK87" i="11" s="1"/>
  <c r="AA82" i="11"/>
  <c r="AM82" i="11" s="1"/>
  <c r="U69" i="8"/>
  <c r="AK69" i="8" s="1"/>
  <c r="AU70" i="13" l="1"/>
  <c r="AX82" i="15"/>
  <c r="Y82" i="15"/>
  <c r="AU74" i="19"/>
  <c r="AA75" i="19"/>
  <c r="AW79" i="19"/>
  <c r="AG80" i="19"/>
  <c r="Y83" i="19"/>
  <c r="AX83" i="19"/>
  <c r="AG80" i="17"/>
  <c r="AY76" i="17"/>
  <c r="AC76" i="17"/>
  <c r="AI82" i="15"/>
  <c r="AW82" i="15" s="1"/>
  <c r="AZ82" i="15"/>
  <c r="AZ82" i="18"/>
  <c r="AA77" i="18"/>
  <c r="AY77" i="18" s="1"/>
  <c r="AG83" i="18"/>
  <c r="AX80" i="18"/>
  <c r="Y80" i="18"/>
  <c r="AS80" i="18" s="1"/>
  <c r="AX87" i="17"/>
  <c r="Y87" i="17"/>
  <c r="AS87" i="17" s="1"/>
  <c r="AA80" i="15"/>
  <c r="AY80" i="15" s="1"/>
  <c r="AG72" i="13"/>
  <c r="AC71" i="13"/>
  <c r="AE73" i="13"/>
  <c r="AF73" i="13" s="1"/>
  <c r="J73" i="13"/>
  <c r="K73" i="13" s="1"/>
  <c r="H74" i="13"/>
  <c r="AL73" i="13"/>
  <c r="Y83" i="11"/>
  <c r="S88" i="11"/>
  <c r="S70" i="8"/>
  <c r="AS82" i="15" l="1"/>
  <c r="W83" i="15"/>
  <c r="AC75" i="19"/>
  <c r="AU75" i="19" s="1"/>
  <c r="AY75" i="19"/>
  <c r="AA76" i="19"/>
  <c r="AI80" i="19"/>
  <c r="AW80" i="19" s="1"/>
  <c r="AZ80" i="19"/>
  <c r="AS83" i="19"/>
  <c r="W84" i="19"/>
  <c r="AU76" i="17"/>
  <c r="AA77" i="17"/>
  <c r="AZ80" i="17"/>
  <c r="AI80" i="17"/>
  <c r="AW80" i="17" s="1"/>
  <c r="AG81" i="17"/>
  <c r="AC77" i="18"/>
  <c r="AU77" i="18" s="1"/>
  <c r="AG83" i="15"/>
  <c r="AZ83" i="15"/>
  <c r="AI83" i="15"/>
  <c r="W81" i="18"/>
  <c r="AX81" i="18" s="1"/>
  <c r="AZ83" i="18"/>
  <c r="AI83" i="18"/>
  <c r="AW83" i="18" s="1"/>
  <c r="W88" i="17"/>
  <c r="Y88" i="17"/>
  <c r="AS88" i="17" s="1"/>
  <c r="AX88" i="17"/>
  <c r="AC80" i="15"/>
  <c r="AU80" i="15" s="1"/>
  <c r="AZ72" i="13"/>
  <c r="AI72" i="13"/>
  <c r="AW72" i="13" s="1"/>
  <c r="AU71" i="13"/>
  <c r="AA72" i="13"/>
  <c r="AY72" i="13" s="1"/>
  <c r="I74" i="13"/>
  <c r="U88" i="11"/>
  <c r="AK88" i="11" s="1"/>
  <c r="AA83" i="11"/>
  <c r="AM83" i="11" s="1"/>
  <c r="U70" i="8"/>
  <c r="AK70" i="8" s="1"/>
  <c r="AX83" i="15" l="1"/>
  <c r="Y83" i="15"/>
  <c r="AY76" i="19"/>
  <c r="AC76" i="19"/>
  <c r="AU76" i="19" s="1"/>
  <c r="AG81" i="19"/>
  <c r="AX84" i="19"/>
  <c r="Y84" i="19"/>
  <c r="AS84" i="19" s="1"/>
  <c r="AC77" i="17"/>
  <c r="AU77" i="17" s="1"/>
  <c r="AY77" i="17"/>
  <c r="AZ81" i="17"/>
  <c r="AI81" i="17"/>
  <c r="AW81" i="17" s="1"/>
  <c r="AG82" i="17"/>
  <c r="AA78" i="17"/>
  <c r="AA78" i="18"/>
  <c r="AW83" i="15"/>
  <c r="AG84" i="15"/>
  <c r="Y81" i="18"/>
  <c r="AS81" i="18" s="1"/>
  <c r="W82" i="18"/>
  <c r="AX82" i="18" s="1"/>
  <c r="AG84" i="18"/>
  <c r="AI84" i="18" s="1"/>
  <c r="AW84" i="18" s="1"/>
  <c r="AY78" i="18"/>
  <c r="AC78" i="18"/>
  <c r="AU78" i="18" s="1"/>
  <c r="W89" i="17"/>
  <c r="AA81" i="15"/>
  <c r="AY81" i="15" s="1"/>
  <c r="AG73" i="13"/>
  <c r="AC72" i="13"/>
  <c r="J74" i="13"/>
  <c r="K74" i="13" s="1"/>
  <c r="AE74" i="13"/>
  <c r="AF74" i="13" s="1"/>
  <c r="H75" i="13"/>
  <c r="AL74" i="13"/>
  <c r="Y84" i="11"/>
  <c r="S89" i="11"/>
  <c r="S71" i="8"/>
  <c r="AS83" i="15" l="1"/>
  <c r="W84" i="15"/>
  <c r="AA77" i="19"/>
  <c r="AZ81" i="19"/>
  <c r="AI81" i="19"/>
  <c r="AW81" i="19" s="1"/>
  <c r="W85" i="19"/>
  <c r="AX85" i="19" s="1"/>
  <c r="AY78" i="17"/>
  <c r="AC78" i="17"/>
  <c r="AU78" i="17" s="1"/>
  <c r="AZ82" i="17"/>
  <c r="AI82" i="17"/>
  <c r="AW82" i="17" s="1"/>
  <c r="AZ84" i="15"/>
  <c r="AI84" i="15"/>
  <c r="AW84" i="15" s="1"/>
  <c r="Y82" i="18"/>
  <c r="AS82" i="18" s="1"/>
  <c r="AZ84" i="18"/>
  <c r="AA79" i="18"/>
  <c r="W83" i="18"/>
  <c r="AY79" i="18"/>
  <c r="AC79" i="18"/>
  <c r="AU79" i="18" s="1"/>
  <c r="AG85" i="18"/>
  <c r="AC81" i="15"/>
  <c r="AU81" i="15" s="1"/>
  <c r="Y89" i="17"/>
  <c r="AS89" i="17" s="1"/>
  <c r="W90" i="17"/>
  <c r="AX89" i="17"/>
  <c r="AZ73" i="13"/>
  <c r="AI73" i="13"/>
  <c r="AW73" i="13" s="1"/>
  <c r="AU72" i="13"/>
  <c r="AA73" i="13"/>
  <c r="AY73" i="13" s="1"/>
  <c r="I75" i="13"/>
  <c r="U89" i="11"/>
  <c r="AK89" i="11" s="1"/>
  <c r="AA84" i="11"/>
  <c r="AM84" i="11" s="1"/>
  <c r="U71" i="8"/>
  <c r="AK71" i="8" s="1"/>
  <c r="AX84" i="15" l="1"/>
  <c r="Y84" i="15"/>
  <c r="AS84" i="15" s="1"/>
  <c r="W85" i="15"/>
  <c r="AY77" i="19"/>
  <c r="AC77" i="19"/>
  <c r="Y85" i="19"/>
  <c r="AS85" i="19" s="1"/>
  <c r="AG82" i="19"/>
  <c r="AZ82" i="19" s="1"/>
  <c r="AA79" i="17"/>
  <c r="AG83" i="17"/>
  <c r="AA82" i="15"/>
  <c r="AC82" i="15" s="1"/>
  <c r="AU82" i="15" s="1"/>
  <c r="AG85" i="15"/>
  <c r="AA80" i="18"/>
  <c r="AZ85" i="18"/>
  <c r="AI85" i="18"/>
  <c r="AW85" i="18" s="1"/>
  <c r="AX83" i="18"/>
  <c r="Y83" i="18"/>
  <c r="AS83" i="18" s="1"/>
  <c r="AX90" i="17"/>
  <c r="Y90" i="17"/>
  <c r="AS90" i="17" s="1"/>
  <c r="AG74" i="13"/>
  <c r="AC73" i="13"/>
  <c r="J75" i="13"/>
  <c r="K75" i="13" s="1"/>
  <c r="AE75" i="13"/>
  <c r="AF75" i="13" s="1"/>
  <c r="H76" i="13"/>
  <c r="AL75" i="13"/>
  <c r="Y85" i="11"/>
  <c r="S90" i="11"/>
  <c r="S72" i="8"/>
  <c r="Y85" i="15" l="1"/>
  <c r="AS85" i="15" s="1"/>
  <c r="W86" i="15"/>
  <c r="AX85" i="15"/>
  <c r="AA78" i="19"/>
  <c r="AU77" i="19"/>
  <c r="W86" i="19"/>
  <c r="AX86" i="19" s="1"/>
  <c r="AI82" i="19"/>
  <c r="AG83" i="19" s="1"/>
  <c r="AC79" i="17"/>
  <c r="AY79" i="17"/>
  <c r="AI83" i="17"/>
  <c r="AW83" i="17" s="1"/>
  <c r="AZ83" i="17"/>
  <c r="AY82" i="15"/>
  <c r="AI85" i="15"/>
  <c r="AW85" i="15" s="1"/>
  <c r="AZ85" i="15"/>
  <c r="W84" i="18"/>
  <c r="AG86" i="18"/>
  <c r="AZ86" i="18" s="1"/>
  <c r="AI86" i="18"/>
  <c r="AW86" i="18" s="1"/>
  <c r="AY80" i="18"/>
  <c r="AC80" i="18"/>
  <c r="AU80" i="18" s="1"/>
  <c r="Y84" i="18"/>
  <c r="AS84" i="18" s="1"/>
  <c r="AX84" i="18"/>
  <c r="W91" i="17"/>
  <c r="AA83" i="15"/>
  <c r="AY83" i="15" s="1"/>
  <c r="AZ74" i="13"/>
  <c r="AI74" i="13"/>
  <c r="AW74" i="13" s="1"/>
  <c r="AU73" i="13"/>
  <c r="AA74" i="13"/>
  <c r="AY74" i="13" s="1"/>
  <c r="I76" i="13"/>
  <c r="U90" i="11"/>
  <c r="AK90" i="11" s="1"/>
  <c r="AA85" i="11"/>
  <c r="AM85" i="11" s="1"/>
  <c r="U72" i="8"/>
  <c r="AK72" i="8" s="1"/>
  <c r="W87" i="15" l="1"/>
  <c r="Y86" i="15"/>
  <c r="AS86" i="15" s="1"/>
  <c r="AX86" i="15"/>
  <c r="Y87" i="15"/>
  <c r="AS87" i="15" s="1"/>
  <c r="AX87" i="15"/>
  <c r="AY78" i="19"/>
  <c r="AC78" i="19"/>
  <c r="AU78" i="19" s="1"/>
  <c r="AW82" i="19"/>
  <c r="Y86" i="19"/>
  <c r="AS86" i="19" s="1"/>
  <c r="AI83" i="19"/>
  <c r="AZ83" i="19"/>
  <c r="AG86" i="15"/>
  <c r="AU79" i="17"/>
  <c r="AA80" i="17"/>
  <c r="AG84" i="17"/>
  <c r="AZ86" i="15"/>
  <c r="AI86" i="15"/>
  <c r="AW86" i="15" s="1"/>
  <c r="W85" i="18"/>
  <c r="AA81" i="18"/>
  <c r="AG87" i="18"/>
  <c r="Y91" i="17"/>
  <c r="AS91" i="17" s="1"/>
  <c r="AX91" i="17"/>
  <c r="W92" i="17"/>
  <c r="AC83" i="15"/>
  <c r="AU83" i="15" s="1"/>
  <c r="AG75" i="13"/>
  <c r="AC74" i="13"/>
  <c r="AL76" i="13"/>
  <c r="J76" i="13"/>
  <c r="K76" i="13" s="1"/>
  <c r="AE76" i="13"/>
  <c r="AF76" i="13" s="1"/>
  <c r="H77" i="13"/>
  <c r="Y86" i="11"/>
  <c r="AA86" i="11" s="1"/>
  <c r="AM86" i="11" s="1"/>
  <c r="S91" i="11"/>
  <c r="S73" i="8"/>
  <c r="W88" i="15" l="1"/>
  <c r="AA79" i="19"/>
  <c r="W87" i="19"/>
  <c r="AW83" i="19"/>
  <c r="AG84" i="19"/>
  <c r="Y87" i="19"/>
  <c r="AS87" i="19" s="1"/>
  <c r="AX87" i="19"/>
  <c r="AY80" i="17"/>
  <c r="AC80" i="17"/>
  <c r="AU80" i="17" s="1"/>
  <c r="AA81" i="17"/>
  <c r="AI84" i="17"/>
  <c r="AZ84" i="17"/>
  <c r="AG87" i="15"/>
  <c r="AI87" i="15" s="1"/>
  <c r="AW87" i="15" s="1"/>
  <c r="AZ87" i="15"/>
  <c r="AI87" i="18"/>
  <c r="AW87" i="18" s="1"/>
  <c r="AZ87" i="18"/>
  <c r="AY81" i="18"/>
  <c r="AC81" i="18"/>
  <c r="AU81" i="18" s="1"/>
  <c r="AX85" i="18"/>
  <c r="Y85" i="18"/>
  <c r="AS85" i="18" s="1"/>
  <c r="AX92" i="17"/>
  <c r="Y92" i="17"/>
  <c r="AS92" i="17" s="1"/>
  <c r="AA84" i="15"/>
  <c r="AY84" i="15" s="1"/>
  <c r="AZ75" i="13"/>
  <c r="AI75" i="13"/>
  <c r="AW75" i="13" s="1"/>
  <c r="AU74" i="13"/>
  <c r="AA75" i="13"/>
  <c r="AY75" i="13" s="1"/>
  <c r="I77" i="13"/>
  <c r="U91" i="11"/>
  <c r="AK91" i="11" s="1"/>
  <c r="Y87" i="11"/>
  <c r="U73" i="8"/>
  <c r="AK73" i="8" s="1"/>
  <c r="Y88" i="15" l="1"/>
  <c r="AS88" i="15" s="1"/>
  <c r="AX88" i="15"/>
  <c r="AC79" i="19"/>
  <c r="AU79" i="19" s="1"/>
  <c r="AY79" i="19"/>
  <c r="AA80" i="19"/>
  <c r="AZ84" i="19"/>
  <c r="AI84" i="19"/>
  <c r="AW84" i="19" s="1"/>
  <c r="W88" i="19"/>
  <c r="AX88" i="19" s="1"/>
  <c r="AW84" i="17"/>
  <c r="AG85" i="17"/>
  <c r="AY81" i="17"/>
  <c r="AC81" i="17"/>
  <c r="AU81" i="17" s="1"/>
  <c r="AG88" i="15"/>
  <c r="AZ88" i="15" s="1"/>
  <c r="W86" i="18"/>
  <c r="AX86" i="18" s="1"/>
  <c r="AA82" i="18"/>
  <c r="Y86" i="18"/>
  <c r="AS86" i="18" s="1"/>
  <c r="AG88" i="18"/>
  <c r="W93" i="17"/>
  <c r="AC84" i="15"/>
  <c r="AU84" i="15" s="1"/>
  <c r="AG76" i="13"/>
  <c r="AC75" i="13"/>
  <c r="AE77" i="13"/>
  <c r="AF77" i="13" s="1"/>
  <c r="J77" i="13"/>
  <c r="K77" i="13" s="1"/>
  <c r="H78" i="13"/>
  <c r="AL77" i="13"/>
  <c r="AA87" i="11"/>
  <c r="AM87" i="11" s="1"/>
  <c r="S92" i="11"/>
  <c r="S74" i="8"/>
  <c r="W89" i="15" l="1"/>
  <c r="AY80" i="19"/>
  <c r="AC80" i="19"/>
  <c r="AU80" i="19" s="1"/>
  <c r="Y88" i="19"/>
  <c r="AS88" i="19" s="1"/>
  <c r="AG85" i="19"/>
  <c r="AI85" i="19" s="1"/>
  <c r="AW85" i="19" s="1"/>
  <c r="AI88" i="15"/>
  <c r="AW88" i="15" s="1"/>
  <c r="AZ85" i="17"/>
  <c r="AI85" i="17"/>
  <c r="AA82" i="17"/>
  <c r="AA85" i="15"/>
  <c r="AG89" i="15"/>
  <c r="W87" i="18"/>
  <c r="AZ88" i="18"/>
  <c r="AI88" i="18"/>
  <c r="AW88" i="18" s="1"/>
  <c r="AX87" i="18"/>
  <c r="Y87" i="18"/>
  <c r="AS87" i="18" s="1"/>
  <c r="AY82" i="18"/>
  <c r="AC82" i="18"/>
  <c r="AU82" i="18" s="1"/>
  <c r="AX93" i="17"/>
  <c r="Y93" i="17"/>
  <c r="AS93" i="17" s="1"/>
  <c r="W94" i="17"/>
  <c r="AY85" i="15"/>
  <c r="AC85" i="15"/>
  <c r="AU85" i="15" s="1"/>
  <c r="AZ76" i="13"/>
  <c r="AI76" i="13"/>
  <c r="AW76" i="13" s="1"/>
  <c r="AU75" i="13"/>
  <c r="AA76" i="13"/>
  <c r="AY76" i="13" s="1"/>
  <c r="I78" i="13"/>
  <c r="U92" i="11"/>
  <c r="AK92" i="11" s="1"/>
  <c r="Y88" i="11"/>
  <c r="U74" i="8"/>
  <c r="Y89" i="15" l="1"/>
  <c r="AS89" i="15" s="1"/>
  <c r="AX89" i="15"/>
  <c r="W89" i="19"/>
  <c r="AA81" i="19"/>
  <c r="AC81" i="19" s="1"/>
  <c r="AZ85" i="19"/>
  <c r="AG86" i="19"/>
  <c r="AX89" i="19"/>
  <c r="Y89" i="19"/>
  <c r="AG86" i="17"/>
  <c r="AW85" i="17"/>
  <c r="AC82" i="17"/>
  <c r="AU82" i="17" s="1"/>
  <c r="AY82" i="17"/>
  <c r="AI89" i="15"/>
  <c r="AW89" i="15" s="1"/>
  <c r="AZ89" i="15"/>
  <c r="AA83" i="18"/>
  <c r="AC83" i="18" s="1"/>
  <c r="AU83" i="18" s="1"/>
  <c r="W88" i="18"/>
  <c r="AG89" i="18"/>
  <c r="Y94" i="17"/>
  <c r="AS94" i="17" s="1"/>
  <c r="AX94" i="17"/>
  <c r="AA86" i="15"/>
  <c r="AG77" i="13"/>
  <c r="AC76" i="13"/>
  <c r="AL78" i="13"/>
  <c r="H79" i="13"/>
  <c r="AE78" i="13"/>
  <c r="AF78" i="13" s="1"/>
  <c r="J78" i="13"/>
  <c r="K78" i="13" s="1"/>
  <c r="AA88" i="11"/>
  <c r="AM88" i="11" s="1"/>
  <c r="S93" i="11"/>
  <c r="AK74" i="8"/>
  <c r="S75" i="8"/>
  <c r="W90" i="15" l="1"/>
  <c r="AX90" i="15" s="1"/>
  <c r="AY81" i="19"/>
  <c r="AU81" i="19"/>
  <c r="AA82" i="19"/>
  <c r="AZ86" i="19"/>
  <c r="AI86" i="19"/>
  <c r="AS89" i="19"/>
  <c r="W90" i="19"/>
  <c r="AZ86" i="17"/>
  <c r="AI86" i="17"/>
  <c r="AW86" i="17" s="1"/>
  <c r="AG87" i="17"/>
  <c r="AI87" i="17" s="1"/>
  <c r="AA83" i="17"/>
  <c r="AG90" i="15"/>
  <c r="AZ90" i="15" s="1"/>
  <c r="AY83" i="18"/>
  <c r="AA84" i="18"/>
  <c r="AZ89" i="18"/>
  <c r="AI89" i="18"/>
  <c r="AW89" i="18" s="1"/>
  <c r="Y88" i="18"/>
  <c r="AS88" i="18" s="1"/>
  <c r="AX88" i="18"/>
  <c r="W95" i="17"/>
  <c r="Y95" i="17"/>
  <c r="AS95" i="17" s="1"/>
  <c r="AX95" i="17"/>
  <c r="AY86" i="15"/>
  <c r="AC86" i="15"/>
  <c r="AU86" i="15" s="1"/>
  <c r="AZ77" i="13"/>
  <c r="AI77" i="13"/>
  <c r="AW77" i="13" s="1"/>
  <c r="AU76" i="13"/>
  <c r="AA77" i="13"/>
  <c r="AY77" i="13" s="1"/>
  <c r="I79" i="13"/>
  <c r="U93" i="11"/>
  <c r="AK93" i="11" s="1"/>
  <c r="Y89" i="11"/>
  <c r="U75" i="8"/>
  <c r="AK75" i="8" s="1"/>
  <c r="Y90" i="15" l="1"/>
  <c r="AS90" i="15" s="1"/>
  <c r="W91" i="15"/>
  <c r="Y91" i="15" s="1"/>
  <c r="AS91" i="15" s="1"/>
  <c r="AY82" i="19"/>
  <c r="AC82" i="19"/>
  <c r="AW86" i="19"/>
  <c r="AG87" i="19"/>
  <c r="AX90" i="19"/>
  <c r="Y90" i="19"/>
  <c r="AS90" i="19" s="1"/>
  <c r="AI90" i="15"/>
  <c r="AW90" i="15" s="1"/>
  <c r="AC83" i="17"/>
  <c r="AU83" i="17" s="1"/>
  <c r="AY83" i="17"/>
  <c r="AZ87" i="17"/>
  <c r="AG91" i="15"/>
  <c r="AZ91" i="15" s="1"/>
  <c r="W89" i="18"/>
  <c r="AW87" i="17"/>
  <c r="AG88" i="17"/>
  <c r="AG90" i="18"/>
  <c r="AY84" i="18"/>
  <c r="AC84" i="18"/>
  <c r="AU84" i="18" s="1"/>
  <c r="W96" i="17"/>
  <c r="AA87" i="15"/>
  <c r="AY87" i="15" s="1"/>
  <c r="AG78" i="13"/>
  <c r="AC77" i="13"/>
  <c r="AE79" i="13"/>
  <c r="AF79" i="13" s="1"/>
  <c r="H80" i="13"/>
  <c r="AL79" i="13"/>
  <c r="J79" i="13"/>
  <c r="K79" i="13" s="1"/>
  <c r="AA89" i="11"/>
  <c r="AM89" i="11" s="1"/>
  <c r="S94" i="11"/>
  <c r="S76" i="8"/>
  <c r="AX91" i="15" l="1"/>
  <c r="W92" i="15"/>
  <c r="AX92" i="15"/>
  <c r="Y92" i="15"/>
  <c r="AS92" i="15" s="1"/>
  <c r="AU82" i="19"/>
  <c r="AA83" i="19"/>
  <c r="AZ87" i="19"/>
  <c r="AI87" i="19"/>
  <c r="AW87" i="19" s="1"/>
  <c r="W91" i="19"/>
  <c r="Y91" i="19" s="1"/>
  <c r="AI91" i="15"/>
  <c r="AW91" i="15" s="1"/>
  <c r="AA84" i="17"/>
  <c r="AC87" i="15"/>
  <c r="AU87" i="15" s="1"/>
  <c r="AI90" i="18"/>
  <c r="AW90" i="18" s="1"/>
  <c r="AZ90" i="18"/>
  <c r="AI88" i="17"/>
  <c r="AW88" i="17" s="1"/>
  <c r="AZ88" i="17"/>
  <c r="AA85" i="18"/>
  <c r="Y89" i="18"/>
  <c r="AS89" i="18" s="1"/>
  <c r="AX89" i="18"/>
  <c r="Y96" i="17"/>
  <c r="AS96" i="17" s="1"/>
  <c r="AX96" i="17"/>
  <c r="AA88" i="15"/>
  <c r="AZ78" i="13"/>
  <c r="AI78" i="13"/>
  <c r="AW78" i="13" s="1"/>
  <c r="AU77" i="13"/>
  <c r="AA78" i="13"/>
  <c r="AY78" i="13" s="1"/>
  <c r="I80" i="13"/>
  <c r="Y90" i="11"/>
  <c r="AA90" i="11" s="1"/>
  <c r="AM90" i="11" s="1"/>
  <c r="U94" i="11"/>
  <c r="AK94" i="11" s="1"/>
  <c r="U76" i="8"/>
  <c r="AK76" i="8" s="1"/>
  <c r="W93" i="15" l="1"/>
  <c r="AX91" i="19"/>
  <c r="AC83" i="19"/>
  <c r="AU83" i="19" s="1"/>
  <c r="AY83" i="19"/>
  <c r="AG88" i="19"/>
  <c r="AI88" i="19" s="1"/>
  <c r="AW88" i="19" s="1"/>
  <c r="AS91" i="19"/>
  <c r="W92" i="19"/>
  <c r="AG92" i="15"/>
  <c r="AC84" i="17"/>
  <c r="AU84" i="17" s="1"/>
  <c r="AY84" i="17"/>
  <c r="AA85" i="17"/>
  <c r="AG89" i="17"/>
  <c r="AY85" i="18"/>
  <c r="AC85" i="18"/>
  <c r="AU85" i="18" s="1"/>
  <c r="W90" i="18"/>
  <c r="AG91" i="18"/>
  <c r="W97" i="17"/>
  <c r="AY88" i="15"/>
  <c r="AC88" i="15"/>
  <c r="AU88" i="15" s="1"/>
  <c r="AG79" i="13"/>
  <c r="AC78" i="13"/>
  <c r="AL80" i="13"/>
  <c r="H81" i="13"/>
  <c r="J80" i="13"/>
  <c r="K80" i="13" s="1"/>
  <c r="AE80" i="13"/>
  <c r="AF80" i="13" s="1"/>
  <c r="Y91" i="11"/>
  <c r="AA91" i="11" s="1"/>
  <c r="AM91" i="11" s="1"/>
  <c r="S95" i="11"/>
  <c r="S77" i="8"/>
  <c r="AX93" i="15" l="1"/>
  <c r="Y93" i="15"/>
  <c r="AS93" i="15" s="1"/>
  <c r="AZ88" i="19"/>
  <c r="AA84" i="19"/>
  <c r="AY84" i="19" s="1"/>
  <c r="AC84" i="19"/>
  <c r="AG89" i="19"/>
  <c r="Y92" i="19"/>
  <c r="AS92" i="19" s="1"/>
  <c r="AX92" i="19"/>
  <c r="AY85" i="17"/>
  <c r="AC85" i="17"/>
  <c r="AU85" i="17" s="1"/>
  <c r="AA86" i="17"/>
  <c r="AZ92" i="15"/>
  <c r="AI92" i="15"/>
  <c r="AI91" i="18"/>
  <c r="AW91" i="18" s="1"/>
  <c r="AZ91" i="18"/>
  <c r="Y90" i="18"/>
  <c r="AS90" i="18" s="1"/>
  <c r="AX90" i="18"/>
  <c r="AA86" i="18"/>
  <c r="AZ89" i="17"/>
  <c r="AI89" i="17"/>
  <c r="AW89" i="17" s="1"/>
  <c r="Y97" i="17"/>
  <c r="AS97" i="17" s="1"/>
  <c r="AX97" i="17"/>
  <c r="AA89" i="15"/>
  <c r="AI79" i="13"/>
  <c r="AW79" i="13" s="1"/>
  <c r="AZ79" i="13"/>
  <c r="AU78" i="13"/>
  <c r="AA79" i="13"/>
  <c r="AY79" i="13" s="1"/>
  <c r="I81" i="13"/>
  <c r="Y92" i="11"/>
  <c r="AA92" i="11" s="1"/>
  <c r="AM92" i="11" s="1"/>
  <c r="U95" i="11"/>
  <c r="AK95" i="11" s="1"/>
  <c r="U77" i="8"/>
  <c r="AK77" i="8" s="1"/>
  <c r="W94" i="15" l="1"/>
  <c r="AU84" i="19"/>
  <c r="AA85" i="19"/>
  <c r="AZ89" i="19"/>
  <c r="AI89" i="19"/>
  <c r="AW89" i="19" s="1"/>
  <c r="W93" i="19"/>
  <c r="AX93" i="19" s="1"/>
  <c r="AW92" i="15"/>
  <c r="AG93" i="15"/>
  <c r="AY86" i="17"/>
  <c r="AC86" i="17"/>
  <c r="AU86" i="17" s="1"/>
  <c r="AG90" i="17"/>
  <c r="AA87" i="17"/>
  <c r="AY87" i="17" s="1"/>
  <c r="AY86" i="18"/>
  <c r="AC86" i="18"/>
  <c r="AU86" i="18" s="1"/>
  <c r="W91" i="18"/>
  <c r="AZ90" i="17"/>
  <c r="AI90" i="17"/>
  <c r="AW90" i="17" s="1"/>
  <c r="AG92" i="18"/>
  <c r="W98" i="17"/>
  <c r="AY89" i="15"/>
  <c r="AC89" i="15"/>
  <c r="AU89" i="15" s="1"/>
  <c r="AG80" i="13"/>
  <c r="AC79" i="13"/>
  <c r="H82" i="13"/>
  <c r="J81" i="13"/>
  <c r="K81" i="13" s="1"/>
  <c r="AL81" i="13"/>
  <c r="AE81" i="13"/>
  <c r="AF81" i="13" s="1"/>
  <c r="S96" i="11"/>
  <c r="Y93" i="11"/>
  <c r="S78" i="8"/>
  <c r="AX94" i="15" l="1"/>
  <c r="Y94" i="15"/>
  <c r="AS94" i="15" s="1"/>
  <c r="W95" i="15"/>
  <c r="Y93" i="19"/>
  <c r="AS93" i="19" s="1"/>
  <c r="AY85" i="19"/>
  <c r="AC85" i="19"/>
  <c r="AG90" i="19"/>
  <c r="AZ93" i="15"/>
  <c r="AI93" i="15"/>
  <c r="AW93" i="15" s="1"/>
  <c r="AC87" i="17"/>
  <c r="AU87" i="17" s="1"/>
  <c r="AG91" i="17"/>
  <c r="Y91" i="18"/>
  <c r="AS91" i="18" s="1"/>
  <c r="AX91" i="18"/>
  <c r="AZ92" i="18"/>
  <c r="AI92" i="18"/>
  <c r="AW92" i="18" s="1"/>
  <c r="AA87" i="18"/>
  <c r="AX98" i="17"/>
  <c r="Y98" i="17"/>
  <c r="AS98" i="17" s="1"/>
  <c r="AA90" i="15"/>
  <c r="AZ80" i="13"/>
  <c r="AI80" i="13"/>
  <c r="AW80" i="13" s="1"/>
  <c r="AU79" i="13"/>
  <c r="AA80" i="13"/>
  <c r="AY80" i="13" s="1"/>
  <c r="I82" i="13"/>
  <c r="AA93" i="11"/>
  <c r="AM93" i="11" s="1"/>
  <c r="U96" i="11"/>
  <c r="AK96" i="11" s="1"/>
  <c r="U78" i="8"/>
  <c r="AK78" i="8" s="1"/>
  <c r="AX95" i="15" l="1"/>
  <c r="Y95" i="15"/>
  <c r="AS95" i="15" s="1"/>
  <c r="W94" i="19"/>
  <c r="AU85" i="19"/>
  <c r="AA86" i="19"/>
  <c r="AZ90" i="19"/>
  <c r="AI90" i="19"/>
  <c r="AW90" i="19" s="1"/>
  <c r="Y94" i="19"/>
  <c r="AX94" i="19"/>
  <c r="AG94" i="15"/>
  <c r="AA88" i="17"/>
  <c r="AG93" i="18"/>
  <c r="AI93" i="18" s="1"/>
  <c r="AW93" i="18" s="1"/>
  <c r="AY87" i="18"/>
  <c r="AC87" i="18"/>
  <c r="AU87" i="18" s="1"/>
  <c r="W92" i="18"/>
  <c r="AZ91" i="17"/>
  <c r="AI91" i="17"/>
  <c r="AW91" i="17" s="1"/>
  <c r="AG92" i="17"/>
  <c r="W99" i="17"/>
  <c r="AX99" i="17"/>
  <c r="Y99" i="17"/>
  <c r="AS99" i="17" s="1"/>
  <c r="AY88" i="17"/>
  <c r="AC88" i="17"/>
  <c r="AU88" i="17" s="1"/>
  <c r="AY90" i="15"/>
  <c r="AC90" i="15"/>
  <c r="AU90" i="15" s="1"/>
  <c r="AG81" i="13"/>
  <c r="AC80" i="13"/>
  <c r="AL82" i="13"/>
  <c r="J82" i="13"/>
  <c r="K82" i="13" s="1"/>
  <c r="H83" i="13"/>
  <c r="AE82" i="13"/>
  <c r="AF82" i="13" s="1"/>
  <c r="S97" i="11"/>
  <c r="Y94" i="11"/>
  <c r="S79" i="8"/>
  <c r="W96" i="15" l="1"/>
  <c r="AY86" i="19"/>
  <c r="AC86" i="19"/>
  <c r="AU86" i="19" s="1"/>
  <c r="AG91" i="19"/>
  <c r="AZ91" i="19" s="1"/>
  <c r="AS94" i="19"/>
  <c r="W95" i="19"/>
  <c r="AI94" i="15"/>
  <c r="AW94" i="15" s="1"/>
  <c r="AZ94" i="15"/>
  <c r="AG95" i="15"/>
  <c r="AZ93" i="18"/>
  <c r="AG94" i="18"/>
  <c r="AZ94" i="18" s="1"/>
  <c r="Y92" i="18"/>
  <c r="AS92" i="18" s="1"/>
  <c r="AX92" i="18"/>
  <c r="AI92" i="17"/>
  <c r="AW92" i="17" s="1"/>
  <c r="AZ92" i="17"/>
  <c r="AA88" i="18"/>
  <c r="AA89" i="17"/>
  <c r="W100" i="17"/>
  <c r="AA91" i="15"/>
  <c r="AI81" i="13"/>
  <c r="AW81" i="13" s="1"/>
  <c r="AZ81" i="13"/>
  <c r="AU80" i="13"/>
  <c r="AA81" i="13"/>
  <c r="AY81" i="13" s="1"/>
  <c r="I83" i="13"/>
  <c r="AA94" i="11"/>
  <c r="AM94" i="11" s="1"/>
  <c r="U97" i="11"/>
  <c r="AK97" i="11" s="1"/>
  <c r="U79" i="8"/>
  <c r="AK79" i="8" s="1"/>
  <c r="AX96" i="15" l="1"/>
  <c r="Y96" i="15"/>
  <c r="AS96" i="15" s="1"/>
  <c r="AA87" i="19"/>
  <c r="AI91" i="19"/>
  <c r="AG92" i="19" s="1"/>
  <c r="Y95" i="19"/>
  <c r="AX95" i="19"/>
  <c r="AZ95" i="15"/>
  <c r="AI95" i="15"/>
  <c r="AW95" i="15" s="1"/>
  <c r="AI94" i="18"/>
  <c r="AW94" i="18" s="1"/>
  <c r="AG96" i="15"/>
  <c r="AI96" i="15"/>
  <c r="AW96" i="15" s="1"/>
  <c r="AZ96" i="15"/>
  <c r="W93" i="18"/>
  <c r="AX93" i="18" s="1"/>
  <c r="AY88" i="18"/>
  <c r="AC88" i="18"/>
  <c r="AU88" i="18" s="1"/>
  <c r="Y93" i="18"/>
  <c r="AS93" i="18" s="1"/>
  <c r="AG93" i="17"/>
  <c r="AY89" i="17"/>
  <c r="AC89" i="17"/>
  <c r="AU89" i="17" s="1"/>
  <c r="AX100" i="17"/>
  <c r="Y100" i="17"/>
  <c r="AS100" i="17" s="1"/>
  <c r="AY91" i="15"/>
  <c r="AC91" i="15"/>
  <c r="AU91" i="15" s="1"/>
  <c r="AG82" i="13"/>
  <c r="AC81" i="13"/>
  <c r="AL83" i="13"/>
  <c r="J83" i="13"/>
  <c r="K83" i="13" s="1"/>
  <c r="H84" i="13"/>
  <c r="AE83" i="13"/>
  <c r="AF83" i="13" s="1"/>
  <c r="S98" i="11"/>
  <c r="U98" i="11" s="1"/>
  <c r="AK98" i="11" s="1"/>
  <c r="Y95" i="11"/>
  <c r="AA95" i="11" s="1"/>
  <c r="S80" i="8"/>
  <c r="W97" i="15" l="1"/>
  <c r="AY87" i="19"/>
  <c r="AC87" i="19"/>
  <c r="AU87" i="19" s="1"/>
  <c r="AW91" i="19"/>
  <c r="AZ92" i="19"/>
  <c r="AI92" i="19"/>
  <c r="AW92" i="19" s="1"/>
  <c r="AS95" i="19"/>
  <c r="W96" i="19"/>
  <c r="AG97" i="15"/>
  <c r="AG95" i="18"/>
  <c r="AZ95" i="18" s="1"/>
  <c r="AI97" i="15"/>
  <c r="AW97" i="15" s="1"/>
  <c r="AZ97" i="15"/>
  <c r="AG98" i="15"/>
  <c r="AI95" i="18"/>
  <c r="AW95" i="18" s="1"/>
  <c r="W94" i="18"/>
  <c r="AX94" i="18" s="1"/>
  <c r="AA89" i="18"/>
  <c r="AZ93" i="17"/>
  <c r="AI93" i="17"/>
  <c r="AW93" i="17" s="1"/>
  <c r="W101" i="17"/>
  <c r="AA90" i="17"/>
  <c r="AA92" i="15"/>
  <c r="AI82" i="13"/>
  <c r="AW82" i="13" s="1"/>
  <c r="AZ82" i="13"/>
  <c r="AU81" i="13"/>
  <c r="AA82" i="13"/>
  <c r="AY82" i="13" s="1"/>
  <c r="I84" i="13"/>
  <c r="AM95" i="11"/>
  <c r="Y96" i="11"/>
  <c r="AA96" i="11" s="1"/>
  <c r="AM96" i="11" s="1"/>
  <c r="S99" i="11"/>
  <c r="U80" i="8"/>
  <c r="AK80" i="8" s="1"/>
  <c r="Y97" i="15" l="1"/>
  <c r="AS97" i="15" s="1"/>
  <c r="AX97" i="15"/>
  <c r="W98" i="15"/>
  <c r="AA88" i="19"/>
  <c r="AG93" i="19"/>
  <c r="AX96" i="19"/>
  <c r="Y96" i="19"/>
  <c r="AG96" i="18"/>
  <c r="AG94" i="17"/>
  <c r="AI94" i="17" s="1"/>
  <c r="AI98" i="15"/>
  <c r="AZ98" i="15"/>
  <c r="Y94" i="18"/>
  <c r="AS94" i="18" s="1"/>
  <c r="AZ94" i="17"/>
  <c r="AY89" i="18"/>
  <c r="AC89" i="18"/>
  <c r="AU89" i="18" s="1"/>
  <c r="AI96" i="18"/>
  <c r="AW96" i="18" s="1"/>
  <c r="AZ96" i="18"/>
  <c r="AY90" i="17"/>
  <c r="AC90" i="17"/>
  <c r="AU90" i="17" s="1"/>
  <c r="AX101" i="17"/>
  <c r="Y101" i="17"/>
  <c r="AS101" i="17" s="1"/>
  <c r="AY92" i="15"/>
  <c r="AC92" i="15"/>
  <c r="AU92" i="15" s="1"/>
  <c r="AG83" i="13"/>
  <c r="AC82" i="13"/>
  <c r="AL84" i="13"/>
  <c r="H85" i="13"/>
  <c r="AE84" i="13"/>
  <c r="AF84" i="13" s="1"/>
  <c r="J84" i="13"/>
  <c r="K84" i="13" s="1"/>
  <c r="U99" i="11"/>
  <c r="AK99" i="11" s="1"/>
  <c r="Y97" i="11"/>
  <c r="S81" i="8"/>
  <c r="Y98" i="15" l="1"/>
  <c r="AS98" i="15" s="1"/>
  <c r="AX98" i="15"/>
  <c r="AY88" i="19"/>
  <c r="AC88" i="19"/>
  <c r="AU88" i="19" s="1"/>
  <c r="AI93" i="19"/>
  <c r="AZ93" i="19"/>
  <c r="AS96" i="19"/>
  <c r="W97" i="19"/>
  <c r="AW94" i="17"/>
  <c r="AG95" i="17"/>
  <c r="AW98" i="15"/>
  <c r="AG99" i="15"/>
  <c r="W95" i="18"/>
  <c r="AG97" i="18"/>
  <c r="AZ97" i="18" s="1"/>
  <c r="AA90" i="18"/>
  <c r="AI95" i="17"/>
  <c r="AW95" i="17" s="1"/>
  <c r="AZ95" i="17"/>
  <c r="W102" i="17"/>
  <c r="AA91" i="17"/>
  <c r="Y102" i="17"/>
  <c r="AS102" i="17" s="1"/>
  <c r="AX102" i="17"/>
  <c r="AY91" i="17"/>
  <c r="AC91" i="17"/>
  <c r="AU91" i="17" s="1"/>
  <c r="AA93" i="15"/>
  <c r="AZ83" i="13"/>
  <c r="AI83" i="13"/>
  <c r="AW83" i="13" s="1"/>
  <c r="AU82" i="13"/>
  <c r="AA83" i="13"/>
  <c r="AY83" i="13" s="1"/>
  <c r="I85" i="13"/>
  <c r="AA97" i="11"/>
  <c r="AM97" i="11" s="1"/>
  <c r="S100" i="11"/>
  <c r="U81" i="8"/>
  <c r="AK81" i="8" s="1"/>
  <c r="W99" i="15" l="1"/>
  <c r="AA89" i="19"/>
  <c r="AY89" i="19" s="1"/>
  <c r="AC89" i="19"/>
  <c r="AU89" i="19" s="1"/>
  <c r="AW93" i="19"/>
  <c r="AG94" i="19"/>
  <c r="AX97" i="19"/>
  <c r="Y97" i="19"/>
  <c r="AS97" i="19" s="1"/>
  <c r="AG96" i="17"/>
  <c r="AZ99" i="15"/>
  <c r="AI99" i="15"/>
  <c r="AX95" i="18"/>
  <c r="Y95" i="18"/>
  <c r="AI97" i="18"/>
  <c r="AW97" i="18" s="1"/>
  <c r="AI96" i="17"/>
  <c r="AW96" i="17" s="1"/>
  <c r="AZ96" i="17"/>
  <c r="AY90" i="18"/>
  <c r="AC90" i="18"/>
  <c r="AU90" i="18" s="1"/>
  <c r="W103" i="17"/>
  <c r="AA92" i="17"/>
  <c r="AX103" i="17"/>
  <c r="Y103" i="17"/>
  <c r="AS103" i="17" s="1"/>
  <c r="W104" i="17"/>
  <c r="AY93" i="15"/>
  <c r="AC93" i="15"/>
  <c r="AU93" i="15" s="1"/>
  <c r="AG84" i="13"/>
  <c r="AC83" i="13"/>
  <c r="AE85" i="13"/>
  <c r="AF85" i="13" s="1"/>
  <c r="H86" i="13"/>
  <c r="AL85" i="13"/>
  <c r="J85" i="13"/>
  <c r="K85" i="13" s="1"/>
  <c r="U100" i="11"/>
  <c r="AK100" i="11" s="1"/>
  <c r="Y98" i="11"/>
  <c r="S82" i="8"/>
  <c r="Y99" i="15" l="1"/>
  <c r="AS99" i="15" s="1"/>
  <c r="AX99" i="15"/>
  <c r="AA90" i="19"/>
  <c r="AC90" i="19" s="1"/>
  <c r="AI94" i="19"/>
  <c r="AZ94" i="19"/>
  <c r="W98" i="19"/>
  <c r="Y98" i="19" s="1"/>
  <c r="AS98" i="19" s="1"/>
  <c r="AG97" i="17"/>
  <c r="AW99" i="15"/>
  <c r="AG100" i="15"/>
  <c r="AG98" i="18"/>
  <c r="AI98" i="18" s="1"/>
  <c r="AW98" i="18" s="1"/>
  <c r="AS95" i="18"/>
  <c r="W96" i="18"/>
  <c r="AA91" i="18"/>
  <c r="AY91" i="18" s="1"/>
  <c r="AI97" i="17"/>
  <c r="AW97" i="17" s="1"/>
  <c r="AZ97" i="17"/>
  <c r="AZ98" i="18"/>
  <c r="Y104" i="17"/>
  <c r="AS104" i="17" s="1"/>
  <c r="AX104" i="17"/>
  <c r="AY92" i="17"/>
  <c r="AC92" i="17"/>
  <c r="AU92" i="17" s="1"/>
  <c r="AA94" i="15"/>
  <c r="AZ84" i="13"/>
  <c r="AI84" i="13"/>
  <c r="AW84" i="13" s="1"/>
  <c r="AU83" i="13"/>
  <c r="AA84" i="13"/>
  <c r="AY84" i="13" s="1"/>
  <c r="I86" i="13"/>
  <c r="AA98" i="11"/>
  <c r="AM98" i="11" s="1"/>
  <c r="S101" i="11"/>
  <c r="U82" i="8"/>
  <c r="AK82" i="8" s="1"/>
  <c r="W100" i="15" l="1"/>
  <c r="AX100" i="15" s="1"/>
  <c r="Y100" i="15"/>
  <c r="AS100" i="15" s="1"/>
  <c r="AY90" i="19"/>
  <c r="AX98" i="19"/>
  <c r="AA91" i="19"/>
  <c r="AU90" i="19"/>
  <c r="AW94" i="19"/>
  <c r="AG95" i="19"/>
  <c r="W99" i="19"/>
  <c r="AX99" i="19" s="1"/>
  <c r="AG98" i="17"/>
  <c r="AZ98" i="17" s="1"/>
  <c r="AI100" i="15"/>
  <c r="AZ100" i="15"/>
  <c r="AC91" i="18"/>
  <c r="AU91" i="18" s="1"/>
  <c r="Y96" i="18"/>
  <c r="AX96" i="18"/>
  <c r="AA92" i="18"/>
  <c r="AY92" i="18" s="1"/>
  <c r="AC92" i="18"/>
  <c r="AU92" i="18" s="1"/>
  <c r="AG99" i="18"/>
  <c r="AA93" i="17"/>
  <c r="W105" i="17"/>
  <c r="AY94" i="15"/>
  <c r="AC94" i="15"/>
  <c r="AU94" i="15" s="1"/>
  <c r="AG85" i="13"/>
  <c r="AC84" i="13"/>
  <c r="H87" i="13"/>
  <c r="AL86" i="13"/>
  <c r="J86" i="13"/>
  <c r="K86" i="13" s="1"/>
  <c r="AE86" i="13"/>
  <c r="AF86" i="13" s="1"/>
  <c r="U101" i="11"/>
  <c r="AK101" i="11" s="1"/>
  <c r="Y99" i="11"/>
  <c r="S83" i="8"/>
  <c r="W101" i="15" l="1"/>
  <c r="Y101" i="15" s="1"/>
  <c r="Y99" i="19"/>
  <c r="AS99" i="19" s="1"/>
  <c r="AC91" i="19"/>
  <c r="AU91" i="19" s="1"/>
  <c r="AY91" i="19"/>
  <c r="AZ95" i="19"/>
  <c r="AI95" i="19"/>
  <c r="AW95" i="19" s="1"/>
  <c r="W100" i="19"/>
  <c r="AI98" i="17"/>
  <c r="AW100" i="15"/>
  <c r="AG101" i="15"/>
  <c r="AS96" i="18"/>
  <c r="W97" i="18"/>
  <c r="AW98" i="17"/>
  <c r="AG99" i="17"/>
  <c r="AI99" i="18"/>
  <c r="AW99" i="18" s="1"/>
  <c r="AZ99" i="18"/>
  <c r="AA93" i="18"/>
  <c r="Y105" i="17"/>
  <c r="AS105" i="17" s="1"/>
  <c r="AX105" i="17"/>
  <c r="W106" i="17"/>
  <c r="AY93" i="17"/>
  <c r="AC93" i="17"/>
  <c r="AU93" i="17" s="1"/>
  <c r="AA95" i="15"/>
  <c r="AI85" i="13"/>
  <c r="AW85" i="13" s="1"/>
  <c r="AZ85" i="13"/>
  <c r="AU84" i="13"/>
  <c r="AA85" i="13"/>
  <c r="AY85" i="13" s="1"/>
  <c r="I87" i="13"/>
  <c r="AA99" i="11"/>
  <c r="AM99" i="11" s="1"/>
  <c r="S102" i="11"/>
  <c r="U83" i="8"/>
  <c r="AK83" i="8" s="1"/>
  <c r="AX101" i="15" l="1"/>
  <c r="AS101" i="15"/>
  <c r="W102" i="15"/>
  <c r="Y102" i="15" s="1"/>
  <c r="AS102" i="15" s="1"/>
  <c r="AX102" i="15"/>
  <c r="AA92" i="19"/>
  <c r="AG96" i="19"/>
  <c r="AZ96" i="19" s="1"/>
  <c r="AX100" i="19"/>
  <c r="Y100" i="19"/>
  <c r="AZ101" i="15"/>
  <c r="AI101" i="15"/>
  <c r="Y97" i="18"/>
  <c r="AS97" i="18" s="1"/>
  <c r="AX97" i="18"/>
  <c r="AG100" i="18"/>
  <c r="AZ100" i="18" s="1"/>
  <c r="AZ99" i="17"/>
  <c r="AI99" i="17"/>
  <c r="AY93" i="18"/>
  <c r="AC93" i="18"/>
  <c r="AU93" i="18" s="1"/>
  <c r="AA94" i="17"/>
  <c r="AY94" i="17" s="1"/>
  <c r="AX106" i="17"/>
  <c r="Y106" i="17"/>
  <c r="AS106" i="17" s="1"/>
  <c r="AY95" i="15"/>
  <c r="AC95" i="15"/>
  <c r="AU95" i="15" s="1"/>
  <c r="AG86" i="13"/>
  <c r="AC85" i="13"/>
  <c r="J87" i="13"/>
  <c r="K87" i="13" s="1"/>
  <c r="H88" i="13"/>
  <c r="AE87" i="13"/>
  <c r="AF87" i="13" s="1"/>
  <c r="AL87" i="13"/>
  <c r="Y100" i="11"/>
  <c r="AA100" i="11" s="1"/>
  <c r="AM100" i="11" s="1"/>
  <c r="U102" i="11"/>
  <c r="AK102" i="11" s="1"/>
  <c r="S84" i="8"/>
  <c r="W103" i="15" l="1"/>
  <c r="AX103" i="15" s="1"/>
  <c r="AI96" i="19"/>
  <c r="AY92" i="19"/>
  <c r="AC92" i="19"/>
  <c r="AW96" i="19"/>
  <c r="AG97" i="19"/>
  <c r="AS100" i="19"/>
  <c r="W101" i="19"/>
  <c r="AC94" i="17"/>
  <c r="AU94" i="17" s="1"/>
  <c r="AW101" i="15"/>
  <c r="AG102" i="15"/>
  <c r="W98" i="18"/>
  <c r="Y98" i="18" s="1"/>
  <c r="AI100" i="18"/>
  <c r="AW100" i="18" s="1"/>
  <c r="AW99" i="17"/>
  <c r="AG100" i="17"/>
  <c r="AA94" i="18"/>
  <c r="W107" i="17"/>
  <c r="AX107" i="17"/>
  <c r="Y107" i="17"/>
  <c r="AS107" i="17" s="1"/>
  <c r="AA95" i="17"/>
  <c r="AA96" i="15"/>
  <c r="AZ86" i="13"/>
  <c r="AI86" i="13"/>
  <c r="AW86" i="13" s="1"/>
  <c r="AU85" i="13"/>
  <c r="AA86" i="13"/>
  <c r="AY86" i="13" s="1"/>
  <c r="I88" i="13"/>
  <c r="S103" i="11"/>
  <c r="Y101" i="11"/>
  <c r="U84" i="8"/>
  <c r="AK84" i="8" s="1"/>
  <c r="Y103" i="15" l="1"/>
  <c r="AS103" i="15" s="1"/>
  <c r="W104" i="15"/>
  <c r="AU92" i="19"/>
  <c r="AA93" i="19"/>
  <c r="AI97" i="19"/>
  <c r="AZ97" i="19"/>
  <c r="Y101" i="19"/>
  <c r="AX101" i="19"/>
  <c r="AZ102" i="15"/>
  <c r="AI102" i="15"/>
  <c r="AW102" i="15" s="1"/>
  <c r="AX98" i="18"/>
  <c r="AG101" i="18"/>
  <c r="AZ101" i="18" s="1"/>
  <c r="AS98" i="18"/>
  <c r="W99" i="18"/>
  <c r="AY94" i="18"/>
  <c r="AC94" i="18"/>
  <c r="AU94" i="18" s="1"/>
  <c r="AI101" i="18"/>
  <c r="AW101" i="18" s="1"/>
  <c r="AI100" i="17"/>
  <c r="AZ100" i="17"/>
  <c r="AY95" i="17"/>
  <c r="AC95" i="17"/>
  <c r="AU95" i="17" s="1"/>
  <c r="W108" i="17"/>
  <c r="AY96" i="15"/>
  <c r="AC96" i="15"/>
  <c r="AU96" i="15" s="1"/>
  <c r="AG87" i="13"/>
  <c r="AC86" i="13"/>
  <c r="J88" i="13"/>
  <c r="K88" i="13" s="1"/>
  <c r="AE88" i="13"/>
  <c r="AF88" i="13" s="1"/>
  <c r="AL88" i="13"/>
  <c r="H89" i="13"/>
  <c r="AA101" i="11"/>
  <c r="AM101" i="11" s="1"/>
  <c r="U103" i="11"/>
  <c r="AK103" i="11" s="1"/>
  <c r="S85" i="8"/>
  <c r="AX104" i="15" l="1"/>
  <c r="Y104" i="15"/>
  <c r="AS104" i="15" s="1"/>
  <c r="AC93" i="19"/>
  <c r="AY93" i="19"/>
  <c r="AW97" i="19"/>
  <c r="AG98" i="19"/>
  <c r="AS101" i="19"/>
  <c r="W102" i="19"/>
  <c r="AG103" i="15"/>
  <c r="AZ103" i="15" s="1"/>
  <c r="Y99" i="18"/>
  <c r="AS99" i="18" s="1"/>
  <c r="AX99" i="18"/>
  <c r="AG102" i="18"/>
  <c r="AW100" i="17"/>
  <c r="AG101" i="17"/>
  <c r="AA95" i="18"/>
  <c r="AX108" i="17"/>
  <c r="Y108" i="17"/>
  <c r="AS108" i="17" s="1"/>
  <c r="AA96" i="17"/>
  <c r="AA97" i="15"/>
  <c r="AC97" i="15" s="1"/>
  <c r="AU97" i="15" s="1"/>
  <c r="AI87" i="13"/>
  <c r="AW87" i="13" s="1"/>
  <c r="AZ87" i="13"/>
  <c r="AU86" i="13"/>
  <c r="AA87" i="13"/>
  <c r="AY87" i="13" s="1"/>
  <c r="I89" i="13"/>
  <c r="S104" i="11"/>
  <c r="Y102" i="11"/>
  <c r="U85" i="8"/>
  <c r="AK85" i="8" s="1"/>
  <c r="W105" i="15" l="1"/>
  <c r="AU93" i="19"/>
  <c r="AA94" i="19"/>
  <c r="AI98" i="19"/>
  <c r="AZ98" i="19"/>
  <c r="AX102" i="19"/>
  <c r="Y102" i="19"/>
  <c r="AI103" i="15"/>
  <c r="AW103" i="15"/>
  <c r="AG104" i="15"/>
  <c r="W100" i="18"/>
  <c r="AX100" i="18" s="1"/>
  <c r="AI101" i="17"/>
  <c r="AW101" i="17" s="1"/>
  <c r="AZ101" i="17"/>
  <c r="AG102" i="17"/>
  <c r="AY95" i="18"/>
  <c r="AC95" i="18"/>
  <c r="AU95" i="18" s="1"/>
  <c r="AY97" i="15"/>
  <c r="AZ102" i="18"/>
  <c r="AI102" i="18"/>
  <c r="AW102" i="18" s="1"/>
  <c r="AY96" i="17"/>
  <c r="AC96" i="17"/>
  <c r="AU96" i="17" s="1"/>
  <c r="W109" i="17"/>
  <c r="AA98" i="15"/>
  <c r="AG88" i="13"/>
  <c r="AC87" i="13"/>
  <c r="AE89" i="13"/>
  <c r="AF89" i="13" s="1"/>
  <c r="J89" i="13"/>
  <c r="K89" i="13" s="1"/>
  <c r="H90" i="13"/>
  <c r="AL89" i="13"/>
  <c r="AA102" i="11"/>
  <c r="AM102" i="11" s="1"/>
  <c r="U104" i="11"/>
  <c r="AK104" i="11" s="1"/>
  <c r="S86" i="8"/>
  <c r="Y105" i="15" l="1"/>
  <c r="AS105" i="15" s="1"/>
  <c r="AX105" i="15"/>
  <c r="W106" i="15"/>
  <c r="AY94" i="19"/>
  <c r="AC94" i="19"/>
  <c r="AW98" i="19"/>
  <c r="AG99" i="19"/>
  <c r="AS102" i="19"/>
  <c r="W103" i="19"/>
  <c r="AI104" i="15"/>
  <c r="AZ104" i="15"/>
  <c r="Y100" i="18"/>
  <c r="AS100" i="18" s="1"/>
  <c r="AA96" i="18"/>
  <c r="AG103" i="18"/>
  <c r="AI102" i="17"/>
  <c r="AW102" i="17" s="1"/>
  <c r="AZ102" i="17"/>
  <c r="AX109" i="17"/>
  <c r="Y109" i="17"/>
  <c r="AS109" i="17" s="1"/>
  <c r="W110" i="17"/>
  <c r="AA97" i="17"/>
  <c r="AY98" i="15"/>
  <c r="AC98" i="15"/>
  <c r="AU98" i="15" s="1"/>
  <c r="AI88" i="13"/>
  <c r="AW88" i="13" s="1"/>
  <c r="AZ88" i="13"/>
  <c r="AU87" i="13"/>
  <c r="AA88" i="13"/>
  <c r="AY88" i="13" s="1"/>
  <c r="I90" i="13"/>
  <c r="S105" i="11"/>
  <c r="Y103" i="11"/>
  <c r="U86" i="8"/>
  <c r="AK86" i="8" s="1"/>
  <c r="Y106" i="15" l="1"/>
  <c r="AS106" i="15" s="1"/>
  <c r="AX106" i="15"/>
  <c r="AA95" i="19"/>
  <c r="AU94" i="19"/>
  <c r="AZ99" i="19"/>
  <c r="AI99" i="19"/>
  <c r="Y103" i="19"/>
  <c r="AS103" i="19" s="1"/>
  <c r="AX103" i="19"/>
  <c r="AW104" i="15"/>
  <c r="AG105" i="15"/>
  <c r="W101" i="18"/>
  <c r="AX101" i="18" s="1"/>
  <c r="AG103" i="17"/>
  <c r="AI103" i="18"/>
  <c r="AW103" i="18" s="1"/>
  <c r="AZ103" i="18"/>
  <c r="AY96" i="18"/>
  <c r="AC96" i="18"/>
  <c r="AU96" i="18" s="1"/>
  <c r="AY97" i="17"/>
  <c r="AC97" i="17"/>
  <c r="AU97" i="17" s="1"/>
  <c r="AX110" i="17"/>
  <c r="Y110" i="17"/>
  <c r="AS110" i="17" s="1"/>
  <c r="AA99" i="15"/>
  <c r="AY99" i="15" s="1"/>
  <c r="AG89" i="13"/>
  <c r="AC88" i="13"/>
  <c r="H91" i="13"/>
  <c r="AE90" i="13"/>
  <c r="AF90" i="13" s="1"/>
  <c r="AL90" i="13"/>
  <c r="J90" i="13"/>
  <c r="K90" i="13" s="1"/>
  <c r="AA103" i="11"/>
  <c r="AM103" i="11" s="1"/>
  <c r="U105" i="11"/>
  <c r="AK105" i="11" s="1"/>
  <c r="S87" i="8"/>
  <c r="W107" i="15" l="1"/>
  <c r="AX107" i="15"/>
  <c r="Y107" i="15"/>
  <c r="AS107" i="15" s="1"/>
  <c r="W108" i="15"/>
  <c r="AC95" i="19"/>
  <c r="AU95" i="19" s="1"/>
  <c r="AY95" i="19"/>
  <c r="AW99" i="19"/>
  <c r="AG100" i="19"/>
  <c r="W104" i="19"/>
  <c r="AX104" i="19" s="1"/>
  <c r="AZ105" i="15"/>
  <c r="AI105" i="15"/>
  <c r="Y101" i="18"/>
  <c r="AS101" i="18" s="1"/>
  <c r="AA97" i="18"/>
  <c r="AY97" i="18" s="1"/>
  <c r="AG104" i="18"/>
  <c r="AZ104" i="18" s="1"/>
  <c r="AC97" i="18"/>
  <c r="AU97" i="18" s="1"/>
  <c r="AI104" i="18"/>
  <c r="AW104" i="18" s="1"/>
  <c r="AI103" i="17"/>
  <c r="AW103" i="17" s="1"/>
  <c r="AZ103" i="17"/>
  <c r="AA98" i="17"/>
  <c r="W111" i="17"/>
  <c r="AC99" i="15"/>
  <c r="AU99" i="15" s="1"/>
  <c r="AZ89" i="13"/>
  <c r="AI89" i="13"/>
  <c r="AW89" i="13" s="1"/>
  <c r="AU88" i="13"/>
  <c r="AA89" i="13"/>
  <c r="AY89" i="13" s="1"/>
  <c r="I91" i="13"/>
  <c r="S106" i="11"/>
  <c r="Y104" i="11"/>
  <c r="U87" i="8"/>
  <c r="AK87" i="8" s="1"/>
  <c r="Y108" i="15" l="1"/>
  <c r="AS108" i="15" s="1"/>
  <c r="AX108" i="15"/>
  <c r="Y104" i="19"/>
  <c r="AA96" i="19"/>
  <c r="AZ100" i="19"/>
  <c r="AI100" i="19"/>
  <c r="AW100" i="19" s="1"/>
  <c r="AS104" i="19"/>
  <c r="W105" i="19"/>
  <c r="AW105" i="15"/>
  <c r="AG106" i="15"/>
  <c r="AA100" i="15"/>
  <c r="W102" i="18"/>
  <c r="AX102" i="18" s="1"/>
  <c r="AG105" i="18"/>
  <c r="AG104" i="17"/>
  <c r="AA98" i="18"/>
  <c r="AX111" i="17"/>
  <c r="Y111" i="17"/>
  <c r="AS111" i="17" s="1"/>
  <c r="AY98" i="17"/>
  <c r="AC98" i="17"/>
  <c r="AU98" i="17" s="1"/>
  <c r="AY100" i="15"/>
  <c r="AC100" i="15"/>
  <c r="AU100" i="15" s="1"/>
  <c r="AG90" i="13"/>
  <c r="AC89" i="13"/>
  <c r="AE91" i="13"/>
  <c r="AF91" i="13" s="1"/>
  <c r="J91" i="13"/>
  <c r="K91" i="13" s="1"/>
  <c r="H92" i="13"/>
  <c r="AL91" i="13"/>
  <c r="AA104" i="11"/>
  <c r="AM104" i="11" s="1"/>
  <c r="U106" i="11"/>
  <c r="AK106" i="11" s="1"/>
  <c r="S88" i="8"/>
  <c r="W109" i="15" l="1"/>
  <c r="AC96" i="19"/>
  <c r="AY96" i="19"/>
  <c r="AG101" i="19"/>
  <c r="AI101" i="19" s="1"/>
  <c r="AX105" i="19"/>
  <c r="Y105" i="19"/>
  <c r="AS105" i="19" s="1"/>
  <c r="AZ106" i="15"/>
  <c r="AI106" i="15"/>
  <c r="Y102" i="18"/>
  <c r="AS102" i="18" s="1"/>
  <c r="W103" i="18"/>
  <c r="Y103" i="18" s="1"/>
  <c r="AS103" i="18" s="1"/>
  <c r="AY98" i="18"/>
  <c r="AC98" i="18"/>
  <c r="AU98" i="18" s="1"/>
  <c r="AI104" i="17"/>
  <c r="AW104" i="17" s="1"/>
  <c r="AZ104" i="17"/>
  <c r="AZ105" i="18"/>
  <c r="AI105" i="18"/>
  <c r="AW105" i="18" s="1"/>
  <c r="W112" i="17"/>
  <c r="AA99" i="17"/>
  <c r="AA101" i="15"/>
  <c r="AI90" i="13"/>
  <c r="AW90" i="13" s="1"/>
  <c r="AZ90" i="13"/>
  <c r="AU89" i="13"/>
  <c r="AA90" i="13"/>
  <c r="AY90" i="13" s="1"/>
  <c r="I92" i="13"/>
  <c r="S107" i="11"/>
  <c r="Y105" i="11"/>
  <c r="U88" i="8"/>
  <c r="AK88" i="8" s="1"/>
  <c r="AX109" i="15" l="1"/>
  <c r="Y109" i="15"/>
  <c r="AS109" i="15" s="1"/>
  <c r="AZ101" i="19"/>
  <c r="AA97" i="19"/>
  <c r="AU96" i="19"/>
  <c r="W106" i="19"/>
  <c r="AX106" i="19" s="1"/>
  <c r="AW101" i="19"/>
  <c r="AG102" i="19"/>
  <c r="AW106" i="15"/>
  <c r="AG107" i="15"/>
  <c r="AX103" i="18"/>
  <c r="W104" i="18"/>
  <c r="Y104" i="18" s="1"/>
  <c r="AG106" i="18"/>
  <c r="AZ106" i="18" s="1"/>
  <c r="AG105" i="17"/>
  <c r="AA99" i="18"/>
  <c r="AY99" i="17"/>
  <c r="AC99" i="17"/>
  <c r="AU99" i="17" s="1"/>
  <c r="AX112" i="17"/>
  <c r="Y112" i="17"/>
  <c r="AS112" i="17" s="1"/>
  <c r="AY101" i="15"/>
  <c r="AC101" i="15"/>
  <c r="AU101" i="15" s="1"/>
  <c r="AG91" i="13"/>
  <c r="AC90" i="13"/>
  <c r="J92" i="13"/>
  <c r="K92" i="13" s="1"/>
  <c r="AE92" i="13"/>
  <c r="AF92" i="13" s="1"/>
  <c r="AL92" i="13"/>
  <c r="H93" i="13"/>
  <c r="AA105" i="11"/>
  <c r="AM105" i="11" s="1"/>
  <c r="U107" i="11"/>
  <c r="AK107" i="11" s="1"/>
  <c r="S89" i="8"/>
  <c r="W110" i="15" l="1"/>
  <c r="Y106" i="19"/>
  <c r="AS106" i="19" s="1"/>
  <c r="AY97" i="19"/>
  <c r="AC97" i="19"/>
  <c r="AU97" i="19" s="1"/>
  <c r="AI102" i="19"/>
  <c r="AZ102" i="19"/>
  <c r="W107" i="19"/>
  <c r="AX107" i="19" s="1"/>
  <c r="AZ107" i="15"/>
  <c r="AI107" i="15"/>
  <c r="AW107" i="15" s="1"/>
  <c r="AX104" i="18"/>
  <c r="AS104" i="18"/>
  <c r="W105" i="18"/>
  <c r="Y105" i="18" s="1"/>
  <c r="AI106" i="18"/>
  <c r="AW106" i="18" s="1"/>
  <c r="AI105" i="17"/>
  <c r="AW105" i="17" s="1"/>
  <c r="AZ105" i="17"/>
  <c r="AY99" i="18"/>
  <c r="AC99" i="18"/>
  <c r="AU99" i="18" s="1"/>
  <c r="AA100" i="17"/>
  <c r="AA102" i="15"/>
  <c r="AZ91" i="13"/>
  <c r="AI91" i="13"/>
  <c r="AW91" i="13" s="1"/>
  <c r="AU90" i="13"/>
  <c r="AA91" i="13"/>
  <c r="AY91" i="13" s="1"/>
  <c r="I93" i="13"/>
  <c r="S108" i="11"/>
  <c r="Y106" i="11"/>
  <c r="U89" i="8"/>
  <c r="AK89" i="8" s="1"/>
  <c r="Y110" i="15" l="1"/>
  <c r="AS110" i="15" s="1"/>
  <c r="AX110" i="15"/>
  <c r="Y107" i="19"/>
  <c r="AS107" i="19" s="1"/>
  <c r="AA98" i="19"/>
  <c r="AG103" i="19"/>
  <c r="AW102" i="19"/>
  <c r="AG106" i="17"/>
  <c r="AG107" i="17" s="1"/>
  <c r="AG108" i="15"/>
  <c r="AX105" i="18"/>
  <c r="AS105" i="18"/>
  <c r="W106" i="18"/>
  <c r="AX106" i="18" s="1"/>
  <c r="AG107" i="18"/>
  <c r="AZ107" i="18" s="1"/>
  <c r="AA100" i="18"/>
  <c r="AZ106" i="17"/>
  <c r="AI106" i="17"/>
  <c r="AW106" i="17" s="1"/>
  <c r="AY100" i="17"/>
  <c r="AC100" i="17"/>
  <c r="AU100" i="17" s="1"/>
  <c r="AY102" i="15"/>
  <c r="AC102" i="15"/>
  <c r="AU102" i="15" s="1"/>
  <c r="AG92" i="13"/>
  <c r="AC91" i="13"/>
  <c r="AE93" i="13"/>
  <c r="AF93" i="13" s="1"/>
  <c r="AL93" i="13"/>
  <c r="J93" i="13"/>
  <c r="K93" i="13" s="1"/>
  <c r="H94" i="13"/>
  <c r="AA106" i="11"/>
  <c r="AM106" i="11" s="1"/>
  <c r="U108" i="11"/>
  <c r="AK108" i="11" s="1"/>
  <c r="S90" i="8"/>
  <c r="W111" i="15" l="1"/>
  <c r="AX111" i="15" s="1"/>
  <c r="AY98" i="19"/>
  <c r="AC98" i="19"/>
  <c r="AU98" i="19" s="1"/>
  <c r="W108" i="19"/>
  <c r="AZ103" i="19"/>
  <c r="AI103" i="19"/>
  <c r="AI108" i="15"/>
  <c r="AZ108" i="15"/>
  <c r="Y106" i="18"/>
  <c r="AI107" i="18"/>
  <c r="AW107" i="18" s="1"/>
  <c r="AZ107" i="17"/>
  <c r="AI107" i="17"/>
  <c r="AW107" i="17" s="1"/>
  <c r="AG108" i="17"/>
  <c r="AY100" i="18"/>
  <c r="AC100" i="18"/>
  <c r="AU100" i="18" s="1"/>
  <c r="AA101" i="17"/>
  <c r="AA103" i="15"/>
  <c r="AZ92" i="13"/>
  <c r="AI92" i="13"/>
  <c r="AW92" i="13" s="1"/>
  <c r="AU91" i="13"/>
  <c r="AA92" i="13"/>
  <c r="AY92" i="13" s="1"/>
  <c r="I94" i="13"/>
  <c r="Y107" i="11"/>
  <c r="AA107" i="11" s="1"/>
  <c r="AM107" i="11" s="1"/>
  <c r="S109" i="11"/>
  <c r="U90" i="8"/>
  <c r="AK90" i="8" s="1"/>
  <c r="Y111" i="15" l="1"/>
  <c r="Y108" i="19"/>
  <c r="AX108" i="19"/>
  <c r="AA99" i="19"/>
  <c r="AW103" i="19"/>
  <c r="AG104" i="19"/>
  <c r="AW108" i="15"/>
  <c r="AG109" i="15"/>
  <c r="AS106" i="18"/>
  <c r="W107" i="18"/>
  <c r="AG108" i="18"/>
  <c r="AZ108" i="18" s="1"/>
  <c r="AA101" i="18"/>
  <c r="AI108" i="17"/>
  <c r="AW108" i="17" s="1"/>
  <c r="AZ108" i="17"/>
  <c r="AY101" i="17"/>
  <c r="AC101" i="17"/>
  <c r="AU101" i="17" s="1"/>
  <c r="AY103" i="15"/>
  <c r="AC103" i="15"/>
  <c r="AU103" i="15" s="1"/>
  <c r="AG93" i="13"/>
  <c r="AC92" i="13"/>
  <c r="H95" i="13"/>
  <c r="AL94" i="13"/>
  <c r="AE94" i="13"/>
  <c r="AF94" i="13" s="1"/>
  <c r="J94" i="13"/>
  <c r="K94" i="13" s="1"/>
  <c r="Y108" i="11"/>
  <c r="AA108" i="11" s="1"/>
  <c r="AM108" i="11" s="1"/>
  <c r="U109" i="11"/>
  <c r="AK109" i="11" s="1"/>
  <c r="S91" i="8"/>
  <c r="AS111" i="15" l="1"/>
  <c r="W112" i="15"/>
  <c r="AY99" i="19"/>
  <c r="AC99" i="19"/>
  <c r="AU99" i="19" s="1"/>
  <c r="AS108" i="19"/>
  <c r="W109" i="19"/>
  <c r="AI104" i="19"/>
  <c r="AZ104" i="19"/>
  <c r="AG109" i="17"/>
  <c r="AI109" i="15"/>
  <c r="AZ109" i="15"/>
  <c r="AX107" i="18"/>
  <c r="Y107" i="18"/>
  <c r="AS107" i="18" s="1"/>
  <c r="W108" i="18"/>
  <c r="Y108" i="18" s="1"/>
  <c r="AS108" i="18" s="1"/>
  <c r="AI108" i="18"/>
  <c r="AW108" i="18" s="1"/>
  <c r="AX108" i="18"/>
  <c r="AI109" i="17"/>
  <c r="AW109" i="17" s="1"/>
  <c r="AZ109" i="17"/>
  <c r="AY101" i="18"/>
  <c r="AC101" i="18"/>
  <c r="AU101" i="18" s="1"/>
  <c r="AA102" i="17"/>
  <c r="AA104" i="15"/>
  <c r="AZ93" i="13"/>
  <c r="AI93" i="13"/>
  <c r="AW93" i="13" s="1"/>
  <c r="AU92" i="13"/>
  <c r="AA93" i="13"/>
  <c r="AY93" i="13" s="1"/>
  <c r="I95" i="13"/>
  <c r="S110" i="11"/>
  <c r="Y109" i="11"/>
  <c r="U91" i="8"/>
  <c r="AK91" i="8" s="1"/>
  <c r="Y112" i="15" l="1"/>
  <c r="AS112" i="15" s="1"/>
  <c r="AX112" i="15"/>
  <c r="Y109" i="19"/>
  <c r="AX109" i="19"/>
  <c r="AA100" i="19"/>
  <c r="AW104" i="19"/>
  <c r="AG105" i="19"/>
  <c r="AG110" i="17"/>
  <c r="AW109" i="15"/>
  <c r="AG110" i="15"/>
  <c r="AG109" i="18"/>
  <c r="W109" i="18"/>
  <c r="AI109" i="18"/>
  <c r="AW109" i="18" s="1"/>
  <c r="AZ109" i="18"/>
  <c r="Y109" i="18"/>
  <c r="AS109" i="18" s="1"/>
  <c r="AX109" i="18"/>
  <c r="AA102" i="18"/>
  <c r="AY102" i="17"/>
  <c r="AC102" i="17"/>
  <c r="AU102" i="17" s="1"/>
  <c r="AY104" i="15"/>
  <c r="AC104" i="15"/>
  <c r="AU104" i="15" s="1"/>
  <c r="AG94" i="13"/>
  <c r="AC93" i="13"/>
  <c r="AE95" i="13"/>
  <c r="AF95" i="13" s="1"/>
  <c r="J95" i="13"/>
  <c r="K95" i="13" s="1"/>
  <c r="AL95" i="13"/>
  <c r="H96" i="13"/>
  <c r="AA109" i="11"/>
  <c r="AM109" i="11" s="1"/>
  <c r="U110" i="11"/>
  <c r="AK110" i="11" s="1"/>
  <c r="S92" i="8"/>
  <c r="AS109" i="19" l="1"/>
  <c r="W110" i="19"/>
  <c r="AY100" i="19"/>
  <c r="AC100" i="19"/>
  <c r="AU100" i="19" s="1"/>
  <c r="AI105" i="19"/>
  <c r="AZ105" i="19"/>
  <c r="AI110" i="17"/>
  <c r="AW110" i="17" s="1"/>
  <c r="AZ110" i="17"/>
  <c r="AZ110" i="15"/>
  <c r="AI110" i="15"/>
  <c r="AY102" i="18"/>
  <c r="AC102" i="18"/>
  <c r="AU102" i="18" s="1"/>
  <c r="W110" i="18"/>
  <c r="AG110" i="18"/>
  <c r="AA103" i="17"/>
  <c r="AA105" i="15"/>
  <c r="AY105" i="15" s="1"/>
  <c r="AZ94" i="13"/>
  <c r="AI94" i="13"/>
  <c r="AW94" i="13" s="1"/>
  <c r="AU93" i="13"/>
  <c r="AA94" i="13"/>
  <c r="AY94" i="13" s="1"/>
  <c r="I96" i="13"/>
  <c r="Y110" i="11"/>
  <c r="AA110" i="11" s="1"/>
  <c r="AM110" i="11" s="1"/>
  <c r="S111" i="11"/>
  <c r="U92" i="8"/>
  <c r="AK92" i="8" s="1"/>
  <c r="AA101" i="19" l="1"/>
  <c r="Y110" i="19"/>
  <c r="AS110" i="19" s="1"/>
  <c r="AX110" i="19"/>
  <c r="W111" i="19"/>
  <c r="AG106" i="19"/>
  <c r="AW105" i="19"/>
  <c r="AG111" i="17"/>
  <c r="AW110" i="15"/>
  <c r="AG111" i="15"/>
  <c r="AI110" i="18"/>
  <c r="AW110" i="18" s="1"/>
  <c r="AZ110" i="18"/>
  <c r="AX110" i="18"/>
  <c r="Y110" i="18"/>
  <c r="AS110" i="18" s="1"/>
  <c r="AA103" i="18"/>
  <c r="AY103" i="17"/>
  <c r="AC103" i="17"/>
  <c r="AU103" i="17" s="1"/>
  <c r="AC105" i="15"/>
  <c r="AU105" i="15" s="1"/>
  <c r="AG95" i="13"/>
  <c r="AC94" i="13"/>
  <c r="AE96" i="13"/>
  <c r="AF96" i="13" s="1"/>
  <c r="H97" i="13"/>
  <c r="AL96" i="13"/>
  <c r="J96" i="13"/>
  <c r="K96" i="13" s="1"/>
  <c r="Y111" i="11"/>
  <c r="U111" i="11"/>
  <c r="AK111" i="11" s="1"/>
  <c r="S93" i="8"/>
  <c r="AC101" i="19" l="1"/>
  <c r="AU101" i="19" s="1"/>
  <c r="AY101" i="19"/>
  <c r="AX111" i="19"/>
  <c r="Y111" i="19"/>
  <c r="AS111" i="19" s="1"/>
  <c r="AZ106" i="19"/>
  <c r="AI106" i="19"/>
  <c r="AZ111" i="17"/>
  <c r="AI111" i="17"/>
  <c r="AZ111" i="15"/>
  <c r="AI111" i="15"/>
  <c r="W111" i="18"/>
  <c r="AX111" i="18" s="1"/>
  <c r="AY103" i="18"/>
  <c r="AC103" i="18"/>
  <c r="AU103" i="18" s="1"/>
  <c r="AG111" i="18"/>
  <c r="AA104" i="17"/>
  <c r="AA106" i="15"/>
  <c r="AY106" i="15" s="1"/>
  <c r="AZ95" i="13"/>
  <c r="AI95" i="13"/>
  <c r="AW95" i="13" s="1"/>
  <c r="AU94" i="13"/>
  <c r="AA95" i="13"/>
  <c r="AY95" i="13" s="1"/>
  <c r="I97" i="13"/>
  <c r="S112" i="11"/>
  <c r="U112" i="11" s="1"/>
  <c r="AK112" i="11" s="1"/>
  <c r="AA111" i="11"/>
  <c r="AM111" i="11" s="1"/>
  <c r="U93" i="8"/>
  <c r="AK93" i="8" s="1"/>
  <c r="W112" i="19" l="1"/>
  <c r="AA102" i="19"/>
  <c r="AW106" i="19"/>
  <c r="AG107" i="19"/>
  <c r="AW111" i="17"/>
  <c r="AG112" i="17"/>
  <c r="AC106" i="15"/>
  <c r="AU106" i="15" s="1"/>
  <c r="AW111" i="15"/>
  <c r="AG112" i="15"/>
  <c r="Y111" i="18"/>
  <c r="AS111" i="18" s="1"/>
  <c r="AI111" i="18"/>
  <c r="AW111" i="18" s="1"/>
  <c r="AZ111" i="18"/>
  <c r="W112" i="18"/>
  <c r="AA104" i="18"/>
  <c r="AY104" i="17"/>
  <c r="AC104" i="17"/>
  <c r="AU104" i="17" s="1"/>
  <c r="AA107" i="15"/>
  <c r="AG96" i="13"/>
  <c r="AC95" i="13"/>
  <c r="AL97" i="13"/>
  <c r="AE97" i="13"/>
  <c r="AF97" i="13" s="1"/>
  <c r="H98" i="13"/>
  <c r="J97" i="13"/>
  <c r="K97" i="13" s="1"/>
  <c r="Y112" i="11"/>
  <c r="AA112" i="11" s="1"/>
  <c r="AM112" i="11" s="1"/>
  <c r="S94" i="8"/>
  <c r="AY102" i="19" l="1"/>
  <c r="AC102" i="19"/>
  <c r="AU102" i="19" s="1"/>
  <c r="AX112" i="19"/>
  <c r="Y112" i="19"/>
  <c r="AS112" i="19" s="1"/>
  <c r="AI107" i="19"/>
  <c r="AZ107" i="19"/>
  <c r="AZ112" i="17"/>
  <c r="AI112" i="17"/>
  <c r="AW112" i="17" s="1"/>
  <c r="AZ112" i="15"/>
  <c r="AI112" i="15"/>
  <c r="AW112" i="15" s="1"/>
  <c r="AY104" i="18"/>
  <c r="AC104" i="18"/>
  <c r="AU104" i="18" s="1"/>
  <c r="AX112" i="18"/>
  <c r="Y112" i="18"/>
  <c r="AS112" i="18" s="1"/>
  <c r="AG112" i="18"/>
  <c r="AA105" i="17"/>
  <c r="AY107" i="15"/>
  <c r="AC107" i="15"/>
  <c r="AU107" i="15" s="1"/>
  <c r="AZ96" i="13"/>
  <c r="AI96" i="13"/>
  <c r="AW96" i="13" s="1"/>
  <c r="AU95" i="13"/>
  <c r="AA96" i="13"/>
  <c r="AY96" i="13" s="1"/>
  <c r="I98" i="13"/>
  <c r="U94" i="8"/>
  <c r="AK94" i="8" s="1"/>
  <c r="AA103" i="19" l="1"/>
  <c r="AW107" i="19"/>
  <c r="AG108" i="19"/>
  <c r="AZ112" i="18"/>
  <c r="AI112" i="18"/>
  <c r="AW112" i="18" s="1"/>
  <c r="AA105" i="18"/>
  <c r="AY105" i="17"/>
  <c r="AC105" i="17"/>
  <c r="AU105" i="17" s="1"/>
  <c r="AA108" i="15"/>
  <c r="AG97" i="13"/>
  <c r="AC96" i="13"/>
  <c r="H99" i="13"/>
  <c r="AL98" i="13"/>
  <c r="AE98" i="13"/>
  <c r="AF98" i="13" s="1"/>
  <c r="J98" i="13"/>
  <c r="K98" i="13" s="1"/>
  <c r="S95" i="8"/>
  <c r="AY103" i="19" l="1"/>
  <c r="AC103" i="19"/>
  <c r="AU103" i="19" s="1"/>
  <c r="AI108" i="19"/>
  <c r="AZ108" i="19"/>
  <c r="AY105" i="18"/>
  <c r="AC105" i="18"/>
  <c r="AU105" i="18" s="1"/>
  <c r="AA106" i="17"/>
  <c r="AY108" i="15"/>
  <c r="AC108" i="15"/>
  <c r="AU108" i="15" s="1"/>
  <c r="AZ97" i="13"/>
  <c r="AI97" i="13"/>
  <c r="AW97" i="13" s="1"/>
  <c r="AU96" i="13"/>
  <c r="AA97" i="13"/>
  <c r="AY97" i="13" s="1"/>
  <c r="I99" i="13"/>
  <c r="U95" i="8"/>
  <c r="AK95" i="8" s="1"/>
  <c r="AA104" i="19" l="1"/>
  <c r="AW108" i="19"/>
  <c r="AG109" i="19"/>
  <c r="AA106" i="18"/>
  <c r="AY106" i="17"/>
  <c r="AC106" i="17"/>
  <c r="AU106" i="17" s="1"/>
  <c r="AA109" i="15"/>
  <c r="AG98" i="13"/>
  <c r="AC97" i="13"/>
  <c r="J99" i="13"/>
  <c r="K99" i="13" s="1"/>
  <c r="AE99" i="13"/>
  <c r="AF99" i="13" s="1"/>
  <c r="H100" i="13"/>
  <c r="AL99" i="13"/>
  <c r="S96" i="8"/>
  <c r="AC104" i="19" l="1"/>
  <c r="AU104" i="19" s="1"/>
  <c r="AY104" i="19"/>
  <c r="AI109" i="19"/>
  <c r="AZ109" i="19"/>
  <c r="AY106" i="18"/>
  <c r="AC106" i="18"/>
  <c r="AU106" i="18" s="1"/>
  <c r="AA107" i="17"/>
  <c r="AY109" i="15"/>
  <c r="AC109" i="15"/>
  <c r="AU109" i="15" s="1"/>
  <c r="AZ98" i="13"/>
  <c r="AI98" i="13"/>
  <c r="AW98" i="13" s="1"/>
  <c r="AU97" i="13"/>
  <c r="AA98" i="13"/>
  <c r="AY98" i="13" s="1"/>
  <c r="I100" i="13"/>
  <c r="U96" i="8"/>
  <c r="AK96" i="8" s="1"/>
  <c r="AA105" i="19" l="1"/>
  <c r="AW109" i="19"/>
  <c r="AG110" i="19"/>
  <c r="AA107" i="18"/>
  <c r="AY107" i="17"/>
  <c r="AC107" i="17"/>
  <c r="AU107" i="17" s="1"/>
  <c r="AA110" i="15"/>
  <c r="AG99" i="13"/>
  <c r="AC98" i="13"/>
  <c r="H101" i="13"/>
  <c r="J100" i="13"/>
  <c r="K100" i="13" s="1"/>
  <c r="AE100" i="13"/>
  <c r="AF100" i="13" s="1"/>
  <c r="AL100" i="13"/>
  <c r="S97" i="8"/>
  <c r="AY105" i="19" l="1"/>
  <c r="AC105" i="19"/>
  <c r="AU105" i="19" s="1"/>
  <c r="AI110" i="19"/>
  <c r="AZ110" i="19"/>
  <c r="AY107" i="18"/>
  <c r="AC107" i="18"/>
  <c r="AU107" i="18" s="1"/>
  <c r="AA108" i="17"/>
  <c r="AY110" i="15"/>
  <c r="AC110" i="15"/>
  <c r="AU110" i="15" s="1"/>
  <c r="AI99" i="13"/>
  <c r="AW99" i="13" s="1"/>
  <c r="AZ99" i="13"/>
  <c r="AU98" i="13"/>
  <c r="AA99" i="13"/>
  <c r="AY99" i="13" s="1"/>
  <c r="I101" i="13"/>
  <c r="U97" i="8"/>
  <c r="AK97" i="8" s="1"/>
  <c r="AA106" i="19" l="1"/>
  <c r="AW110" i="19"/>
  <c r="AG111" i="19"/>
  <c r="AA108" i="18"/>
  <c r="AY108" i="18" s="1"/>
  <c r="AY108" i="17"/>
  <c r="AC108" i="17"/>
  <c r="AU108" i="17" s="1"/>
  <c r="AA111" i="15"/>
  <c r="AG100" i="13"/>
  <c r="AC99" i="13"/>
  <c r="AL101" i="13"/>
  <c r="AE101" i="13"/>
  <c r="AF101" i="13" s="1"/>
  <c r="H102" i="13"/>
  <c r="J101" i="13"/>
  <c r="K101" i="13" s="1"/>
  <c r="S98" i="8"/>
  <c r="AC106" i="19" l="1"/>
  <c r="AU106" i="19" s="1"/>
  <c r="AY106" i="19"/>
  <c r="AZ111" i="19"/>
  <c r="AI111" i="19"/>
  <c r="AC108" i="18"/>
  <c r="AU108" i="18" s="1"/>
  <c r="AA109" i="17"/>
  <c r="AY111" i="15"/>
  <c r="AC111" i="15"/>
  <c r="AU111" i="15" s="1"/>
  <c r="AZ100" i="13"/>
  <c r="AI100" i="13"/>
  <c r="AW100" i="13" s="1"/>
  <c r="AU99" i="13"/>
  <c r="AA100" i="13"/>
  <c r="AY100" i="13" s="1"/>
  <c r="I102" i="13"/>
  <c r="U98" i="8"/>
  <c r="AK98" i="8" s="1"/>
  <c r="AA107" i="19" l="1"/>
  <c r="AW111" i="19"/>
  <c r="AG112" i="19"/>
  <c r="AA109" i="18"/>
  <c r="AY109" i="18" s="1"/>
  <c r="AY109" i="17"/>
  <c r="AC109" i="17"/>
  <c r="AU109" i="17" s="1"/>
  <c r="AA112" i="15"/>
  <c r="AG101" i="13"/>
  <c r="AC100" i="13"/>
  <c r="AL102" i="13"/>
  <c r="AE102" i="13"/>
  <c r="AF102" i="13" s="1"/>
  <c r="J102" i="13"/>
  <c r="K102" i="13" s="1"/>
  <c r="H103" i="13"/>
  <c r="S99" i="8"/>
  <c r="AY107" i="19" l="1"/>
  <c r="AC107" i="19"/>
  <c r="AU107" i="19" s="1"/>
  <c r="AZ112" i="19"/>
  <c r="AI112" i="19"/>
  <c r="AW112" i="19" s="1"/>
  <c r="AC109" i="18"/>
  <c r="AU109" i="18" s="1"/>
  <c r="AA110" i="18"/>
  <c r="AA110" i="17"/>
  <c r="AY112" i="15"/>
  <c r="AC112" i="15"/>
  <c r="AU112" i="15" s="1"/>
  <c r="AZ101" i="13"/>
  <c r="AI101" i="13"/>
  <c r="AW101" i="13" s="1"/>
  <c r="AU100" i="13"/>
  <c r="AA101" i="13"/>
  <c r="AY101" i="13" s="1"/>
  <c r="I103" i="13"/>
  <c r="U99" i="8"/>
  <c r="AA108" i="19" l="1"/>
  <c r="AY108" i="19" s="1"/>
  <c r="AC108" i="19"/>
  <c r="AU108" i="19" s="1"/>
  <c r="AY110" i="18"/>
  <c r="AC110" i="18"/>
  <c r="AU110" i="18" s="1"/>
  <c r="AY110" i="17"/>
  <c r="AC110" i="17"/>
  <c r="AU110" i="17" s="1"/>
  <c r="AG102" i="13"/>
  <c r="AC101" i="13"/>
  <c r="J103" i="13"/>
  <c r="K103" i="13" s="1"/>
  <c r="AL103" i="13"/>
  <c r="AE103" i="13"/>
  <c r="AF103" i="13" s="1"/>
  <c r="H104" i="13"/>
  <c r="AK99" i="8"/>
  <c r="S100" i="8"/>
  <c r="AA109" i="19" l="1"/>
  <c r="AY109" i="19" s="1"/>
  <c r="AA111" i="18"/>
  <c r="AY111" i="18" s="1"/>
  <c r="AA111" i="17"/>
  <c r="AZ102" i="13"/>
  <c r="AI102" i="13"/>
  <c r="AW102" i="13" s="1"/>
  <c r="AU101" i="13"/>
  <c r="AA102" i="13"/>
  <c r="AY102" i="13" s="1"/>
  <c r="I104" i="13"/>
  <c r="U100" i="8"/>
  <c r="AK100" i="8" s="1"/>
  <c r="AC109" i="19" l="1"/>
  <c r="AU109" i="19" s="1"/>
  <c r="AC111" i="18"/>
  <c r="AU111" i="18" s="1"/>
  <c r="AY111" i="17"/>
  <c r="AC111" i="17"/>
  <c r="AU111" i="17" s="1"/>
  <c r="AG103" i="13"/>
  <c r="AC102" i="13"/>
  <c r="AE104" i="13"/>
  <c r="AF104" i="13" s="1"/>
  <c r="AL104" i="13"/>
  <c r="H105" i="13"/>
  <c r="J104" i="13"/>
  <c r="K104" i="13" s="1"/>
  <c r="S101" i="8"/>
  <c r="AA110" i="19" l="1"/>
  <c r="AY110" i="19" s="1"/>
  <c r="AA112" i="18"/>
  <c r="AY112" i="18" s="1"/>
  <c r="AA112" i="17"/>
  <c r="AI103" i="13"/>
  <c r="AW103" i="13" s="1"/>
  <c r="AZ103" i="13"/>
  <c r="AU102" i="13"/>
  <c r="AA103" i="13"/>
  <c r="AY103" i="13" s="1"/>
  <c r="I105" i="13"/>
  <c r="U101" i="8"/>
  <c r="AK101" i="8" s="1"/>
  <c r="AC110" i="19" l="1"/>
  <c r="AU110" i="19" s="1"/>
  <c r="AA111" i="19"/>
  <c r="AC111" i="19" s="1"/>
  <c r="AU111" i="19" s="1"/>
  <c r="AC112" i="18"/>
  <c r="AU112" i="18" s="1"/>
  <c r="AY112" i="17"/>
  <c r="AC112" i="17"/>
  <c r="AU112" i="17" s="1"/>
  <c r="AG104" i="13"/>
  <c r="AC103" i="13"/>
  <c r="H106" i="13"/>
  <c r="AE105" i="13"/>
  <c r="AF105" i="13" s="1"/>
  <c r="AL105" i="13"/>
  <c r="J105" i="13"/>
  <c r="K105" i="13" s="1"/>
  <c r="S102" i="8"/>
  <c r="AY111" i="19" l="1"/>
  <c r="AA112" i="19"/>
  <c r="AI104" i="13"/>
  <c r="AW104" i="13" s="1"/>
  <c r="AZ104" i="13"/>
  <c r="AU103" i="13"/>
  <c r="AA104" i="13"/>
  <c r="AY104" i="13" s="1"/>
  <c r="I106" i="13"/>
  <c r="U102" i="8"/>
  <c r="AK102" i="8" s="1"/>
  <c r="AY112" i="19" l="1"/>
  <c r="AC112" i="19"/>
  <c r="AU112" i="19" s="1"/>
  <c r="AG105" i="13"/>
  <c r="AC104" i="13"/>
  <c r="J106" i="13"/>
  <c r="K106" i="13" s="1"/>
  <c r="H107" i="13"/>
  <c r="AL106" i="13"/>
  <c r="AE106" i="13"/>
  <c r="AF106" i="13" s="1"/>
  <c r="S103" i="8"/>
  <c r="AI105" i="13" l="1"/>
  <c r="AW105" i="13" s="1"/>
  <c r="AZ105" i="13"/>
  <c r="AU104" i="13"/>
  <c r="AA105" i="13"/>
  <c r="AY105" i="13" s="1"/>
  <c r="I107" i="13"/>
  <c r="U103" i="8"/>
  <c r="AK103" i="8" s="1"/>
  <c r="AG106" i="13" l="1"/>
  <c r="AC105" i="13"/>
  <c r="J107" i="13"/>
  <c r="K107" i="13" s="1"/>
  <c r="AE107" i="13"/>
  <c r="AF107" i="13" s="1"/>
  <c r="H108" i="13"/>
  <c r="AL107" i="13"/>
  <c r="S104" i="8"/>
  <c r="AZ106" i="13" l="1"/>
  <c r="AI106" i="13"/>
  <c r="AW106" i="13" s="1"/>
  <c r="AU105" i="13"/>
  <c r="AA106" i="13"/>
  <c r="AY106" i="13" s="1"/>
  <c r="I108" i="13"/>
  <c r="U104" i="8"/>
  <c r="AK104" i="8" s="1"/>
  <c r="AG107" i="13" l="1"/>
  <c r="AC106" i="13"/>
  <c r="J108" i="13"/>
  <c r="K108" i="13" s="1"/>
  <c r="AE108" i="13"/>
  <c r="AF108" i="13" s="1"/>
  <c r="AL108" i="13"/>
  <c r="H109" i="13"/>
  <c r="S105" i="8"/>
  <c r="AI107" i="13" l="1"/>
  <c r="AW107" i="13" s="1"/>
  <c r="AZ107" i="13"/>
  <c r="AU106" i="13"/>
  <c r="AA107" i="13"/>
  <c r="AY107" i="13" s="1"/>
  <c r="I109" i="13"/>
  <c r="U105" i="8"/>
  <c r="AK105" i="8" s="1"/>
  <c r="AG108" i="13" l="1"/>
  <c r="AC107" i="13"/>
  <c r="AL109" i="13"/>
  <c r="J109" i="13"/>
  <c r="K109" i="13" s="1"/>
  <c r="AE109" i="13"/>
  <c r="AF109" i="13" s="1"/>
  <c r="H110" i="13"/>
  <c r="S106" i="8"/>
  <c r="AI108" i="13" l="1"/>
  <c r="AW108" i="13" s="1"/>
  <c r="AZ108" i="13"/>
  <c r="AU107" i="13"/>
  <c r="AA108" i="13"/>
  <c r="AY108" i="13" s="1"/>
  <c r="I110" i="13"/>
  <c r="U106" i="8"/>
  <c r="AK106" i="8" s="1"/>
  <c r="AG109" i="13" l="1"/>
  <c r="AC108" i="13"/>
  <c r="H111" i="13"/>
  <c r="AL110" i="13"/>
  <c r="AE110" i="13"/>
  <c r="AF110" i="13" s="1"/>
  <c r="J110" i="13"/>
  <c r="K110" i="13" s="1"/>
  <c r="S107" i="8"/>
  <c r="AZ109" i="13" l="1"/>
  <c r="AI109" i="13"/>
  <c r="AW109" i="13" s="1"/>
  <c r="AU108" i="13"/>
  <c r="AA109" i="13"/>
  <c r="AY109" i="13" s="1"/>
  <c r="I111" i="13"/>
  <c r="U107" i="8"/>
  <c r="AK107" i="8" s="1"/>
  <c r="AG110" i="13" l="1"/>
  <c r="AC109" i="13"/>
  <c r="AE111" i="13"/>
  <c r="AF111" i="13" s="1"/>
  <c r="J111" i="13"/>
  <c r="K111" i="13" s="1"/>
  <c r="H112" i="13"/>
  <c r="AL111" i="13"/>
  <c r="S108" i="8"/>
  <c r="AZ110" i="13" l="1"/>
  <c r="AI110" i="13"/>
  <c r="AW110" i="13" s="1"/>
  <c r="AU109" i="13"/>
  <c r="AA110" i="13"/>
  <c r="AY110" i="13" s="1"/>
  <c r="I112" i="13"/>
  <c r="U108" i="8"/>
  <c r="AK108" i="8" s="1"/>
  <c r="AG111" i="13" l="1"/>
  <c r="AC110" i="13"/>
  <c r="AE112" i="13"/>
  <c r="AF112" i="13" s="1"/>
  <c r="AL112" i="13"/>
  <c r="J112" i="13"/>
  <c r="K112" i="13" s="1"/>
  <c r="S109" i="8"/>
  <c r="AI111" i="13" l="1"/>
  <c r="AW111" i="13" s="1"/>
  <c r="AZ111" i="13"/>
  <c r="AU110" i="13"/>
  <c r="AA111" i="13"/>
  <c r="AY111" i="13" s="1"/>
  <c r="U109" i="8"/>
  <c r="AK109" i="8" s="1"/>
  <c r="AG112" i="13" l="1"/>
  <c r="AC111" i="13"/>
  <c r="S110" i="8"/>
  <c r="U110" i="8" s="1"/>
  <c r="AK110" i="8" s="1"/>
  <c r="AI112" i="13" l="1"/>
  <c r="AW112" i="13" s="1"/>
  <c r="AZ112" i="13"/>
  <c r="AU111" i="13"/>
  <c r="AA112" i="13"/>
  <c r="S111" i="8"/>
  <c r="U111" i="8" s="1"/>
  <c r="AK111" i="8" s="1"/>
  <c r="AY112" i="13" l="1"/>
  <c r="AC112" i="13"/>
  <c r="AU112" i="13" s="1"/>
  <c r="S112" i="8"/>
  <c r="U112" i="8" s="1"/>
  <c r="AK112" i="8" s="1"/>
  <c r="AA33" i="8"/>
  <c r="Y34" i="8" l="1"/>
  <c r="AA34" i="8" s="1"/>
  <c r="AM33" i="8"/>
  <c r="Y35" i="8" l="1"/>
  <c r="AA35" i="8" s="1"/>
  <c r="AM34" i="8"/>
  <c r="Y36" i="8" l="1"/>
  <c r="AA36" i="8" s="1"/>
  <c r="AM35" i="8"/>
  <c r="Y37" i="8" l="1"/>
  <c r="AA37" i="8" s="1"/>
  <c r="AM36" i="8"/>
  <c r="Y38" i="8" l="1"/>
  <c r="AA38" i="8" s="1"/>
  <c r="AM37" i="8"/>
  <c r="Y39" i="8" l="1"/>
  <c r="AA39" i="8" s="1"/>
  <c r="AM38" i="8"/>
  <c r="Y40" i="8" l="1"/>
  <c r="AA40" i="8" s="1"/>
  <c r="AM39" i="8"/>
  <c r="Y41" i="8" l="1"/>
  <c r="AA41" i="8" s="1"/>
  <c r="AM40" i="8"/>
  <c r="Y42" i="8" l="1"/>
  <c r="AA42" i="8" s="1"/>
  <c r="AM41" i="8"/>
  <c r="Y43" i="8" l="1"/>
  <c r="AA43" i="8" s="1"/>
  <c r="AM42" i="8"/>
  <c r="Y44" i="8" l="1"/>
  <c r="AA44" i="8" s="1"/>
  <c r="AM43" i="8"/>
  <c r="Y45" i="8" l="1"/>
  <c r="AA45" i="8" s="1"/>
  <c r="AM44" i="8"/>
  <c r="Y46" i="8" l="1"/>
  <c r="AA46" i="8" s="1"/>
  <c r="AM45" i="8"/>
  <c r="Y47" i="8" l="1"/>
  <c r="AA47" i="8" s="1"/>
  <c r="AM46" i="8"/>
  <c r="Y48" i="8" l="1"/>
  <c r="AA48" i="8" s="1"/>
  <c r="AM47" i="8"/>
  <c r="Y49" i="8" l="1"/>
  <c r="AA49" i="8" s="1"/>
  <c r="AM48" i="8"/>
  <c r="Y50" i="8" l="1"/>
  <c r="AA50" i="8" s="1"/>
  <c r="AM49" i="8"/>
  <c r="Y51" i="8" l="1"/>
  <c r="AA51" i="8" s="1"/>
  <c r="AM50" i="8"/>
  <c r="Y52" i="8" l="1"/>
  <c r="AA52" i="8" s="1"/>
  <c r="AM51" i="8"/>
  <c r="Y53" i="8" l="1"/>
  <c r="AA53" i="8" s="1"/>
  <c r="AM52" i="8"/>
  <c r="Y54" i="8" l="1"/>
  <c r="AA54" i="8" s="1"/>
  <c r="AM53" i="8"/>
  <c r="Y55" i="8" l="1"/>
  <c r="AA55" i="8" s="1"/>
  <c r="AM54" i="8"/>
  <c r="Y56" i="8" l="1"/>
  <c r="AA56" i="8" s="1"/>
  <c r="AM55" i="8"/>
  <c r="Y57" i="8" l="1"/>
  <c r="AA57" i="8" s="1"/>
  <c r="AM56" i="8"/>
  <c r="Y58" i="8" l="1"/>
  <c r="AA58" i="8" s="1"/>
  <c r="AM57" i="8"/>
  <c r="Y59" i="8" l="1"/>
  <c r="AA59" i="8" s="1"/>
  <c r="AM58" i="8"/>
  <c r="Y60" i="8" l="1"/>
  <c r="AA60" i="8" s="1"/>
  <c r="AM59" i="8"/>
  <c r="Y61" i="8" l="1"/>
  <c r="AA61" i="8" s="1"/>
  <c r="AM60" i="8"/>
  <c r="Y62" i="8" l="1"/>
  <c r="AA62" i="8" s="1"/>
  <c r="AM61" i="8"/>
  <c r="Y63" i="8" l="1"/>
  <c r="AA63" i="8" s="1"/>
  <c r="AM62" i="8"/>
  <c r="Y64" i="8" l="1"/>
  <c r="AA64" i="8" s="1"/>
  <c r="AM63" i="8"/>
  <c r="Y65" i="8" l="1"/>
  <c r="AA65" i="8" s="1"/>
  <c r="AM64" i="8"/>
  <c r="Y66" i="8" l="1"/>
  <c r="AA66" i="8" s="1"/>
  <c r="AM65" i="8"/>
  <c r="Y67" i="8" l="1"/>
  <c r="AA67" i="8" s="1"/>
  <c r="AM66" i="8"/>
  <c r="Y68" i="8" l="1"/>
  <c r="AA68" i="8" s="1"/>
  <c r="AM67" i="8"/>
  <c r="Y69" i="8" l="1"/>
  <c r="AA69" i="8" s="1"/>
  <c r="AM68" i="8"/>
  <c r="Y70" i="8" l="1"/>
  <c r="AA70" i="8" s="1"/>
  <c r="AM69" i="8"/>
  <c r="Y71" i="8" l="1"/>
  <c r="AA71" i="8" s="1"/>
  <c r="AM70" i="8"/>
  <c r="Y72" i="8" l="1"/>
  <c r="AA72" i="8" s="1"/>
  <c r="AM71" i="8"/>
  <c r="Y73" i="8" l="1"/>
  <c r="AA73" i="8" s="1"/>
  <c r="AM72" i="8"/>
  <c r="Y74" i="8" l="1"/>
  <c r="AA74" i="8" s="1"/>
  <c r="AM73" i="8"/>
  <c r="Y75" i="8" l="1"/>
  <c r="AA75" i="8" s="1"/>
  <c r="AM74" i="8"/>
  <c r="Y76" i="8" l="1"/>
  <c r="AA76" i="8" s="1"/>
  <c r="AM75" i="8"/>
  <c r="Y77" i="8" l="1"/>
  <c r="AA77" i="8" s="1"/>
  <c r="AM76" i="8"/>
  <c r="Y78" i="8" l="1"/>
  <c r="AA78" i="8" s="1"/>
  <c r="AM77" i="8"/>
  <c r="Y79" i="8" l="1"/>
  <c r="AA79" i="8" s="1"/>
  <c r="AM78" i="8"/>
  <c r="Y80" i="8" l="1"/>
  <c r="AA80" i="8" s="1"/>
  <c r="AM79" i="8"/>
  <c r="Y81" i="8" l="1"/>
  <c r="AA81" i="8" s="1"/>
  <c r="AM80" i="8"/>
  <c r="Y82" i="8" l="1"/>
  <c r="AA82" i="8" s="1"/>
  <c r="AM81" i="8"/>
  <c r="Y83" i="8" l="1"/>
  <c r="AA83" i="8" s="1"/>
  <c r="AM82" i="8"/>
  <c r="Y84" i="8" l="1"/>
  <c r="AA84" i="8" s="1"/>
  <c r="AM83" i="8"/>
  <c r="Y85" i="8" l="1"/>
  <c r="AA85" i="8" s="1"/>
  <c r="AM84" i="8"/>
  <c r="Y86" i="8" l="1"/>
  <c r="AA86" i="8" s="1"/>
  <c r="AM85" i="8"/>
  <c r="Y87" i="8" l="1"/>
  <c r="AA87" i="8" s="1"/>
  <c r="AM86" i="8"/>
  <c r="Y88" i="8" l="1"/>
  <c r="AA88" i="8" s="1"/>
  <c r="AM87" i="8"/>
  <c r="Y89" i="8" l="1"/>
  <c r="AA89" i="8" s="1"/>
  <c r="AM88" i="8"/>
  <c r="Y90" i="8" l="1"/>
  <c r="AA90" i="8" s="1"/>
  <c r="AM89" i="8"/>
  <c r="Y91" i="8" l="1"/>
  <c r="AA91" i="8" s="1"/>
  <c r="AM90" i="8"/>
  <c r="Y92" i="8" l="1"/>
  <c r="AA92" i="8" s="1"/>
  <c r="AM91" i="8"/>
  <c r="Y93" i="8" l="1"/>
  <c r="AA93" i="8" s="1"/>
  <c r="AM92" i="8"/>
  <c r="Y94" i="8" l="1"/>
  <c r="AA94" i="8" s="1"/>
  <c r="AM93" i="8"/>
  <c r="Y95" i="8" l="1"/>
  <c r="AA95" i="8" s="1"/>
  <c r="AM94" i="8"/>
  <c r="Y96" i="8" l="1"/>
  <c r="AA96" i="8" s="1"/>
  <c r="AM95" i="8"/>
  <c r="Y97" i="8" l="1"/>
  <c r="AA97" i="8" s="1"/>
  <c r="AM96" i="8"/>
  <c r="Y98" i="8" l="1"/>
  <c r="AA98" i="8" s="1"/>
  <c r="AM97" i="8"/>
  <c r="Y99" i="8" l="1"/>
  <c r="AA99" i="8" s="1"/>
  <c r="AM98" i="8"/>
  <c r="Y100" i="8" l="1"/>
  <c r="AA100" i="8" s="1"/>
  <c r="AM99" i="8"/>
  <c r="Y101" i="8" l="1"/>
  <c r="AA101" i="8" s="1"/>
  <c r="AM100" i="8"/>
  <c r="Y102" i="8" l="1"/>
  <c r="AA102" i="8" s="1"/>
  <c r="AM101" i="8"/>
  <c r="Y103" i="8" l="1"/>
  <c r="AA103" i="8" s="1"/>
  <c r="AM102" i="8"/>
  <c r="Y104" i="8" l="1"/>
  <c r="AA104" i="8" s="1"/>
  <c r="AM103" i="8"/>
  <c r="Y105" i="8" l="1"/>
  <c r="AA105" i="8" s="1"/>
  <c r="AM104" i="8"/>
  <c r="Y106" i="8" l="1"/>
  <c r="AA106" i="8" s="1"/>
  <c r="AM105" i="8"/>
  <c r="Y107" i="8" l="1"/>
  <c r="AA107" i="8" s="1"/>
  <c r="AM106" i="8"/>
  <c r="Y108" i="8" l="1"/>
  <c r="AA108" i="8" s="1"/>
  <c r="AM107" i="8"/>
  <c r="Y109" i="8" l="1"/>
  <c r="AA109" i="8" s="1"/>
  <c r="AM108" i="8"/>
  <c r="Y110" i="8" l="1"/>
  <c r="AA110" i="8" s="1"/>
  <c r="AM109" i="8"/>
  <c r="Y111" i="8" l="1"/>
  <c r="AA111" i="8" s="1"/>
  <c r="AM110" i="8"/>
  <c r="Y112" i="8" l="1"/>
  <c r="AA112" i="8" s="1"/>
  <c r="AM112" i="8" s="1"/>
  <c r="AM111" i="8"/>
  <c r="W19" i="13" l="1"/>
  <c r="AX19" i="13" s="1"/>
  <c r="Y19" i="13" l="1"/>
  <c r="AS19" i="13" s="1"/>
  <c r="W20" i="13" l="1"/>
  <c r="AX20" i="13" s="1"/>
  <c r="Y20" i="13" l="1"/>
  <c r="AS20" i="13" s="1"/>
  <c r="W21" i="13" l="1"/>
  <c r="AX21" i="13" s="1"/>
  <c r="Y21" i="13" l="1"/>
  <c r="AS21" i="13" s="1"/>
  <c r="W22" i="13" l="1"/>
  <c r="AX22" i="13" s="1"/>
  <c r="Y22" i="13" l="1"/>
  <c r="AS22" i="13" s="1"/>
  <c r="W23" i="13"/>
  <c r="AX23" i="13" s="1"/>
  <c r="Y23" i="13" l="1"/>
  <c r="AS23" i="13" s="1"/>
  <c r="W24" i="13" l="1"/>
  <c r="AX24" i="13" s="1"/>
  <c r="Y24" i="13" l="1"/>
  <c r="AS24" i="13" s="1"/>
  <c r="W25" i="13"/>
  <c r="AX25" i="13" l="1"/>
  <c r="Y25" i="13"/>
  <c r="AS25" i="13" l="1"/>
  <c r="W26" i="13"/>
  <c r="AX26" i="13" l="1"/>
  <c r="Y26" i="13"/>
  <c r="AS26" i="13" l="1"/>
  <c r="W27" i="13"/>
  <c r="Y27" i="13" l="1"/>
  <c r="AX27" i="13"/>
  <c r="AS27" i="13" l="1"/>
  <c r="W28" i="13"/>
  <c r="Y28" i="13" l="1"/>
  <c r="AS28" i="13" s="1"/>
  <c r="AX28" i="13"/>
  <c r="W29" i="13" l="1"/>
  <c r="Y29" i="13" s="1"/>
  <c r="AS29" i="13" s="1"/>
  <c r="AX29" i="13" l="1"/>
  <c r="W30" i="13"/>
  <c r="AX30" i="13" s="1"/>
  <c r="Y30" i="13" l="1"/>
  <c r="AS30" i="13" s="1"/>
  <c r="W31" i="13" l="1"/>
  <c r="AX31" i="13" s="1"/>
  <c r="Y31" i="13" l="1"/>
  <c r="AS31" i="13" s="1"/>
  <c r="W32" i="13" l="1"/>
  <c r="AX32" i="13" s="1"/>
  <c r="Y32" i="13" l="1"/>
  <c r="AS32" i="13" s="1"/>
  <c r="W33" i="13" l="1"/>
  <c r="AX33" i="13" s="1"/>
  <c r="Y33" i="13" l="1"/>
  <c r="AS33" i="13" s="1"/>
  <c r="W34" i="13" l="1"/>
  <c r="AX34" i="13" l="1"/>
  <c r="Y34" i="13"/>
  <c r="AS34" i="13" s="1"/>
  <c r="W35" i="13" l="1"/>
  <c r="AX35" i="13" l="1"/>
  <c r="Y35" i="13"/>
  <c r="AS35" i="13" s="1"/>
  <c r="W36" i="13" l="1"/>
  <c r="AX36" i="13" l="1"/>
  <c r="Y36" i="13"/>
  <c r="AS36" i="13" s="1"/>
  <c r="W37" i="13" l="1"/>
  <c r="AX37" i="13" l="1"/>
  <c r="Y37" i="13"/>
  <c r="AS37" i="13" s="1"/>
  <c r="W38" i="13"/>
  <c r="AX38" i="13" l="1"/>
  <c r="Y38" i="13"/>
  <c r="AS38" i="13" s="1"/>
  <c r="W39" i="13"/>
  <c r="Y39" i="13" l="1"/>
  <c r="AX39" i="13"/>
  <c r="AS39" i="13" l="1"/>
  <c r="W40" i="13"/>
  <c r="AX40" i="13" l="1"/>
  <c r="Y40" i="13"/>
  <c r="AS40" i="13" s="1"/>
  <c r="W41" i="13" l="1"/>
  <c r="AX41" i="13" s="1"/>
  <c r="Y41" i="13" l="1"/>
  <c r="AS41" i="13" l="1"/>
  <c r="W42" i="13"/>
  <c r="AX42" i="13" l="1"/>
  <c r="Y42" i="13"/>
  <c r="AS42" i="13" l="1"/>
  <c r="W43" i="13"/>
  <c r="Y43" i="13" l="1"/>
  <c r="AS43" i="13" s="1"/>
  <c r="W44" i="13"/>
  <c r="AX43" i="13"/>
  <c r="AX44" i="13" l="1"/>
  <c r="Y44" i="13"/>
  <c r="AS44" i="13" s="1"/>
  <c r="W45" i="13" l="1"/>
  <c r="Y45" i="13" l="1"/>
  <c r="AS45" i="13" s="1"/>
  <c r="AX45" i="13"/>
  <c r="W46" i="13" l="1"/>
  <c r="Y46" i="13" l="1"/>
  <c r="AS46" i="13" s="1"/>
  <c r="AX46" i="13"/>
  <c r="W47" i="13" l="1"/>
  <c r="AX47" i="13" l="1"/>
  <c r="Y47" i="13"/>
  <c r="AS47" i="13" s="1"/>
  <c r="W48" i="13" l="1"/>
  <c r="Y48" i="13" l="1"/>
  <c r="AS48" i="13" s="1"/>
  <c r="AX48" i="13"/>
  <c r="W49" i="13" l="1"/>
  <c r="Y49" i="13" s="1"/>
  <c r="AS49" i="13" s="1"/>
  <c r="AX49" i="13"/>
  <c r="W50" i="13" l="1"/>
  <c r="Y50" i="13" s="1"/>
  <c r="AS50" i="13" s="1"/>
  <c r="AX50" i="13"/>
  <c r="W51" i="13" l="1"/>
  <c r="Y51" i="13"/>
  <c r="AS51" i="13" s="1"/>
  <c r="AX51" i="13"/>
  <c r="W52" i="13" l="1"/>
  <c r="Y52" i="13" l="1"/>
  <c r="AS52" i="13" s="1"/>
  <c r="W53" i="13"/>
  <c r="AX52" i="13"/>
  <c r="AX53" i="13" l="1"/>
  <c r="Y53" i="13"/>
  <c r="AS53" i="13" s="1"/>
  <c r="W54" i="13" l="1"/>
  <c r="AX54" i="13" l="1"/>
  <c r="Y54" i="13"/>
  <c r="AS54" i="13" s="1"/>
  <c r="W55" i="13"/>
  <c r="AX55" i="13" l="1"/>
  <c r="Y55" i="13"/>
  <c r="AS55" i="13" s="1"/>
  <c r="W56" i="13"/>
  <c r="AX56" i="13" l="1"/>
  <c r="Y56" i="13"/>
  <c r="AS56" i="13" s="1"/>
  <c r="W57" i="13" l="1"/>
  <c r="Y57" i="13" l="1"/>
  <c r="AS57" i="13" s="1"/>
  <c r="W58" i="13"/>
  <c r="AX57" i="13"/>
  <c r="AX58" i="13" l="1"/>
  <c r="Y58" i="13"/>
  <c r="AS58" i="13" s="1"/>
  <c r="W59" i="13" l="1"/>
  <c r="Y59" i="13" l="1"/>
  <c r="AX59" i="13"/>
  <c r="AS59" i="13" l="1"/>
  <c r="W60" i="13"/>
  <c r="Y60" i="13" l="1"/>
  <c r="AX60" i="13"/>
  <c r="AS60" i="13" l="1"/>
  <c r="W61" i="13"/>
  <c r="AX61" i="13" l="1"/>
  <c r="Y61" i="13"/>
  <c r="AS61" i="13" s="1"/>
  <c r="W62" i="13" l="1"/>
  <c r="AX62" i="13" l="1"/>
  <c r="Y62" i="13"/>
  <c r="AS62" i="13" l="1"/>
  <c r="W63" i="13"/>
  <c r="Y63" i="13" l="1"/>
  <c r="AS63" i="13" s="1"/>
  <c r="AX63" i="13"/>
  <c r="W64" i="13"/>
  <c r="AX64" i="13" l="1"/>
  <c r="Y64" i="13"/>
  <c r="AS64" i="13" l="1"/>
  <c r="W65" i="13"/>
  <c r="Y65" i="13" l="1"/>
  <c r="AS65" i="13" s="1"/>
  <c r="AX65" i="13"/>
  <c r="W66" i="13" l="1"/>
  <c r="Y66" i="13" l="1"/>
  <c r="AX66" i="13"/>
  <c r="AS66" i="13" l="1"/>
  <c r="W67" i="13"/>
  <c r="Y67" i="13" l="1"/>
  <c r="AS67" i="13" s="1"/>
  <c r="AX67" i="13"/>
  <c r="W68" i="13"/>
  <c r="AX68" i="13" l="1"/>
  <c r="Y68" i="13"/>
  <c r="AS68" i="13" l="1"/>
  <c r="W69" i="13"/>
  <c r="AX69" i="13" l="1"/>
  <c r="Y69" i="13"/>
  <c r="AS69" i="13" l="1"/>
  <c r="W70" i="13"/>
  <c r="Y70" i="13" l="1"/>
  <c r="AX70" i="13"/>
  <c r="AS70" i="13" l="1"/>
  <c r="W71" i="13"/>
  <c r="Y71" i="13" l="1"/>
  <c r="AS71" i="13" s="1"/>
  <c r="AX71" i="13"/>
  <c r="W72" i="13"/>
  <c r="AX72" i="13" l="1"/>
  <c r="Y72" i="13"/>
  <c r="AS72" i="13" l="1"/>
  <c r="W73" i="13"/>
  <c r="Y73" i="13" l="1"/>
  <c r="AS73" i="13" s="1"/>
  <c r="AX73" i="13"/>
  <c r="W74" i="13"/>
  <c r="Y74" i="13" l="1"/>
  <c r="AS74" i="13" s="1"/>
  <c r="AX74" i="13"/>
  <c r="W75" i="13"/>
  <c r="Y75" i="13" l="1"/>
  <c r="AS75" i="13" s="1"/>
  <c r="AX75" i="13"/>
  <c r="W76" i="13"/>
  <c r="Y76" i="13" l="1"/>
  <c r="AS76" i="13" s="1"/>
  <c r="AX76" i="13"/>
  <c r="W77" i="13" l="1"/>
  <c r="Y77" i="13" s="1"/>
  <c r="AS77" i="13" s="1"/>
  <c r="W78" i="13"/>
  <c r="AX78" i="13" s="1"/>
  <c r="AX77" i="13"/>
  <c r="Y78" i="13"/>
  <c r="AS78" i="13" l="1"/>
  <c r="W79" i="13"/>
  <c r="AX79" i="13" l="1"/>
  <c r="Y79" i="13"/>
  <c r="AS79" i="13" l="1"/>
  <c r="W80" i="13"/>
  <c r="Y80" i="13" l="1"/>
  <c r="AS80" i="13" s="1"/>
  <c r="AX80" i="13"/>
  <c r="W81" i="13" l="1"/>
  <c r="Y81" i="13" s="1"/>
  <c r="AS81" i="13" s="1"/>
  <c r="AX81" i="13" l="1"/>
  <c r="W82" i="13"/>
  <c r="Y82" i="13" s="1"/>
  <c r="AS82" i="13" s="1"/>
  <c r="AX82" i="13" l="1"/>
  <c r="W83" i="13"/>
  <c r="Y83" i="13" s="1"/>
  <c r="AS83" i="13" s="1"/>
  <c r="AX83" i="13" l="1"/>
  <c r="W84" i="13"/>
  <c r="AX84" i="13"/>
  <c r="Y84" i="13"/>
  <c r="W85" i="13" l="1"/>
  <c r="AS84" i="13"/>
  <c r="AX85" i="13" l="1"/>
  <c r="Y85" i="13"/>
  <c r="AS85" i="13" l="1"/>
  <c r="W86" i="13"/>
  <c r="AX86" i="13" l="1"/>
  <c r="Y86" i="13"/>
  <c r="AS86" i="13" l="1"/>
  <c r="W87" i="13"/>
  <c r="Y87" i="13" l="1"/>
  <c r="AS87" i="13" s="1"/>
  <c r="AX87" i="13"/>
  <c r="W88" i="13"/>
  <c r="Y88" i="13" l="1"/>
  <c r="AS88" i="13" s="1"/>
  <c r="AX88" i="13"/>
  <c r="W89" i="13" l="1"/>
  <c r="Y89" i="13" s="1"/>
  <c r="AX89" i="13" l="1"/>
  <c r="AS89" i="13"/>
  <c r="W90" i="13"/>
  <c r="Y90" i="13" s="1"/>
  <c r="AX90" i="13" l="1"/>
  <c r="AS90" i="13"/>
  <c r="W91" i="13"/>
  <c r="AX91" i="13" s="1"/>
  <c r="Y91" i="13" l="1"/>
  <c r="AS91" i="13" s="1"/>
  <c r="W92" i="13" l="1"/>
  <c r="Y92" i="13"/>
  <c r="AS92" i="13" s="1"/>
  <c r="AX92" i="13"/>
  <c r="W93" i="13" l="1"/>
  <c r="AX93" i="13"/>
  <c r="Y93" i="13"/>
  <c r="AS93" i="13" s="1"/>
  <c r="W94" i="13" l="1"/>
  <c r="AX94" i="13" s="1"/>
  <c r="Y94" i="13" l="1"/>
  <c r="AS94" i="13" s="1"/>
  <c r="W95" i="13" l="1"/>
  <c r="Y95" i="13" l="1"/>
  <c r="AS95" i="13" s="1"/>
  <c r="AX95" i="13"/>
  <c r="W96" i="13" l="1"/>
  <c r="AX96" i="13" l="1"/>
  <c r="Y96" i="13"/>
  <c r="AS96" i="13" s="1"/>
  <c r="W97" i="13" l="1"/>
  <c r="Y97" i="13" l="1"/>
  <c r="AS97" i="13" s="1"/>
  <c r="AX97" i="13"/>
  <c r="W98" i="13"/>
  <c r="AX98" i="13" l="1"/>
  <c r="Y98" i="13"/>
  <c r="AS98" i="13" l="1"/>
  <c r="W99" i="13"/>
  <c r="Y99" i="13" l="1"/>
  <c r="AS99" i="13" s="1"/>
  <c r="AX99" i="13"/>
  <c r="W100" i="13" l="1"/>
  <c r="Y100" i="13" s="1"/>
  <c r="AX100" i="13" l="1"/>
  <c r="AS100" i="13"/>
  <c r="W101" i="13"/>
  <c r="Y101" i="13" l="1"/>
  <c r="AS101" i="13" s="1"/>
  <c r="AX101" i="13"/>
  <c r="W102" i="13" l="1"/>
  <c r="AX102" i="13" s="1"/>
  <c r="Y102" i="13" l="1"/>
  <c r="AS102" i="13" s="1"/>
  <c r="W103" i="13" l="1"/>
  <c r="Y103" i="13" s="1"/>
  <c r="AS103" i="13" s="1"/>
  <c r="AX103" i="13" l="1"/>
  <c r="W104" i="13"/>
  <c r="Y104" i="13" s="1"/>
  <c r="AS104" i="13" s="1"/>
  <c r="AX104" i="13" l="1"/>
  <c r="W105" i="13"/>
  <c r="AX105" i="13" s="1"/>
  <c r="Y105" i="13" l="1"/>
  <c r="W106" i="13" s="1"/>
  <c r="AS105" i="13"/>
  <c r="AX106" i="13" l="1"/>
  <c r="Y106" i="13"/>
  <c r="W107" i="13" l="1"/>
  <c r="AS106" i="13"/>
  <c r="Y107" i="13" l="1"/>
  <c r="AX107" i="13"/>
  <c r="W108" i="13" l="1"/>
  <c r="AS107" i="13"/>
  <c r="Y108" i="13" l="1"/>
  <c r="AX108" i="13"/>
  <c r="AS108" i="13" l="1"/>
  <c r="W109" i="13"/>
  <c r="Y109" i="13" l="1"/>
  <c r="AS109" i="13" s="1"/>
  <c r="AX109" i="13"/>
  <c r="W110" i="13" l="1"/>
  <c r="Y110" i="13" s="1"/>
  <c r="AX110" i="13" l="1"/>
  <c r="AS110" i="13"/>
  <c r="W111" i="13"/>
  <c r="AX111" i="13" l="1"/>
  <c r="Y111" i="13"/>
  <c r="AS111" i="13" s="1"/>
  <c r="W112" i="13" l="1"/>
  <c r="AX112" i="13" s="1"/>
  <c r="Y112" i="13" l="1"/>
  <c r="AS112" i="13" s="1"/>
</calcChain>
</file>

<file path=xl/sharedStrings.xml><?xml version="1.0" encoding="utf-8"?>
<sst xmlns="http://schemas.openxmlformats.org/spreadsheetml/2006/main" count="1265" uniqueCount="197">
  <si>
    <t>Start Date</t>
  </si>
  <si>
    <t>Drilling Critical Path</t>
  </si>
  <si>
    <t>Open Camp</t>
  </si>
  <si>
    <t>Dig Out</t>
  </si>
  <si>
    <t>Drill &amp; Tent Setup</t>
  </si>
  <si>
    <t>Working Day (hrs)</t>
  </si>
  <si>
    <t>Day</t>
  </si>
  <si>
    <t>REST</t>
  </si>
  <si>
    <t>Drilling Day (hrs)</t>
  </si>
  <si>
    <t>Drilling</t>
  </si>
  <si>
    <t>Bailing</t>
  </si>
  <si>
    <t>Drill Fluid Used (Drums)</t>
  </si>
  <si>
    <t>Drop Length</t>
  </si>
  <si>
    <t>l</t>
  </si>
  <si>
    <t>Winch Speed</t>
  </si>
  <si>
    <t>Drilling Speed</t>
  </si>
  <si>
    <t>v</t>
  </si>
  <si>
    <t>Surface Time per Run</t>
  </si>
  <si>
    <t>s</t>
  </si>
  <si>
    <t>m</t>
  </si>
  <si>
    <t>m/min</t>
  </si>
  <si>
    <t>min</t>
  </si>
  <si>
    <t>Slack</t>
  </si>
  <si>
    <t>1.15 is average from Skytrain</t>
  </si>
  <si>
    <t>Skytrain</t>
  </si>
  <si>
    <t>est</t>
  </si>
  <si>
    <t>Drilling Start Depth</t>
  </si>
  <si>
    <t>REWIND</t>
  </si>
  <si>
    <t>Cumulative Drilling Time (hrs)</t>
  </si>
  <si>
    <t>W</t>
  </si>
  <si>
    <t>Time to drill from 0m to dm; Td = d^2/lW + d/v + ds/l</t>
  </si>
  <si>
    <t>Therefore, given T and d1:</t>
  </si>
  <si>
    <t>Therefore time to drill from d1 to d2; T = (d2^2-d1^2)/lW + (d2-d1)/v + (d2-d1)s/l</t>
  </si>
  <si>
    <t>d2 = (- sqrt(4d1^2v^2 + 4d1vW(l+sv) + W(l^2W + 2lv(sW +2vT) +s^2v^2W)) + lW + svW) / 2v</t>
  </si>
  <si>
    <t>AND</t>
  </si>
  <si>
    <t>d2 = (+ sqrt(4d1^2v^2 + 4d1vW(l+sv) + W(l^2W + 2lv(sW +2vT) +s^2v^2W)) - lW - svW) / 2v</t>
  </si>
  <si>
    <t>lW + svW</t>
  </si>
  <si>
    <t>=</t>
  </si>
  <si>
    <t>min^-1</t>
  </si>
  <si>
    <t>l^2W</t>
  </si>
  <si>
    <t>4vW(l+sv)</t>
  </si>
  <si>
    <t>m^3/min^2</t>
  </si>
  <si>
    <t>s^2v^2W</t>
  </si>
  <si>
    <t>m^3/min</t>
  </si>
  <si>
    <t>e</t>
  </si>
  <si>
    <t>Therefore,</t>
  </si>
  <si>
    <t>d2 = (- sqrt(4d1^2v^2 + 4d1vW(l+sv) + W(l^2W + 2lv(sW +2vT/(1+e)) +s^2v^2W)) + lW + svW) / 2v</t>
  </si>
  <si>
    <t>d2 = (+ sqrt(4d1^2v^2 + 4d1vW(l+sv) + W(l^2W + 2lv(sW +2vT/(1+e)) +s^2v^2W)) - lW - svW) / 2v</t>
  </si>
  <si>
    <t>End of Day Drill Depth (m)</t>
  </si>
  <si>
    <t>New Drilling Depth (m)</t>
  </si>
  <si>
    <t>With real world data, it seems the former always gives the negative result (with fixed, l,W,v,s,e), and the later the same result but positive. (Symmetrical about T=0). So we'll only use the positive result</t>
  </si>
  <si>
    <t>Drilling Day (mins)</t>
  </si>
  <si>
    <t>Drill Spec</t>
  </si>
  <si>
    <t>Project Info</t>
  </si>
  <si>
    <t>Bedrock</t>
  </si>
  <si>
    <t>Bedrock Depth</t>
  </si>
  <si>
    <t>10,000BP Depth Min</t>
  </si>
  <si>
    <t>10,000BP Depth Max</t>
  </si>
  <si>
    <t>Drill Fluid Head Depth</t>
  </si>
  <si>
    <t>Drill Fluid Depth/Drum</t>
  </si>
  <si>
    <t>m/drum</t>
  </si>
  <si>
    <t>Deep Drill</t>
  </si>
  <si>
    <t>Logistics Constraints</t>
  </si>
  <si>
    <t>drums/flight</t>
  </si>
  <si>
    <t>guess</t>
  </si>
  <si>
    <t>10,000YBP Min</t>
  </si>
  <si>
    <t>10,000YBP Max</t>
  </si>
  <si>
    <t>End of Day Drill Depth</t>
  </si>
  <si>
    <t>Drill &amp; Tent Teardown</t>
  </si>
  <si>
    <t>Input</t>
  </si>
  <si>
    <t>Camp Teardown</t>
  </si>
  <si>
    <t>Camp Closed</t>
  </si>
  <si>
    <t>Drill Fluid Already in Field</t>
  </si>
  <si>
    <t>Drill Fluid per Delivery</t>
  </si>
  <si>
    <t>drums</t>
  </si>
  <si>
    <t>Drill Fluid in Field (Drums)</t>
  </si>
  <si>
    <t>TODOS:</t>
  </si>
  <si>
    <t>Core per Core Box</t>
  </si>
  <si>
    <t>m/box</t>
  </si>
  <si>
    <t>Core Boxes per Flight</t>
  </si>
  <si>
    <t>box/flight</t>
  </si>
  <si>
    <t>Drilling Progress is Calculated as Below</t>
  </si>
  <si>
    <t>To account for Slack, which makes this maths line up with data from Skytrain, replace T with  T/(1+e)</t>
  </si>
  <si>
    <t>- Show sidequests (Firn Air, Geophysics, Living Tent Setup, etc)</t>
  </si>
  <si>
    <t>Bailing Spec</t>
  </si>
  <si>
    <t>1.5m for bailer, 3m for bunged outer barrel</t>
  </si>
  <si>
    <t>Bailing Speed</t>
  </si>
  <si>
    <t>No different from winching</t>
  </si>
  <si>
    <t>50% Slack makes bailing theory match Skytrain performance</t>
  </si>
  <si>
    <t>100% Slack makes drilling theory match Skytrain performance</t>
  </si>
  <si>
    <t>lB</t>
  </si>
  <si>
    <t>WB</t>
  </si>
  <si>
    <t>vB</t>
  </si>
  <si>
    <t>sB</t>
  </si>
  <si>
    <t>eB</t>
  </si>
  <si>
    <t>Constants used in drilling calculation</t>
  </si>
  <si>
    <t>Constants used in bailing calculation</t>
  </si>
  <si>
    <t>4vBWB(lB+sBvB)</t>
  </si>
  <si>
    <t>lB^2WB</t>
  </si>
  <si>
    <t>sB^2vB^2WB</t>
  </si>
  <si>
    <t>lBWB + sBvBWB</t>
  </si>
  <si>
    <t>Bailing Day (hrs)</t>
  </si>
  <si>
    <t>Bailing Day (mins)</t>
  </si>
  <si>
    <t>Drill Fluid Height (m)</t>
  </si>
  <si>
    <t>End of Day Bailing Depth</t>
  </si>
  <si>
    <t>New Bailing Depth (m)</t>
  </si>
  <si>
    <t>End of Day Bailing Depth (m)</t>
  </si>
  <si>
    <t>Cumulative Bailing Time (hrs)</t>
  </si>
  <si>
    <t>TOTAL REST</t>
  </si>
  <si>
    <t>TOTAL BAILING</t>
  </si>
  <si>
    <t>TOTAL DRILLING</t>
  </si>
  <si>
    <t>hrs</t>
  </si>
  <si>
    <t>days</t>
  </si>
  <si>
    <t>FIELD TIME</t>
  </si>
  <si>
    <t>SLACK</t>
  </si>
  <si>
    <t>Able to Output</t>
  </si>
  <si>
    <t>BE-OIC boxes take six 1m cores</t>
  </si>
  <si>
    <t>TOTAL WORKING</t>
  </si>
  <si>
    <t>Drill Fluid Planned Arrival (Drums)</t>
  </si>
  <si>
    <t>Drill Fluid Still Required IN (Drums)</t>
  </si>
  <si>
    <t>Drill Fluid Still Needed In</t>
  </si>
  <si>
    <t>Drill Fluid Planned In</t>
  </si>
  <si>
    <t>Ice Core Boxes Filled</t>
  </si>
  <si>
    <t>Ice Core Boxes Planned Removal</t>
  </si>
  <si>
    <t>Filled Ice Core Boxes in Field</t>
  </si>
  <si>
    <t>Today's Ice Core Boxes Filled</t>
  </si>
  <si>
    <t>Ice Core Box Flight Ready OUT</t>
  </si>
  <si>
    <t>Ice Core Boxes Planned OUT</t>
  </si>
  <si>
    <t>Ice Core Boxes Still Needed OUT</t>
  </si>
  <si>
    <t>Baseline 1: Perfect Setup, 24hr Drilling. No Drilling, Weather, or Logistics Issues. No Burnout! Worst Case Scenario for Cargo Requirements</t>
  </si>
  <si>
    <t>Baseline 2: Good Setup, 16hr Drilling. No Drilling, Weather, or Logistics Issues. My Best Hope for a Good Season</t>
  </si>
  <si>
    <t>PAX</t>
  </si>
  <si>
    <t>First Input</t>
  </si>
  <si>
    <t>Second Input</t>
  </si>
  <si>
    <t>First Output</t>
  </si>
  <si>
    <t>Fuel Requirements</t>
  </si>
  <si>
    <t>EP18000TE fuel use from Cambridge testing</t>
  </si>
  <si>
    <t>Drill Motor Fuel Use</t>
  </si>
  <si>
    <t>Winch Motor Fuel Use</t>
  </si>
  <si>
    <t>Idling Fuel Use</t>
  </si>
  <si>
    <t>L/hr</t>
  </si>
  <si>
    <t>Winching Time per Run</t>
  </si>
  <si>
    <t>Drilling Time per Run</t>
  </si>
  <si>
    <t>Idling Time per Run</t>
  </si>
  <si>
    <t>9kW</t>
  </si>
  <si>
    <t>0.6kW</t>
  </si>
  <si>
    <t>min/run</t>
  </si>
  <si>
    <t>Drilling Fuel Consumption</t>
  </si>
  <si>
    <t>guess as to average</t>
  </si>
  <si>
    <t>205L drum</t>
  </si>
  <si>
    <t>drum/hr</t>
  </si>
  <si>
    <t>Petrol per Delivery</t>
  </si>
  <si>
    <t>Drilling Fuel Planned</t>
  </si>
  <si>
    <t>Drilling Fuel Still Needed</t>
  </si>
  <si>
    <t>Bailing Fuel Consumption</t>
  </si>
  <si>
    <t>Drilling/Bailing Fuel Burn (Drums)</t>
  </si>
  <si>
    <t>Cumulative Drilling/Bailing Fuel Burn (Drums)</t>
  </si>
  <si>
    <t>Drilling/Bailing Fuel in Field (Drums)</t>
  </si>
  <si>
    <t>Drilling/Bailing Fuel Planned Arrival (Drums)</t>
  </si>
  <si>
    <t>Fuel Still Required for Drilling/Bailing IN (Drums)</t>
  </si>
  <si>
    <t>Date</t>
  </si>
  <si>
    <t>Drilling Fuel in Camp</t>
  </si>
  <si>
    <t>Filled Core Boxes in Camp</t>
  </si>
  <si>
    <t>Cumulative Drill Fluid Recovered (Drums)</t>
  </si>
  <si>
    <t>Daily Drill Fluid Recovered (Drums)</t>
  </si>
  <si>
    <t>Drill Fluid Recovery Rate</t>
  </si>
  <si>
    <t>D60 in Camp (excl Borehole)</t>
  </si>
  <si>
    <t>Second Output</t>
  </si>
  <si>
    <t>Scenario 3: Good Setup, 24-&gt;16hr Drilling. No Drilling, Weather, or Logistics Issues. My Best Hope for a Good Season</t>
  </si>
  <si>
    <t>Scenario 4: As Scenario 3, but with some front-loading of fuel and drill fluid.</t>
  </si>
  <si>
    <t>Scenario 5: IMPOSSIBLE SEASON: Unrealistic Perfect Setup &amp; Put In, 24hr Drilling. No Issues. Extreme Case only for considering worst-case JIT cargo requirements.</t>
  </si>
  <si>
    <t>Scenario 6: Can we avoid 24hr drilling? NO!</t>
  </si>
  <si>
    <t>- Input column for actual hours and achieved depths</t>
  </si>
  <si>
    <t>How to use this Scenario Planner:</t>
  </si>
  <si>
    <t>This is an input cell</t>
  </si>
  <si>
    <t>input</t>
  </si>
  <si>
    <t>do not change values in any cell but these</t>
  </si>
  <si>
    <t>Do not cut and paste cells as it will break the formulae that make this sheet work (you can copy though)</t>
  </si>
  <si>
    <t>1. Set the input and output dates (found above the charts)</t>
  </si>
  <si>
    <t>notes when we're finished in camp.</t>
  </si>
  <si>
    <t>counts the hours towards bailing progress.</t>
  </si>
  <si>
    <t>counts the hours towards drilling progress.</t>
  </si>
  <si>
    <t>counts as a rest day.</t>
  </si>
  <si>
    <t>3. Fill in the "Drilling Critical Path" and "Working Day (hrs)" columns with the activities that will be undertaken each day. There are special values you can put in "Drilling Critical Path" that will help - you must type them in without typos!</t>
  </si>
  <si>
    <t>2. Set drill, project, and logistics constraints in the "Drilling Spec" sheet.</t>
  </si>
  <si>
    <t>The upper graph will show drilling and bailing progress given your inputted activities, ensure you reach target depth/bedrock!</t>
  </si>
  <si>
    <t>Note: You need to consider yourself whether the inputted activities are realistic given the staffing available.</t>
  </si>
  <si>
    <t>The graph also will show crosses on the dates where logistic input is required to keep the planned schedule moving. For fuel and drilling fluid, crosses mark the last chance to get more in before drilling ops shut down. For ice core boxes crosses mark the earliest a full load of boxes would be ready for removal.</t>
  </si>
  <si>
    <t>4. Schedule deliveries of fuel and drill fluid, and pickup of ice core boxes. Use the "Drilling/Bailing Fuel Planned Arrival (Drums)", " Drill Fluid Planned Arrival (Drums)", and "Ice Core Boxes Planned Removal" columns for this. These will be marked on the graph as circles, and the cross showing needs that remain unscheduled will update automatically.</t>
  </si>
  <si>
    <t>The totals of these 'consumables' in camp are shown in the lower graph. (Note drilling fluid in the borehole is excluded).</t>
  </si>
  <si>
    <t>Note: Drilling/Bailing fuel only counts what is needed for drilling ops, fuel for other camp activities should be considered separately.</t>
  </si>
  <si>
    <t>Note: Check the "Filled Ice Core Boxes in Field" column to avoid scheduling removing more core boxes than you have ready!</t>
  </si>
  <si>
    <t>5. Assess feasibility of the planned season (logistic demands realistic, enough PAX in field, enough time for issues and bad weather, rest periods in long seasons, room for other non-drilling activities, etc)</t>
  </si>
  <si>
    <t>6. Assess getting everything out again after! There'll be a lot of recovered drill fluid in drums…</t>
  </si>
  <si>
    <t>Genny Setup</t>
  </si>
  <si>
    <t>Waiting/Other Science</t>
  </si>
  <si>
    <t>Scenario 7: Genny failure. Can we save the season if a spare is available in Rothera 01/12/2025? (best case genny in camp 03/12/2025). Yes, by working 24 hour shifts…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</si>
</sst>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d/mm"/>
  </numFmts>
  <fonts count="13" x14ac:knownFonts="1">
    <font>
      <sz val="11"/>
      <color theme="1"/>
      <name val="Aptos Narrow"/>
      <family val="2"/>
      <scheme val="minor"/>
    </font>
    <font>
      <sz val="11"/>
      <color rgb="FF3F3F76"/>
      <name val="Aptos Narrow"/>
      <family val="2"/>
      <scheme val="minor"/>
    </font>
    <font>
      <b/>
      <sz val="11"/>
      <color rgb="FFFA7D00"/>
      <name val="Aptos Narrow"/>
      <family val="2"/>
      <scheme val="minor"/>
    </font>
    <font>
      <b/>
      <sz val="11"/>
      <color theme="1"/>
      <name val="Aptos Narrow"/>
      <family val="2"/>
      <scheme val="minor"/>
    </font>
    <font>
      <sz val="8"/>
      <color theme="1"/>
      <name val="Aptos Narrow"/>
      <family val="2"/>
      <scheme val="minor"/>
    </font>
    <font>
      <sz val="8"/>
      <color rgb="FF3F3F76"/>
      <name val="Aptos Narrow"/>
      <family val="2"/>
      <scheme val="minor"/>
    </font>
    <font>
      <i/>
      <sz val="11"/>
      <color theme="1"/>
      <name val="Aptos Narrow"/>
      <family val="2"/>
      <scheme val="minor"/>
    </font>
    <font>
      <b/>
      <i/>
      <sz val="11"/>
      <color theme="1"/>
      <name val="Aptos Narrow"/>
      <family val="2"/>
      <scheme val="minor"/>
    </font>
    <font>
      <sz val="36"/>
      <color theme="1"/>
      <name val="Aptos Narrow"/>
      <family val="2"/>
      <scheme val="minor"/>
    </font>
    <font>
      <b/>
      <sz val="18"/>
      <color theme="1"/>
      <name val="Aptos Narrow"/>
      <family val="2"/>
      <scheme val="minor"/>
    </font>
    <font>
      <b/>
      <sz val="11"/>
      <color rgb="FF3F3F3F"/>
      <name val="Aptos Narrow"/>
      <family val="2"/>
      <scheme val="minor"/>
    </font>
    <font>
      <b/>
      <sz val="8"/>
      <color rgb="FFFA7D00"/>
      <name val="Aptos Narrow"/>
      <family val="2"/>
      <scheme val="minor"/>
    </font>
    <font>
      <b/>
      <sz val="24"/>
      <color theme="1"/>
      <name val="Aptos Narrow"/>
      <family val="2"/>
      <scheme val="minor"/>
    </font>
  </fonts>
  <fills count="4">
    <fill>
      <patternFill patternType="none"/>
    </fill>
    <fill>
      <patternFill patternType="gray125"/>
    </fill>
    <fill>
      <patternFill patternType="solid">
        <fgColor rgb="FFFFCC99"/>
      </patternFill>
    </fill>
    <fill>
      <patternFill patternType="solid">
        <fgColor rgb="FFF2F2F2"/>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top/>
      <bottom/>
      <diagonal/>
    </border>
  </borders>
  <cellStyleXfs count="4">
    <xf numFmtId="0" fontId="0" fillId="0" borderId="0"/>
    <xf numFmtId="0" fontId="1" fillId="2" borderId="1" applyNumberFormat="0" applyAlignment="0" applyProtection="0"/>
    <xf numFmtId="0" fontId="2" fillId="3" borderId="1" applyNumberFormat="0" applyAlignment="0" applyProtection="0"/>
    <xf numFmtId="0" fontId="10" fillId="3" borderId="2" applyNumberFormat="0" applyAlignment="0" applyProtection="0"/>
  </cellStyleXfs>
  <cellXfs count="48">
    <xf numFmtId="0" fontId="0" fillId="0" borderId="0" xfId="0"/>
    <xf numFmtId="0" fontId="1" fillId="2" borderId="1" xfId="1"/>
    <xf numFmtId="14" fontId="4" fillId="0" borderId="0" xfId="0" applyNumberFormat="1" applyFont="1"/>
    <xf numFmtId="14" fontId="5" fillId="2" borderId="1" xfId="1" applyNumberFormat="1" applyFont="1"/>
    <xf numFmtId="0" fontId="0" fillId="0" borderId="0" xfId="0" applyAlignment="1">
      <alignment horizontal="center"/>
    </xf>
    <xf numFmtId="0" fontId="3" fillId="0" borderId="0" xfId="0" applyFont="1"/>
    <xf numFmtId="0" fontId="3" fillId="0" borderId="0" xfId="0" applyFont="1" applyAlignment="1">
      <alignment horizontal="center" vertical="top" wrapText="1"/>
    </xf>
    <xf numFmtId="9" fontId="0" fillId="0" borderId="0" xfId="0" applyNumberFormat="1"/>
    <xf numFmtId="9" fontId="1" fillId="2" borderId="1" xfId="1" applyNumberFormat="1"/>
    <xf numFmtId="0" fontId="6" fillId="0" borderId="0" xfId="0" applyFont="1"/>
    <xf numFmtId="0" fontId="1" fillId="2" borderId="1" xfId="1" applyAlignment="1">
      <alignment horizontal="center"/>
    </xf>
    <xf numFmtId="0" fontId="0" fillId="0" borderId="0" xfId="0" quotePrefix="1"/>
    <xf numFmtId="0" fontId="2" fillId="3" borderId="1" xfId="2"/>
    <xf numFmtId="0" fontId="0" fillId="0" borderId="0" xfId="0" applyFont="1" applyAlignment="1">
      <alignment horizontal="center" vertical="top" wrapText="1"/>
    </xf>
    <xf numFmtId="0" fontId="7" fillId="0" borderId="0" xfId="0" applyFont="1"/>
    <xf numFmtId="2" fontId="0" fillId="0" borderId="0" xfId="0" applyNumberFormat="1"/>
    <xf numFmtId="2" fontId="0" fillId="0" borderId="0" xfId="0" applyNumberFormat="1" applyAlignment="1">
      <alignment horizontal="center"/>
    </xf>
    <xf numFmtId="164" fontId="0" fillId="0" borderId="0" xfId="0" applyNumberFormat="1"/>
    <xf numFmtId="164" fontId="0" fillId="0" borderId="0" xfId="0" applyNumberFormat="1" applyAlignment="1">
      <alignment horizontal="center"/>
    </xf>
    <xf numFmtId="0" fontId="8" fillId="0" borderId="0" xfId="0" applyFont="1"/>
    <xf numFmtId="0" fontId="8" fillId="0" borderId="0" xfId="0" quotePrefix="1" applyFont="1"/>
    <xf numFmtId="1" fontId="0" fillId="0" borderId="0" xfId="0" applyNumberFormat="1" applyAlignment="1">
      <alignment horizontal="center"/>
    </xf>
    <xf numFmtId="0" fontId="9" fillId="0" borderId="0" xfId="0" applyFont="1" applyAlignment="1">
      <alignment vertical="top" wrapText="1"/>
    </xf>
    <xf numFmtId="2" fontId="10" fillId="3" borderId="2" xfId="3" applyNumberFormat="1" applyAlignment="1">
      <alignment horizontal="center"/>
    </xf>
    <xf numFmtId="2" fontId="2" fillId="3" borderId="1" xfId="2" applyNumberFormat="1"/>
    <xf numFmtId="0" fontId="0" fillId="0" borderId="0" xfId="0" applyFont="1"/>
    <xf numFmtId="164" fontId="10" fillId="3" borderId="2" xfId="3" applyNumberFormat="1" applyAlignment="1">
      <alignment horizontal="center"/>
    </xf>
    <xf numFmtId="165" fontId="11" fillId="3" borderId="1" xfId="2" applyNumberFormat="1" applyFont="1"/>
    <xf numFmtId="165" fontId="4" fillId="0" borderId="0" xfId="0" applyNumberFormat="1" applyFont="1"/>
    <xf numFmtId="1" fontId="0" fillId="0" borderId="0" xfId="0" applyNumberFormat="1"/>
    <xf numFmtId="0" fontId="10" fillId="3" borderId="2" xfId="3" applyAlignment="1">
      <alignment horizontal="center"/>
    </xf>
    <xf numFmtId="0" fontId="3" fillId="0" borderId="0" xfId="0" applyFont="1" applyAlignment="1">
      <alignment horizontal="right"/>
    </xf>
    <xf numFmtId="14" fontId="1" fillId="2" borderId="1" xfId="1" applyNumberFormat="1" applyAlignment="1">
      <alignment horizontal="center"/>
    </xf>
    <xf numFmtId="0" fontId="3" fillId="0" borderId="0" xfId="0" applyFont="1" applyAlignment="1">
      <alignment horizontal="center"/>
    </xf>
    <xf numFmtId="164" fontId="2" fillId="3" borderId="1" xfId="2" applyNumberFormat="1" applyAlignment="1">
      <alignment horizontal="center"/>
    </xf>
    <xf numFmtId="0" fontId="0" fillId="0" borderId="0" xfId="0" applyAlignment="1">
      <alignment vertical="top"/>
    </xf>
    <xf numFmtId="0" fontId="1" fillId="2" borderId="1" xfId="1" applyAlignment="1">
      <alignment horizontal="center" vertical="top"/>
    </xf>
    <xf numFmtId="0" fontId="9" fillId="0" borderId="0" xfId="0" applyFont="1" applyAlignment="1">
      <alignment horizontal="center" vertical="top" wrapText="1"/>
    </xf>
    <xf numFmtId="0" fontId="3"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left" wrapText="1"/>
    </xf>
    <xf numFmtId="0" fontId="1" fillId="2" borderId="1" xfId="1" applyAlignment="1">
      <alignment horizontal="center" vertical="top"/>
    </xf>
    <xf numFmtId="0" fontId="0" fillId="0" borderId="3" xfId="0" applyBorder="1" applyAlignment="1">
      <alignment vertical="top"/>
    </xf>
    <xf numFmtId="0" fontId="0" fillId="0" borderId="0" xfId="0" applyBorder="1" applyAlignment="1">
      <alignment vertical="top"/>
    </xf>
    <xf numFmtId="0" fontId="1" fillId="2" borderId="1" xfId="1" applyAlignment="1">
      <alignment horizontal="center"/>
    </xf>
    <xf numFmtId="0" fontId="0" fillId="0" borderId="0" xfId="0" applyAlignment="1">
      <alignment horizontal="left" vertical="top"/>
    </xf>
    <xf numFmtId="0" fontId="12" fillId="0" borderId="0" xfId="0" applyFont="1" applyAlignment="1">
      <alignment horizontal="left"/>
    </xf>
    <xf numFmtId="0" fontId="0" fillId="0" borderId="3" xfId="0" applyBorder="1" applyAlignment="1">
      <alignment horizontal="left" vertical="top"/>
    </xf>
  </cellXfs>
  <cellStyles count="4">
    <cellStyle name="Calculation" xfId="2" builtinId="22"/>
    <cellStyle name="Input" xfId="1" builtinId="20"/>
    <cellStyle name="Normal" xfId="0" builtinId="0"/>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'Baseline 1 - Perfect, 24hr'!$AD$1</c:f>
              <c:strCache>
                <c:ptCount val="1"/>
                <c:pt idx="0">
                  <c:v>End of Day Drill Depth</c:v>
                </c:pt>
              </c:strCache>
            </c:strRef>
          </c:tx>
          <c:spPr>
            <a:ln w="19050" cap="rnd">
              <a:solidFill>
                <a:srgbClr val="00B050"/>
              </a:solidFill>
              <a:round/>
            </a:ln>
            <a:effectLst/>
          </c:spPr>
          <c:marker>
            <c:symbol val="none"/>
          </c:marker>
          <c:xVal>
            <c:numRef>
              <c:f>'Baseline 1 - Perfect, 24hr'!$B$3:$B$112</c:f>
              <c:numCache>
                <c:formatCode>m/d/yyyy</c:formatCode>
                <c:ptCount val="110"/>
                <c:pt idx="0">
                  <c:v>45971</c:v>
                </c:pt>
                <c:pt idx="1">
                  <c:v>45972</c:v>
                </c:pt>
                <c:pt idx="2">
                  <c:v>45973</c:v>
                </c:pt>
                <c:pt idx="3">
                  <c:v>45974</c:v>
                </c:pt>
                <c:pt idx="4">
                  <c:v>45975</c:v>
                </c:pt>
                <c:pt idx="5">
                  <c:v>45976</c:v>
                </c:pt>
                <c:pt idx="6">
                  <c:v>45977</c:v>
                </c:pt>
                <c:pt idx="7">
                  <c:v>45978</c:v>
                </c:pt>
                <c:pt idx="8">
                  <c:v>45979</c:v>
                </c:pt>
                <c:pt idx="9">
                  <c:v>45980</c:v>
                </c:pt>
                <c:pt idx="10">
                  <c:v>45981</c:v>
                </c:pt>
                <c:pt idx="11">
                  <c:v>45982</c:v>
                </c:pt>
                <c:pt idx="12">
                  <c:v>45983</c:v>
                </c:pt>
                <c:pt idx="13">
                  <c:v>45984</c:v>
                </c:pt>
                <c:pt idx="14">
                  <c:v>45985</c:v>
                </c:pt>
                <c:pt idx="15">
                  <c:v>45986</c:v>
                </c:pt>
                <c:pt idx="16">
                  <c:v>45987</c:v>
                </c:pt>
                <c:pt idx="17">
                  <c:v>45988</c:v>
                </c:pt>
                <c:pt idx="18">
                  <c:v>45989</c:v>
                </c:pt>
                <c:pt idx="19">
                  <c:v>45990</c:v>
                </c:pt>
                <c:pt idx="20">
                  <c:v>45991</c:v>
                </c:pt>
                <c:pt idx="21">
                  <c:v>45992</c:v>
                </c:pt>
                <c:pt idx="22">
                  <c:v>45993</c:v>
                </c:pt>
                <c:pt idx="23">
                  <c:v>45994</c:v>
                </c:pt>
                <c:pt idx="24">
                  <c:v>45995</c:v>
                </c:pt>
                <c:pt idx="25">
                  <c:v>45996</c:v>
                </c:pt>
                <c:pt idx="26">
                  <c:v>45997</c:v>
                </c:pt>
                <c:pt idx="27">
                  <c:v>45998</c:v>
                </c:pt>
                <c:pt idx="28">
                  <c:v>45999</c:v>
                </c:pt>
                <c:pt idx="29">
                  <c:v>46000</c:v>
                </c:pt>
                <c:pt idx="30">
                  <c:v>46001</c:v>
                </c:pt>
                <c:pt idx="31">
                  <c:v>46002</c:v>
                </c:pt>
                <c:pt idx="32">
                  <c:v>46003</c:v>
                </c:pt>
                <c:pt idx="33">
                  <c:v>46004</c:v>
                </c:pt>
                <c:pt idx="34">
                  <c:v>46005</c:v>
                </c:pt>
                <c:pt idx="35">
                  <c:v>46006</c:v>
                </c:pt>
                <c:pt idx="36">
                  <c:v>46007</c:v>
                </c:pt>
                <c:pt idx="37">
                  <c:v>46008</c:v>
                </c:pt>
                <c:pt idx="38">
                  <c:v>46009</c:v>
                </c:pt>
                <c:pt idx="39">
                  <c:v>46010</c:v>
                </c:pt>
                <c:pt idx="40">
                  <c:v>46011</c:v>
                </c:pt>
                <c:pt idx="41">
                  <c:v>46012</c:v>
                </c:pt>
                <c:pt idx="42">
                  <c:v>46013</c:v>
                </c:pt>
                <c:pt idx="43">
                  <c:v>46014</c:v>
                </c:pt>
                <c:pt idx="44">
                  <c:v>46015</c:v>
                </c:pt>
                <c:pt idx="45">
                  <c:v>46016</c:v>
                </c:pt>
                <c:pt idx="46">
                  <c:v>46017</c:v>
                </c:pt>
                <c:pt idx="47">
                  <c:v>46018</c:v>
                </c:pt>
                <c:pt idx="48">
                  <c:v>46019</c:v>
                </c:pt>
                <c:pt idx="49">
                  <c:v>46020</c:v>
                </c:pt>
                <c:pt idx="50">
                  <c:v>46021</c:v>
                </c:pt>
                <c:pt idx="51">
                  <c:v>46022</c:v>
                </c:pt>
                <c:pt idx="52">
                  <c:v>46023</c:v>
                </c:pt>
                <c:pt idx="53">
                  <c:v>46024</c:v>
                </c:pt>
                <c:pt idx="54">
                  <c:v>46025</c:v>
                </c:pt>
                <c:pt idx="55">
                  <c:v>46026</c:v>
                </c:pt>
                <c:pt idx="56">
                  <c:v>46027</c:v>
                </c:pt>
                <c:pt idx="57">
                  <c:v>46028</c:v>
                </c:pt>
                <c:pt idx="58">
                  <c:v>46029</c:v>
                </c:pt>
                <c:pt idx="59">
                  <c:v>46030</c:v>
                </c:pt>
                <c:pt idx="60">
                  <c:v>46031</c:v>
                </c:pt>
                <c:pt idx="61">
                  <c:v>46032</c:v>
                </c:pt>
                <c:pt idx="62">
                  <c:v>46033</c:v>
                </c:pt>
                <c:pt idx="63">
                  <c:v>46034</c:v>
                </c:pt>
                <c:pt idx="64">
                  <c:v>46035</c:v>
                </c:pt>
                <c:pt idx="65">
                  <c:v>46036</c:v>
                </c:pt>
                <c:pt idx="66">
                  <c:v>46037</c:v>
                </c:pt>
                <c:pt idx="67">
                  <c:v>46038</c:v>
                </c:pt>
                <c:pt idx="68">
                  <c:v>46039</c:v>
                </c:pt>
                <c:pt idx="69">
                  <c:v>46040</c:v>
                </c:pt>
                <c:pt idx="70">
                  <c:v>46041</c:v>
                </c:pt>
                <c:pt idx="71">
                  <c:v>46042</c:v>
                </c:pt>
                <c:pt idx="72">
                  <c:v>46043</c:v>
                </c:pt>
                <c:pt idx="73">
                  <c:v>46044</c:v>
                </c:pt>
                <c:pt idx="74">
                  <c:v>46045</c:v>
                </c:pt>
                <c:pt idx="75">
                  <c:v>46046</c:v>
                </c:pt>
                <c:pt idx="76">
                  <c:v>46047</c:v>
                </c:pt>
                <c:pt idx="77">
                  <c:v>46048</c:v>
                </c:pt>
                <c:pt idx="78">
                  <c:v>46049</c:v>
                </c:pt>
                <c:pt idx="79">
                  <c:v>46050</c:v>
                </c:pt>
                <c:pt idx="80">
                  <c:v>46051</c:v>
                </c:pt>
                <c:pt idx="81">
                  <c:v>46052</c:v>
                </c:pt>
                <c:pt idx="82">
                  <c:v>46053</c:v>
                </c:pt>
                <c:pt idx="83">
                  <c:v>46054</c:v>
                </c:pt>
                <c:pt idx="84">
                  <c:v>46055</c:v>
                </c:pt>
                <c:pt idx="85">
                  <c:v>46056</c:v>
                </c:pt>
                <c:pt idx="86">
                  <c:v>46057</c:v>
                </c:pt>
                <c:pt idx="87">
                  <c:v>46058</c:v>
                </c:pt>
                <c:pt idx="88">
                  <c:v>46059</c:v>
                </c:pt>
                <c:pt idx="89">
                  <c:v>46060</c:v>
                </c:pt>
                <c:pt idx="90">
                  <c:v>46061</c:v>
                </c:pt>
                <c:pt idx="91">
                  <c:v>46062</c:v>
                </c:pt>
                <c:pt idx="92">
                  <c:v>46063</c:v>
                </c:pt>
                <c:pt idx="93">
                  <c:v>46064</c:v>
                </c:pt>
                <c:pt idx="94">
                  <c:v>46065</c:v>
                </c:pt>
                <c:pt idx="95">
                  <c:v>46066</c:v>
                </c:pt>
                <c:pt idx="96">
                  <c:v>46067</c:v>
                </c:pt>
                <c:pt idx="97">
                  <c:v>46068</c:v>
                </c:pt>
                <c:pt idx="98">
                  <c:v>46069</c:v>
                </c:pt>
                <c:pt idx="99">
                  <c:v>46070</c:v>
                </c:pt>
                <c:pt idx="100">
                  <c:v>46071</c:v>
                </c:pt>
                <c:pt idx="101">
                  <c:v>46072</c:v>
                </c:pt>
                <c:pt idx="102">
                  <c:v>46073</c:v>
                </c:pt>
                <c:pt idx="103">
                  <c:v>46074</c:v>
                </c:pt>
                <c:pt idx="104">
                  <c:v>46075</c:v>
                </c:pt>
                <c:pt idx="105">
                  <c:v>46076</c:v>
                </c:pt>
                <c:pt idx="106">
                  <c:v>46077</c:v>
                </c:pt>
                <c:pt idx="107">
                  <c:v>46078</c:v>
                </c:pt>
                <c:pt idx="108">
                  <c:v>46079</c:v>
                </c:pt>
                <c:pt idx="109">
                  <c:v>46080</c:v>
                </c:pt>
              </c:numCache>
            </c:numRef>
          </c:xVal>
          <c:yVal>
            <c:numRef>
              <c:f>'Baseline 1 - Perfect, 24hr'!$AD$3:$AD$112</c:f>
              <c:numCache>
                <c:formatCode>0.00</c:formatCode>
                <c:ptCount val="110"/>
                <c:pt idx="0">
                  <c:v>#N/A</c:v>
                </c:pt>
                <c:pt idx="1">
                  <c:v>#N/A</c:v>
                </c:pt>
                <c:pt idx="2">
                  <c:v>#N/A</c:v>
                </c:pt>
                <c:pt idx="3">
                  <c:v>#N/A</c:v>
                </c:pt>
                <c:pt idx="4">
                  <c:v>#N/A</c:v>
                </c:pt>
                <c:pt idx="5">
                  <c:v>#N/A</c:v>
                </c:pt>
                <c:pt idx="6">
                  <c:v>-70</c:v>
                </c:pt>
                <c:pt idx="7">
                  <c:v>-79.833321918590045</c:v>
                </c:pt>
                <c:pt idx="8">
                  <c:v>-89.510213628273647</c:v>
                </c:pt>
                <c:pt idx="9">
                  <c:v>-99.037911344051594</c:v>
                </c:pt>
                <c:pt idx="10">
                  <c:v>-126.79040696937267</c:v>
                </c:pt>
                <c:pt idx="11">
                  <c:v>-153.41443656587367</c:v>
                </c:pt>
                <c:pt idx="12">
                  <c:v>-179.03739374715821</c:v>
                </c:pt>
                <c:pt idx="13">
                  <c:v>-203.76436685764563</c:v>
                </c:pt>
                <c:pt idx="14">
                  <c:v>-203.76436685764563</c:v>
                </c:pt>
                <c:pt idx="15">
                  <c:v>-227.6832514206119</c:v>
                </c:pt>
                <c:pt idx="16">
                  <c:v>-250.8684479303349</c:v>
                </c:pt>
                <c:pt idx="17">
                  <c:v>-273.38359589594342</c:v>
                </c:pt>
                <c:pt idx="18">
                  <c:v>-295.28363443552161</c:v>
                </c:pt>
                <c:pt idx="19">
                  <c:v>-316.6163817101509</c:v>
                </c:pt>
                <c:pt idx="20">
                  <c:v>-337.42376378429032</c:v>
                </c:pt>
                <c:pt idx="21">
                  <c:v>-337.42376378429032</c:v>
                </c:pt>
                <c:pt idx="22">
                  <c:v>-357.74278357270839</c:v>
                </c:pt>
                <c:pt idx="23">
                  <c:v>-377.60629406387062</c:v>
                </c:pt>
                <c:pt idx="24">
                  <c:v>-397.04362207560342</c:v>
                </c:pt>
                <c:pt idx="25">
                  <c:v>-416.08107640916654</c:v>
                </c:pt>
                <c:pt idx="26">
                  <c:v>-434.74236555649424</c:v>
                </c:pt>
                <c:pt idx="27">
                  <c:v>-453.04894389158022</c:v>
                </c:pt>
                <c:pt idx="28">
                  <c:v>-453.04894389158034</c:v>
                </c:pt>
                <c:pt idx="29">
                  <c:v>-471.02030076512403</c:v>
                </c:pt>
                <c:pt idx="30">
                  <c:v>-488.67420360675385</c:v>
                </c:pt>
                <c:pt idx="31">
                  <c:v>-506.02690367370104</c:v>
                </c:pt>
                <c:pt idx="32">
                  <c:v>-523.09331123018535</c:v>
                </c:pt>
                <c:pt idx="33">
                  <c:v>-539.88714553193392</c:v>
                </c:pt>
                <c:pt idx="34">
                  <c:v>-556.42106390803497</c:v>
                </c:pt>
                <c:pt idx="35">
                  <c:v>-556.42106390803497</c:v>
                </c:pt>
                <c:pt idx="36">
                  <c:v>-572.70677339402755</c:v>
                </c:pt>
                <c:pt idx="37">
                  <c:v>-588.75512771525246</c:v>
                </c:pt>
                <c:pt idx="38">
                  <c:v>-604.57621190383429</c:v>
                </c:pt>
                <c:pt idx="39">
                  <c:v>-620.17941642361609</c:v>
                </c:pt>
                <c:pt idx="40">
                  <c:v>-635.57350235060562</c:v>
                </c:pt>
                <c:pt idx="41">
                  <c:v>-650.76665889374954</c:v>
                </c:pt>
                <c:pt idx="42">
                  <c:v>-650.76665889374954</c:v>
                </c:pt>
                <c:pt idx="43">
                  <c:v>-665.76655432827931</c:v>
                </c:pt>
                <c:pt idx="44">
                  <c:v>-680.58038124086897</c:v>
                </c:pt>
                <c:pt idx="45">
                  <c:v>-695.2148968442765</c:v>
                </c:pt>
                <c:pt idx="46">
                  <c:v>-695.2148968442765</c:v>
                </c:pt>
                <c:pt idx="47">
                  <c:v>-709.67645900268121</c:v>
                </c:pt>
                <c:pt idx="48">
                  <c:v>-723.9710585126478</c:v>
                </c:pt>
                <c:pt idx="49">
                  <c:v>-723.9710585126478</c:v>
                </c:pt>
                <c:pt idx="50">
                  <c:v>-723.9710585126478</c:v>
                </c:pt>
                <c:pt idx="51">
                  <c:v>-723.9710585126478</c:v>
                </c:pt>
                <c:pt idx="52">
                  <c:v>-723.9710585126478</c:v>
                </c:pt>
                <c:pt idx="53">
                  <c:v>-723.9710585126478</c:v>
                </c:pt>
                <c:pt idx="54">
                  <c:v>-723.9710585126478</c:v>
                </c:pt>
                <c:pt idx="55">
                  <c:v>-723.9710585126478</c:v>
                </c:pt>
                <c:pt idx="56">
                  <c:v>-723.9710585126478</c:v>
                </c:pt>
                <c:pt idx="57">
                  <c:v>-723.9710585126478</c:v>
                </c:pt>
                <c:pt idx="58">
                  <c:v>-723.9710585126478</c:v>
                </c:pt>
                <c:pt idx="59">
                  <c:v>-723.9710585126478</c:v>
                </c:pt>
                <c:pt idx="60">
                  <c:v>-723.9710585126478</c:v>
                </c:pt>
                <c:pt idx="61">
                  <c:v>-723.9710585126478</c:v>
                </c:pt>
                <c:pt idx="62">
                  <c:v>-723.9710585126478</c:v>
                </c:pt>
                <c:pt idx="63">
                  <c:v>-723.9710585126478</c:v>
                </c:pt>
                <c:pt idx="64">
                  <c:v>-723.9710585126478</c:v>
                </c:pt>
                <c:pt idx="65">
                  <c:v>-723.9710585126478</c:v>
                </c:pt>
                <c:pt idx="66">
                  <c:v>-723.9710585126478</c:v>
                </c:pt>
                <c:pt idx="67">
                  <c:v>-723.9710585126478</c:v>
                </c:pt>
                <c:pt idx="68">
                  <c:v>-723.9710585126478</c:v>
                </c:pt>
                <c:pt idx="69">
                  <c:v>-723.9710585126478</c:v>
                </c:pt>
                <c:pt idx="70">
                  <c:v>-723.9710585126478</c:v>
                </c:pt>
                <c:pt idx="71">
                  <c:v>-723.9710585126478</c:v>
                </c:pt>
                <c:pt idx="72">
                  <c:v>-723.9710585126478</c:v>
                </c:pt>
                <c:pt idx="73">
                  <c:v>-723.9710585126478</c:v>
                </c:pt>
                <c:pt idx="74">
                  <c:v>-723.9710585126478</c:v>
                </c:pt>
                <c:pt idx="75">
                  <c:v>-723.9710585126478</c:v>
                </c:pt>
                <c:pt idx="76">
                  <c:v>-723.9710585126478</c:v>
                </c:pt>
                <c:pt idx="77">
                  <c:v>-723.9710585126478</c:v>
                </c:pt>
                <c:pt idx="78">
                  <c:v>-723.9710585126478</c:v>
                </c:pt>
                <c:pt idx="79">
                  <c:v>-723.9710585126478</c:v>
                </c:pt>
                <c:pt idx="80">
                  <c:v>-723.9710585126478</c:v>
                </c:pt>
                <c:pt idx="81">
                  <c:v>-723.9710585126478</c:v>
                </c:pt>
                <c:pt idx="82">
                  <c:v>-723.9710585126478</c:v>
                </c:pt>
                <c:pt idx="83">
                  <c:v>-723.9710585126478</c:v>
                </c:pt>
                <c:pt idx="84">
                  <c:v>-723.9710585126478</c:v>
                </c:pt>
                <c:pt idx="85">
                  <c:v>-723.9710585126478</c:v>
                </c:pt>
                <c:pt idx="86">
                  <c:v>-723.9710585126478</c:v>
                </c:pt>
                <c:pt idx="87">
                  <c:v>-723.9710585126478</c:v>
                </c:pt>
                <c:pt idx="88">
                  <c:v>-723.9710585126478</c:v>
                </c:pt>
                <c:pt idx="89">
                  <c:v>-723.9710585126478</c:v>
                </c:pt>
                <c:pt idx="90">
                  <c:v>-723.9710585126478</c:v>
                </c:pt>
                <c:pt idx="91">
                  <c:v>-723.9710585126478</c:v>
                </c:pt>
                <c:pt idx="92">
                  <c:v>-723.9710585126478</c:v>
                </c:pt>
                <c:pt idx="93">
                  <c:v>-723.9710585126478</c:v>
                </c:pt>
                <c:pt idx="94">
                  <c:v>-723.9710585126478</c:v>
                </c:pt>
                <c:pt idx="95">
                  <c:v>-723.9710585126478</c:v>
                </c:pt>
                <c:pt idx="96">
                  <c:v>-723.9710585126478</c:v>
                </c:pt>
                <c:pt idx="97">
                  <c:v>-723.9710585126478</c:v>
                </c:pt>
                <c:pt idx="98">
                  <c:v>-723.9710585126478</c:v>
                </c:pt>
                <c:pt idx="99">
                  <c:v>-723.9710585126478</c:v>
                </c:pt>
                <c:pt idx="100">
                  <c:v>-723.9710585126478</c:v>
                </c:pt>
                <c:pt idx="101">
                  <c:v>-723.9710585126478</c:v>
                </c:pt>
                <c:pt idx="102">
                  <c:v>-723.9710585126478</c:v>
                </c:pt>
                <c:pt idx="103">
                  <c:v>-723.9710585126478</c:v>
                </c:pt>
                <c:pt idx="104">
                  <c:v>-723.9710585126478</c:v>
                </c:pt>
                <c:pt idx="105">
                  <c:v>-723.9710585126478</c:v>
                </c:pt>
                <c:pt idx="106">
                  <c:v>-723.9710585126478</c:v>
                </c:pt>
                <c:pt idx="107">
                  <c:v>-723.9710585126478</c:v>
                </c:pt>
                <c:pt idx="108">
                  <c:v>-723.9710585126478</c:v>
                </c:pt>
                <c:pt idx="109">
                  <c:v>-723.9710585126478</c:v>
                </c:pt>
              </c:numCache>
            </c:numRef>
          </c:yVal>
          <c:smooth val="0"/>
          <c:extLst>
            <c:ext xmlns:c16="http://schemas.microsoft.com/office/drawing/2014/chart" uri="{C3380CC4-5D6E-409C-BE32-E72D297353CC}">
              <c16:uniqueId val="{00000000-96A1-441F-A2A1-36125F8FCE94}"/>
            </c:ext>
          </c:extLst>
        </c:ser>
        <c:ser>
          <c:idx val="6"/>
          <c:order val="1"/>
          <c:tx>
            <c:strRef>
              <c:f>'Baseline 1 - Perfect, 24hr'!$AE$1</c:f>
              <c:strCache>
                <c:ptCount val="1"/>
                <c:pt idx="0">
                  <c:v>End of Day Bailing Depth</c:v>
                </c:pt>
              </c:strCache>
            </c:strRef>
          </c:tx>
          <c:spPr>
            <a:ln w="19050" cap="rnd">
              <a:solidFill>
                <a:schemeClr val="tx2">
                  <a:lumMod val="50000"/>
                  <a:lumOff val="50000"/>
                </a:schemeClr>
              </a:solidFill>
              <a:round/>
            </a:ln>
            <a:effectLst/>
          </c:spPr>
          <c:marker>
            <c:symbol val="none"/>
          </c:marker>
          <c:xVal>
            <c:numRef>
              <c:f>'Baseline 1 - Perfect, 24hr'!$B$3:$B$112</c:f>
              <c:numCache>
                <c:formatCode>m/d/yyyy</c:formatCode>
                <c:ptCount val="110"/>
                <c:pt idx="0">
                  <c:v>45971</c:v>
                </c:pt>
                <c:pt idx="1">
                  <c:v>45972</c:v>
                </c:pt>
                <c:pt idx="2">
                  <c:v>45973</c:v>
                </c:pt>
                <c:pt idx="3">
                  <c:v>45974</c:v>
                </c:pt>
                <c:pt idx="4">
                  <c:v>45975</c:v>
                </c:pt>
                <c:pt idx="5">
                  <c:v>45976</c:v>
                </c:pt>
                <c:pt idx="6">
                  <c:v>45977</c:v>
                </c:pt>
                <c:pt idx="7">
                  <c:v>45978</c:v>
                </c:pt>
                <c:pt idx="8">
                  <c:v>45979</c:v>
                </c:pt>
                <c:pt idx="9">
                  <c:v>45980</c:v>
                </c:pt>
                <c:pt idx="10">
                  <c:v>45981</c:v>
                </c:pt>
                <c:pt idx="11">
                  <c:v>45982</c:v>
                </c:pt>
                <c:pt idx="12">
                  <c:v>45983</c:v>
                </c:pt>
                <c:pt idx="13">
                  <c:v>45984</c:v>
                </c:pt>
                <c:pt idx="14">
                  <c:v>45985</c:v>
                </c:pt>
                <c:pt idx="15">
                  <c:v>45986</c:v>
                </c:pt>
                <c:pt idx="16">
                  <c:v>45987</c:v>
                </c:pt>
                <c:pt idx="17">
                  <c:v>45988</c:v>
                </c:pt>
                <c:pt idx="18">
                  <c:v>45989</c:v>
                </c:pt>
                <c:pt idx="19">
                  <c:v>45990</c:v>
                </c:pt>
                <c:pt idx="20">
                  <c:v>45991</c:v>
                </c:pt>
                <c:pt idx="21">
                  <c:v>45992</c:v>
                </c:pt>
                <c:pt idx="22">
                  <c:v>45993</c:v>
                </c:pt>
                <c:pt idx="23">
                  <c:v>45994</c:v>
                </c:pt>
                <c:pt idx="24">
                  <c:v>45995</c:v>
                </c:pt>
                <c:pt idx="25">
                  <c:v>45996</c:v>
                </c:pt>
                <c:pt idx="26">
                  <c:v>45997</c:v>
                </c:pt>
                <c:pt idx="27">
                  <c:v>45998</c:v>
                </c:pt>
                <c:pt idx="28">
                  <c:v>45999</c:v>
                </c:pt>
                <c:pt idx="29">
                  <c:v>46000</c:v>
                </c:pt>
                <c:pt idx="30">
                  <c:v>46001</c:v>
                </c:pt>
                <c:pt idx="31">
                  <c:v>46002</c:v>
                </c:pt>
                <c:pt idx="32">
                  <c:v>46003</c:v>
                </c:pt>
                <c:pt idx="33">
                  <c:v>46004</c:v>
                </c:pt>
                <c:pt idx="34">
                  <c:v>46005</c:v>
                </c:pt>
                <c:pt idx="35">
                  <c:v>46006</c:v>
                </c:pt>
                <c:pt idx="36">
                  <c:v>46007</c:v>
                </c:pt>
                <c:pt idx="37">
                  <c:v>46008</c:v>
                </c:pt>
                <c:pt idx="38">
                  <c:v>46009</c:v>
                </c:pt>
                <c:pt idx="39">
                  <c:v>46010</c:v>
                </c:pt>
                <c:pt idx="40">
                  <c:v>46011</c:v>
                </c:pt>
                <c:pt idx="41">
                  <c:v>46012</c:v>
                </c:pt>
                <c:pt idx="42">
                  <c:v>46013</c:v>
                </c:pt>
                <c:pt idx="43">
                  <c:v>46014</c:v>
                </c:pt>
                <c:pt idx="44">
                  <c:v>46015</c:v>
                </c:pt>
                <c:pt idx="45">
                  <c:v>46016</c:v>
                </c:pt>
                <c:pt idx="46">
                  <c:v>46017</c:v>
                </c:pt>
                <c:pt idx="47">
                  <c:v>46018</c:v>
                </c:pt>
                <c:pt idx="48">
                  <c:v>46019</c:v>
                </c:pt>
                <c:pt idx="49">
                  <c:v>46020</c:v>
                </c:pt>
                <c:pt idx="50">
                  <c:v>46021</c:v>
                </c:pt>
                <c:pt idx="51">
                  <c:v>46022</c:v>
                </c:pt>
                <c:pt idx="52">
                  <c:v>46023</c:v>
                </c:pt>
                <c:pt idx="53">
                  <c:v>46024</c:v>
                </c:pt>
                <c:pt idx="54">
                  <c:v>46025</c:v>
                </c:pt>
                <c:pt idx="55">
                  <c:v>46026</c:v>
                </c:pt>
                <c:pt idx="56">
                  <c:v>46027</c:v>
                </c:pt>
                <c:pt idx="57">
                  <c:v>46028</c:v>
                </c:pt>
                <c:pt idx="58">
                  <c:v>46029</c:v>
                </c:pt>
                <c:pt idx="59">
                  <c:v>46030</c:v>
                </c:pt>
                <c:pt idx="60">
                  <c:v>46031</c:v>
                </c:pt>
                <c:pt idx="61">
                  <c:v>46032</c:v>
                </c:pt>
                <c:pt idx="62">
                  <c:v>46033</c:v>
                </c:pt>
                <c:pt idx="63">
                  <c:v>46034</c:v>
                </c:pt>
                <c:pt idx="64">
                  <c:v>46035</c:v>
                </c:pt>
                <c:pt idx="65">
                  <c:v>46036</c:v>
                </c:pt>
                <c:pt idx="66">
                  <c:v>46037</c:v>
                </c:pt>
                <c:pt idx="67">
                  <c:v>46038</c:v>
                </c:pt>
                <c:pt idx="68">
                  <c:v>46039</c:v>
                </c:pt>
                <c:pt idx="69">
                  <c:v>46040</c:v>
                </c:pt>
                <c:pt idx="70">
                  <c:v>46041</c:v>
                </c:pt>
                <c:pt idx="71">
                  <c:v>46042</c:v>
                </c:pt>
                <c:pt idx="72">
                  <c:v>46043</c:v>
                </c:pt>
                <c:pt idx="73">
                  <c:v>46044</c:v>
                </c:pt>
                <c:pt idx="74">
                  <c:v>46045</c:v>
                </c:pt>
                <c:pt idx="75">
                  <c:v>46046</c:v>
                </c:pt>
                <c:pt idx="76">
                  <c:v>46047</c:v>
                </c:pt>
                <c:pt idx="77">
                  <c:v>46048</c:v>
                </c:pt>
                <c:pt idx="78">
                  <c:v>46049</c:v>
                </c:pt>
                <c:pt idx="79">
                  <c:v>46050</c:v>
                </c:pt>
                <c:pt idx="80">
                  <c:v>46051</c:v>
                </c:pt>
                <c:pt idx="81">
                  <c:v>46052</c:v>
                </c:pt>
                <c:pt idx="82">
                  <c:v>46053</c:v>
                </c:pt>
                <c:pt idx="83">
                  <c:v>46054</c:v>
                </c:pt>
                <c:pt idx="84">
                  <c:v>46055</c:v>
                </c:pt>
                <c:pt idx="85">
                  <c:v>46056</c:v>
                </c:pt>
                <c:pt idx="86">
                  <c:v>46057</c:v>
                </c:pt>
                <c:pt idx="87">
                  <c:v>46058</c:v>
                </c:pt>
                <c:pt idx="88">
                  <c:v>46059</c:v>
                </c:pt>
                <c:pt idx="89">
                  <c:v>46060</c:v>
                </c:pt>
                <c:pt idx="90">
                  <c:v>46061</c:v>
                </c:pt>
                <c:pt idx="91">
                  <c:v>46062</c:v>
                </c:pt>
                <c:pt idx="92">
                  <c:v>46063</c:v>
                </c:pt>
                <c:pt idx="93">
                  <c:v>46064</c:v>
                </c:pt>
                <c:pt idx="94">
                  <c:v>46065</c:v>
                </c:pt>
                <c:pt idx="95">
                  <c:v>46066</c:v>
                </c:pt>
                <c:pt idx="96">
                  <c:v>46067</c:v>
                </c:pt>
                <c:pt idx="97">
                  <c:v>46068</c:v>
                </c:pt>
                <c:pt idx="98">
                  <c:v>46069</c:v>
                </c:pt>
                <c:pt idx="99">
                  <c:v>46070</c:v>
                </c:pt>
                <c:pt idx="100">
                  <c:v>46071</c:v>
                </c:pt>
                <c:pt idx="101">
                  <c:v>46072</c:v>
                </c:pt>
                <c:pt idx="102">
                  <c:v>46073</c:v>
                </c:pt>
                <c:pt idx="103">
                  <c:v>46074</c:v>
                </c:pt>
                <c:pt idx="104">
                  <c:v>46075</c:v>
                </c:pt>
                <c:pt idx="105">
                  <c:v>46076</c:v>
                </c:pt>
                <c:pt idx="106">
                  <c:v>46077</c:v>
                </c:pt>
                <c:pt idx="107">
                  <c:v>46078</c:v>
                </c:pt>
                <c:pt idx="108">
                  <c:v>46079</c:v>
                </c:pt>
                <c:pt idx="109">
                  <c:v>46080</c:v>
                </c:pt>
              </c:numCache>
            </c:numRef>
          </c:xVal>
          <c:yVal>
            <c:numRef>
              <c:f>'Baseline 1 - Perfect, 24hr'!$AE$3:$AE$112</c:f>
              <c:numCache>
                <c:formatCode>0.00</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-80</c:v>
                </c:pt>
                <c:pt idx="49">
                  <c:v>-259.40331160292249</c:v>
                </c:pt>
                <c:pt idx="50">
                  <c:v>-400.47129457899786</c:v>
                </c:pt>
                <c:pt idx="51">
                  <c:v>-510.1938307186208</c:v>
                </c:pt>
                <c:pt idx="52">
                  <c:v>-510.19383071862086</c:v>
                </c:pt>
                <c:pt idx="53">
                  <c:v>-603.20853687666522</c:v>
                </c:pt>
                <c:pt idx="54">
                  <c:v>-685.40606744913532</c:v>
                </c:pt>
                <c:pt idx="55">
                  <c:v>-759.86189926823249</c:v>
                </c:pt>
                <c:pt idx="56">
                  <c:v>-759.86189926823249</c:v>
                </c:pt>
                <c:pt idx="57">
                  <c:v>-759.86189926823249</c:v>
                </c:pt>
                <c:pt idx="58">
                  <c:v>-759.86189926823249</c:v>
                </c:pt>
                <c:pt idx="59">
                  <c:v>-759.86189926823249</c:v>
                </c:pt>
                <c:pt idx="60">
                  <c:v>-759.86189926823249</c:v>
                </c:pt>
                <c:pt idx="61">
                  <c:v>-759.86189926823249</c:v>
                </c:pt>
                <c:pt idx="62">
                  <c:v>-759.86189926823249</c:v>
                </c:pt>
                <c:pt idx="63">
                  <c:v>-759.86189926823249</c:v>
                </c:pt>
                <c:pt idx="64">
                  <c:v>-759.86189926823249</c:v>
                </c:pt>
                <c:pt idx="65">
                  <c:v>-759.86189926823249</c:v>
                </c:pt>
                <c:pt idx="66">
                  <c:v>-759.86189926823249</c:v>
                </c:pt>
                <c:pt idx="67">
                  <c:v>-759.86189926823249</c:v>
                </c:pt>
                <c:pt idx="68">
                  <c:v>-759.86189926823249</c:v>
                </c:pt>
                <c:pt idx="69">
                  <c:v>-759.86189926823249</c:v>
                </c:pt>
                <c:pt idx="70">
                  <c:v>-759.86189926823249</c:v>
                </c:pt>
                <c:pt idx="71">
                  <c:v>-759.86189926823249</c:v>
                </c:pt>
                <c:pt idx="72">
                  <c:v>-759.86189926823249</c:v>
                </c:pt>
                <c:pt idx="73">
                  <c:v>-759.86189926823249</c:v>
                </c:pt>
                <c:pt idx="74">
                  <c:v>-759.86189926823249</c:v>
                </c:pt>
                <c:pt idx="75">
                  <c:v>-759.86189926823249</c:v>
                </c:pt>
                <c:pt idx="76">
                  <c:v>-759.86189926823249</c:v>
                </c:pt>
                <c:pt idx="77">
                  <c:v>-759.86189926823249</c:v>
                </c:pt>
                <c:pt idx="78">
                  <c:v>-759.86189926823249</c:v>
                </c:pt>
                <c:pt idx="79">
                  <c:v>-759.86189926823249</c:v>
                </c:pt>
                <c:pt idx="80">
                  <c:v>-759.86189926823249</c:v>
                </c:pt>
                <c:pt idx="81">
                  <c:v>-759.86189926823249</c:v>
                </c:pt>
                <c:pt idx="82">
                  <c:v>-759.86189926823249</c:v>
                </c:pt>
                <c:pt idx="83">
                  <c:v>-759.86189926823249</c:v>
                </c:pt>
                <c:pt idx="84">
                  <c:v>-759.86189926823249</c:v>
                </c:pt>
                <c:pt idx="85">
                  <c:v>-759.86189926823249</c:v>
                </c:pt>
                <c:pt idx="86">
                  <c:v>-759.86189926823249</c:v>
                </c:pt>
                <c:pt idx="87">
                  <c:v>-759.86189926823249</c:v>
                </c:pt>
                <c:pt idx="88">
                  <c:v>-759.86189926823249</c:v>
                </c:pt>
                <c:pt idx="89">
                  <c:v>-759.86189926823249</c:v>
                </c:pt>
                <c:pt idx="90">
                  <c:v>-759.86189926823249</c:v>
                </c:pt>
                <c:pt idx="91">
                  <c:v>-759.86189926823249</c:v>
                </c:pt>
                <c:pt idx="92">
                  <c:v>-759.86189926823249</c:v>
                </c:pt>
                <c:pt idx="93">
                  <c:v>-759.86189926823249</c:v>
                </c:pt>
                <c:pt idx="94">
                  <c:v>-759.86189926823249</c:v>
                </c:pt>
                <c:pt idx="95">
                  <c:v>-759.86189926823249</c:v>
                </c:pt>
                <c:pt idx="96">
                  <c:v>-759.86189926823249</c:v>
                </c:pt>
                <c:pt idx="97">
                  <c:v>-759.86189926823249</c:v>
                </c:pt>
                <c:pt idx="98">
                  <c:v>-759.86189926823249</c:v>
                </c:pt>
                <c:pt idx="99">
                  <c:v>-759.86189926823249</c:v>
                </c:pt>
                <c:pt idx="100">
                  <c:v>-759.86189926823249</c:v>
                </c:pt>
                <c:pt idx="101">
                  <c:v>-759.86189926823249</c:v>
                </c:pt>
                <c:pt idx="102">
                  <c:v>-759.86189926823249</c:v>
                </c:pt>
                <c:pt idx="103">
                  <c:v>-759.86189926823249</c:v>
                </c:pt>
                <c:pt idx="104">
                  <c:v>-759.86189926823249</c:v>
                </c:pt>
                <c:pt idx="105">
                  <c:v>-759.86189926823249</c:v>
                </c:pt>
                <c:pt idx="106">
                  <c:v>-759.86189926823249</c:v>
                </c:pt>
                <c:pt idx="107">
                  <c:v>-759.86189926823249</c:v>
                </c:pt>
                <c:pt idx="108">
                  <c:v>-759.86189926823249</c:v>
                </c:pt>
                <c:pt idx="109">
                  <c:v>-759.86189926823249</c:v>
                </c:pt>
              </c:numCache>
            </c:numRef>
          </c:yVal>
          <c:smooth val="0"/>
          <c:extLst>
            <c:ext xmlns:c16="http://schemas.microsoft.com/office/drawing/2014/chart" uri="{C3380CC4-5D6E-409C-BE32-E72D297353CC}">
              <c16:uniqueId val="{00000001-96A1-441F-A2A1-36125F8FCE94}"/>
            </c:ext>
          </c:extLst>
        </c:ser>
        <c:ser>
          <c:idx val="1"/>
          <c:order val="2"/>
          <c:tx>
            <c:strRef>
              <c:f>'Baseline 1 - Perfect, 24hr'!$AF$1</c:f>
              <c:strCache>
                <c:ptCount val="1"/>
                <c:pt idx="0">
                  <c:v>Bedrock</c:v>
                </c:pt>
              </c:strCache>
            </c:strRef>
          </c:tx>
          <c:spPr>
            <a:ln w="19050" cap="rnd">
              <a:solidFill>
                <a:schemeClr val="tx1"/>
              </a:solidFill>
              <a:round/>
            </a:ln>
            <a:effectLst/>
          </c:spPr>
          <c:marker>
            <c:symbol val="none"/>
          </c:marker>
          <c:dPt>
            <c:idx val="60"/>
            <c:marker>
              <c:symbol val="none"/>
            </c:marker>
            <c:bubble3D val="0"/>
            <c:extLst>
              <c:ext xmlns:c16="http://schemas.microsoft.com/office/drawing/2014/chart" uri="{C3380CC4-5D6E-409C-BE32-E72D297353CC}">
                <c16:uniqueId val="{00000002-96A1-441F-A2A1-36125F8FCE94}"/>
              </c:ext>
            </c:extLst>
          </c:dPt>
          <c:xVal>
            <c:numRef>
              <c:f>'Baseline 1 - Perfect, 24hr'!$B$3:$B$112</c:f>
              <c:numCache>
                <c:formatCode>m/d/yyyy</c:formatCode>
                <c:ptCount val="110"/>
                <c:pt idx="0">
                  <c:v>45971</c:v>
                </c:pt>
                <c:pt idx="1">
                  <c:v>45972</c:v>
                </c:pt>
                <c:pt idx="2">
                  <c:v>45973</c:v>
                </c:pt>
                <c:pt idx="3">
                  <c:v>45974</c:v>
                </c:pt>
                <c:pt idx="4">
                  <c:v>45975</c:v>
                </c:pt>
                <c:pt idx="5">
                  <c:v>45976</c:v>
                </c:pt>
                <c:pt idx="6">
                  <c:v>45977</c:v>
                </c:pt>
                <c:pt idx="7">
                  <c:v>45978</c:v>
                </c:pt>
                <c:pt idx="8">
                  <c:v>45979</c:v>
                </c:pt>
                <c:pt idx="9">
                  <c:v>45980</c:v>
                </c:pt>
                <c:pt idx="10">
                  <c:v>45981</c:v>
                </c:pt>
                <c:pt idx="11">
                  <c:v>45982</c:v>
                </c:pt>
                <c:pt idx="12">
                  <c:v>45983</c:v>
                </c:pt>
                <c:pt idx="13">
                  <c:v>45984</c:v>
                </c:pt>
                <c:pt idx="14">
                  <c:v>45985</c:v>
                </c:pt>
                <c:pt idx="15">
                  <c:v>45986</c:v>
                </c:pt>
                <c:pt idx="16">
                  <c:v>45987</c:v>
                </c:pt>
                <c:pt idx="17">
                  <c:v>45988</c:v>
                </c:pt>
                <c:pt idx="18">
                  <c:v>45989</c:v>
                </c:pt>
                <c:pt idx="19">
                  <c:v>45990</c:v>
                </c:pt>
                <c:pt idx="20">
                  <c:v>45991</c:v>
                </c:pt>
                <c:pt idx="21">
                  <c:v>45992</c:v>
                </c:pt>
                <c:pt idx="22">
                  <c:v>45993</c:v>
                </c:pt>
                <c:pt idx="23">
                  <c:v>45994</c:v>
                </c:pt>
                <c:pt idx="24">
                  <c:v>45995</c:v>
                </c:pt>
                <c:pt idx="25">
                  <c:v>45996</c:v>
                </c:pt>
                <c:pt idx="26">
                  <c:v>45997</c:v>
                </c:pt>
                <c:pt idx="27">
                  <c:v>45998</c:v>
                </c:pt>
                <c:pt idx="28">
                  <c:v>45999</c:v>
                </c:pt>
                <c:pt idx="29">
                  <c:v>46000</c:v>
                </c:pt>
                <c:pt idx="30">
                  <c:v>46001</c:v>
                </c:pt>
                <c:pt idx="31">
                  <c:v>46002</c:v>
                </c:pt>
                <c:pt idx="32">
                  <c:v>46003</c:v>
                </c:pt>
                <c:pt idx="33">
                  <c:v>46004</c:v>
                </c:pt>
                <c:pt idx="34">
                  <c:v>46005</c:v>
                </c:pt>
                <c:pt idx="35">
                  <c:v>46006</c:v>
                </c:pt>
                <c:pt idx="36">
                  <c:v>46007</c:v>
                </c:pt>
                <c:pt idx="37">
                  <c:v>46008</c:v>
                </c:pt>
                <c:pt idx="38">
                  <c:v>46009</c:v>
                </c:pt>
                <c:pt idx="39">
                  <c:v>46010</c:v>
                </c:pt>
                <c:pt idx="40">
                  <c:v>46011</c:v>
                </c:pt>
                <c:pt idx="41">
                  <c:v>46012</c:v>
                </c:pt>
                <c:pt idx="42">
                  <c:v>46013</c:v>
                </c:pt>
                <c:pt idx="43">
                  <c:v>46014</c:v>
                </c:pt>
                <c:pt idx="44">
                  <c:v>46015</c:v>
                </c:pt>
                <c:pt idx="45">
                  <c:v>46016</c:v>
                </c:pt>
                <c:pt idx="46">
                  <c:v>46017</c:v>
                </c:pt>
                <c:pt idx="47">
                  <c:v>46018</c:v>
                </c:pt>
                <c:pt idx="48">
                  <c:v>46019</c:v>
                </c:pt>
                <c:pt idx="49">
                  <c:v>46020</c:v>
                </c:pt>
                <c:pt idx="50">
                  <c:v>46021</c:v>
                </c:pt>
                <c:pt idx="51">
                  <c:v>46022</c:v>
                </c:pt>
                <c:pt idx="52">
                  <c:v>46023</c:v>
                </c:pt>
                <c:pt idx="53">
                  <c:v>46024</c:v>
                </c:pt>
                <c:pt idx="54">
                  <c:v>46025</c:v>
                </c:pt>
                <c:pt idx="55">
                  <c:v>46026</c:v>
                </c:pt>
                <c:pt idx="56">
                  <c:v>46027</c:v>
                </c:pt>
                <c:pt idx="57">
                  <c:v>46028</c:v>
                </c:pt>
                <c:pt idx="58">
                  <c:v>46029</c:v>
                </c:pt>
                <c:pt idx="59">
                  <c:v>46030</c:v>
                </c:pt>
                <c:pt idx="60">
                  <c:v>46031</c:v>
                </c:pt>
                <c:pt idx="61">
                  <c:v>46032</c:v>
                </c:pt>
                <c:pt idx="62">
                  <c:v>46033</c:v>
                </c:pt>
                <c:pt idx="63">
                  <c:v>46034</c:v>
                </c:pt>
                <c:pt idx="64">
                  <c:v>46035</c:v>
                </c:pt>
                <c:pt idx="65">
                  <c:v>46036</c:v>
                </c:pt>
                <c:pt idx="66">
                  <c:v>46037</c:v>
                </c:pt>
                <c:pt idx="67">
                  <c:v>46038</c:v>
                </c:pt>
                <c:pt idx="68">
                  <c:v>46039</c:v>
                </c:pt>
                <c:pt idx="69">
                  <c:v>46040</c:v>
                </c:pt>
                <c:pt idx="70">
                  <c:v>46041</c:v>
                </c:pt>
                <c:pt idx="71">
                  <c:v>46042</c:v>
                </c:pt>
                <c:pt idx="72">
                  <c:v>46043</c:v>
                </c:pt>
                <c:pt idx="73">
                  <c:v>46044</c:v>
                </c:pt>
                <c:pt idx="74">
                  <c:v>46045</c:v>
                </c:pt>
                <c:pt idx="75">
                  <c:v>46046</c:v>
                </c:pt>
                <c:pt idx="76">
                  <c:v>46047</c:v>
                </c:pt>
                <c:pt idx="77">
                  <c:v>46048</c:v>
                </c:pt>
                <c:pt idx="78">
                  <c:v>46049</c:v>
                </c:pt>
                <c:pt idx="79">
                  <c:v>46050</c:v>
                </c:pt>
                <c:pt idx="80">
                  <c:v>46051</c:v>
                </c:pt>
                <c:pt idx="81">
                  <c:v>46052</c:v>
                </c:pt>
                <c:pt idx="82">
                  <c:v>46053</c:v>
                </c:pt>
                <c:pt idx="83">
                  <c:v>46054</c:v>
                </c:pt>
                <c:pt idx="84">
                  <c:v>46055</c:v>
                </c:pt>
                <c:pt idx="85">
                  <c:v>46056</c:v>
                </c:pt>
                <c:pt idx="86">
                  <c:v>46057</c:v>
                </c:pt>
                <c:pt idx="87">
                  <c:v>46058</c:v>
                </c:pt>
                <c:pt idx="88">
                  <c:v>46059</c:v>
                </c:pt>
                <c:pt idx="89">
                  <c:v>46060</c:v>
                </c:pt>
                <c:pt idx="90">
                  <c:v>46061</c:v>
                </c:pt>
                <c:pt idx="91">
                  <c:v>46062</c:v>
                </c:pt>
                <c:pt idx="92">
                  <c:v>46063</c:v>
                </c:pt>
                <c:pt idx="93">
                  <c:v>46064</c:v>
                </c:pt>
                <c:pt idx="94">
                  <c:v>46065</c:v>
                </c:pt>
                <c:pt idx="95">
                  <c:v>46066</c:v>
                </c:pt>
                <c:pt idx="96">
                  <c:v>46067</c:v>
                </c:pt>
                <c:pt idx="97">
                  <c:v>46068</c:v>
                </c:pt>
                <c:pt idx="98">
                  <c:v>46069</c:v>
                </c:pt>
                <c:pt idx="99">
                  <c:v>46070</c:v>
                </c:pt>
                <c:pt idx="100">
                  <c:v>46071</c:v>
                </c:pt>
                <c:pt idx="101">
                  <c:v>46072</c:v>
                </c:pt>
                <c:pt idx="102">
                  <c:v>46073</c:v>
                </c:pt>
                <c:pt idx="103">
                  <c:v>46074</c:v>
                </c:pt>
                <c:pt idx="104">
                  <c:v>46075</c:v>
                </c:pt>
                <c:pt idx="105">
                  <c:v>46076</c:v>
                </c:pt>
                <c:pt idx="106">
                  <c:v>46077</c:v>
                </c:pt>
                <c:pt idx="107">
                  <c:v>46078</c:v>
                </c:pt>
                <c:pt idx="108">
                  <c:v>46079</c:v>
                </c:pt>
                <c:pt idx="109">
                  <c:v>46080</c:v>
                </c:pt>
              </c:numCache>
            </c:numRef>
          </c:xVal>
          <c:yVal>
            <c:numRef>
              <c:f>'Baseline 1 - Perfect, 24hr'!$AF$3:$AF$112</c:f>
              <c:numCache>
                <c:formatCode>General</c:formatCode>
                <c:ptCount val="110"/>
                <c:pt idx="0">
                  <c:v>-720</c:v>
                </c:pt>
                <c:pt idx="1">
                  <c:v>-720</c:v>
                </c:pt>
                <c:pt idx="2">
                  <c:v>-720</c:v>
                </c:pt>
                <c:pt idx="3">
                  <c:v>-720</c:v>
                </c:pt>
                <c:pt idx="4">
                  <c:v>-720</c:v>
                </c:pt>
                <c:pt idx="5">
                  <c:v>-720</c:v>
                </c:pt>
                <c:pt idx="6">
                  <c:v>-720</c:v>
                </c:pt>
                <c:pt idx="7">
                  <c:v>-720</c:v>
                </c:pt>
                <c:pt idx="8">
                  <c:v>-720</c:v>
                </c:pt>
                <c:pt idx="9">
                  <c:v>-720</c:v>
                </c:pt>
                <c:pt idx="10">
                  <c:v>-720</c:v>
                </c:pt>
                <c:pt idx="11">
                  <c:v>-720</c:v>
                </c:pt>
                <c:pt idx="12">
                  <c:v>-720</c:v>
                </c:pt>
                <c:pt idx="13">
                  <c:v>-720</c:v>
                </c:pt>
                <c:pt idx="14">
                  <c:v>-720</c:v>
                </c:pt>
                <c:pt idx="15">
                  <c:v>-720</c:v>
                </c:pt>
                <c:pt idx="16">
                  <c:v>-720</c:v>
                </c:pt>
                <c:pt idx="17">
                  <c:v>-720</c:v>
                </c:pt>
                <c:pt idx="18">
                  <c:v>-720</c:v>
                </c:pt>
                <c:pt idx="19">
                  <c:v>-720</c:v>
                </c:pt>
                <c:pt idx="20">
                  <c:v>-720</c:v>
                </c:pt>
                <c:pt idx="21">
                  <c:v>-720</c:v>
                </c:pt>
                <c:pt idx="22">
                  <c:v>-720</c:v>
                </c:pt>
                <c:pt idx="23">
                  <c:v>-720</c:v>
                </c:pt>
                <c:pt idx="24">
                  <c:v>-720</c:v>
                </c:pt>
                <c:pt idx="25">
                  <c:v>-720</c:v>
                </c:pt>
                <c:pt idx="26">
                  <c:v>-720</c:v>
                </c:pt>
                <c:pt idx="27">
                  <c:v>-720</c:v>
                </c:pt>
                <c:pt idx="28">
                  <c:v>-720</c:v>
                </c:pt>
                <c:pt idx="29">
                  <c:v>-720</c:v>
                </c:pt>
                <c:pt idx="30">
                  <c:v>-720</c:v>
                </c:pt>
                <c:pt idx="31">
                  <c:v>-720</c:v>
                </c:pt>
                <c:pt idx="32">
                  <c:v>-720</c:v>
                </c:pt>
                <c:pt idx="33">
                  <c:v>-720</c:v>
                </c:pt>
                <c:pt idx="34">
                  <c:v>-720</c:v>
                </c:pt>
                <c:pt idx="35">
                  <c:v>-720</c:v>
                </c:pt>
                <c:pt idx="36">
                  <c:v>-720</c:v>
                </c:pt>
                <c:pt idx="37">
                  <c:v>-720</c:v>
                </c:pt>
                <c:pt idx="38">
                  <c:v>-720</c:v>
                </c:pt>
                <c:pt idx="39">
                  <c:v>-720</c:v>
                </c:pt>
                <c:pt idx="40">
                  <c:v>-720</c:v>
                </c:pt>
                <c:pt idx="41">
                  <c:v>-720</c:v>
                </c:pt>
                <c:pt idx="42">
                  <c:v>-720</c:v>
                </c:pt>
                <c:pt idx="43">
                  <c:v>-720</c:v>
                </c:pt>
                <c:pt idx="44">
                  <c:v>-720</c:v>
                </c:pt>
                <c:pt idx="45">
                  <c:v>-720</c:v>
                </c:pt>
                <c:pt idx="46">
                  <c:v>-720</c:v>
                </c:pt>
                <c:pt idx="47">
                  <c:v>-720</c:v>
                </c:pt>
                <c:pt idx="48">
                  <c:v>-720</c:v>
                </c:pt>
                <c:pt idx="49">
                  <c:v>-720</c:v>
                </c:pt>
                <c:pt idx="50">
                  <c:v>-720</c:v>
                </c:pt>
                <c:pt idx="51">
                  <c:v>-720</c:v>
                </c:pt>
                <c:pt idx="52">
                  <c:v>-720</c:v>
                </c:pt>
                <c:pt idx="53">
                  <c:v>-720</c:v>
                </c:pt>
                <c:pt idx="54">
                  <c:v>-720</c:v>
                </c:pt>
                <c:pt idx="55">
                  <c:v>-720</c:v>
                </c:pt>
                <c:pt idx="56">
                  <c:v>-720</c:v>
                </c:pt>
                <c:pt idx="57">
                  <c:v>-720</c:v>
                </c:pt>
                <c:pt idx="58">
                  <c:v>-720</c:v>
                </c:pt>
                <c:pt idx="59">
                  <c:v>-720</c:v>
                </c:pt>
                <c:pt idx="60">
                  <c:v>-720</c:v>
                </c:pt>
                <c:pt idx="61">
                  <c:v>-720</c:v>
                </c:pt>
                <c:pt idx="62">
                  <c:v>-720</c:v>
                </c:pt>
                <c:pt idx="63">
                  <c:v>-720</c:v>
                </c:pt>
                <c:pt idx="64">
                  <c:v>-720</c:v>
                </c:pt>
                <c:pt idx="65">
                  <c:v>-720</c:v>
                </c:pt>
                <c:pt idx="66">
                  <c:v>-720</c:v>
                </c:pt>
                <c:pt idx="67">
                  <c:v>-720</c:v>
                </c:pt>
                <c:pt idx="68">
                  <c:v>-720</c:v>
                </c:pt>
                <c:pt idx="69">
                  <c:v>-720</c:v>
                </c:pt>
                <c:pt idx="70">
                  <c:v>-720</c:v>
                </c:pt>
                <c:pt idx="71">
                  <c:v>-720</c:v>
                </c:pt>
                <c:pt idx="72">
                  <c:v>-720</c:v>
                </c:pt>
                <c:pt idx="73">
                  <c:v>-720</c:v>
                </c:pt>
                <c:pt idx="74">
                  <c:v>-720</c:v>
                </c:pt>
                <c:pt idx="75">
                  <c:v>-720</c:v>
                </c:pt>
                <c:pt idx="76">
                  <c:v>-720</c:v>
                </c:pt>
                <c:pt idx="77">
                  <c:v>-720</c:v>
                </c:pt>
                <c:pt idx="78">
                  <c:v>-720</c:v>
                </c:pt>
                <c:pt idx="79">
                  <c:v>-720</c:v>
                </c:pt>
                <c:pt idx="80">
                  <c:v>-720</c:v>
                </c:pt>
                <c:pt idx="81">
                  <c:v>-720</c:v>
                </c:pt>
                <c:pt idx="82">
                  <c:v>-720</c:v>
                </c:pt>
                <c:pt idx="83">
                  <c:v>-720</c:v>
                </c:pt>
                <c:pt idx="84">
                  <c:v>-720</c:v>
                </c:pt>
                <c:pt idx="85">
                  <c:v>-720</c:v>
                </c:pt>
                <c:pt idx="86">
                  <c:v>-720</c:v>
                </c:pt>
                <c:pt idx="87">
                  <c:v>-720</c:v>
                </c:pt>
                <c:pt idx="88">
                  <c:v>-720</c:v>
                </c:pt>
                <c:pt idx="89">
                  <c:v>-720</c:v>
                </c:pt>
                <c:pt idx="90">
                  <c:v>-720</c:v>
                </c:pt>
                <c:pt idx="91">
                  <c:v>-720</c:v>
                </c:pt>
                <c:pt idx="92">
                  <c:v>-720</c:v>
                </c:pt>
                <c:pt idx="93">
                  <c:v>-720</c:v>
                </c:pt>
                <c:pt idx="94">
                  <c:v>-720</c:v>
                </c:pt>
                <c:pt idx="95">
                  <c:v>-720</c:v>
                </c:pt>
                <c:pt idx="96">
                  <c:v>-720</c:v>
                </c:pt>
                <c:pt idx="97">
                  <c:v>-720</c:v>
                </c:pt>
                <c:pt idx="98">
                  <c:v>-720</c:v>
                </c:pt>
                <c:pt idx="99">
                  <c:v>-720</c:v>
                </c:pt>
                <c:pt idx="100">
                  <c:v>-720</c:v>
                </c:pt>
                <c:pt idx="101">
                  <c:v>-720</c:v>
                </c:pt>
                <c:pt idx="102">
                  <c:v>-720</c:v>
                </c:pt>
                <c:pt idx="103">
                  <c:v>-720</c:v>
                </c:pt>
                <c:pt idx="104">
                  <c:v>-720</c:v>
                </c:pt>
                <c:pt idx="105">
                  <c:v>-720</c:v>
                </c:pt>
                <c:pt idx="106">
                  <c:v>-720</c:v>
                </c:pt>
                <c:pt idx="107">
                  <c:v>-720</c:v>
                </c:pt>
                <c:pt idx="108">
                  <c:v>-720</c:v>
                </c:pt>
                <c:pt idx="109">
                  <c:v>-720</c:v>
                </c:pt>
              </c:numCache>
            </c:numRef>
          </c:yVal>
          <c:smooth val="0"/>
          <c:extLst>
            <c:ext xmlns:c16="http://schemas.microsoft.com/office/drawing/2014/chart" uri="{C3380CC4-5D6E-409C-BE32-E72D297353CC}">
              <c16:uniqueId val="{00000003-96A1-441F-A2A1-36125F8FCE94}"/>
            </c:ext>
          </c:extLst>
        </c:ser>
        <c:ser>
          <c:idx val="2"/>
          <c:order val="3"/>
          <c:tx>
            <c:strRef>
              <c:f>'Baseline 1 - Perfect, 24hr'!$AG$1</c:f>
              <c:strCache>
                <c:ptCount val="1"/>
                <c:pt idx="0">
                  <c:v>10,000YBP Min</c:v>
                </c:pt>
              </c:strCache>
            </c:strRef>
          </c:tx>
          <c:spPr>
            <a:ln w="19050" cap="rnd">
              <a:solidFill>
                <a:srgbClr val="FFC000"/>
              </a:solidFill>
              <a:prstDash val="sysDot"/>
              <a:round/>
            </a:ln>
            <a:effectLst/>
          </c:spPr>
          <c:marker>
            <c:symbol val="none"/>
          </c:marker>
          <c:xVal>
            <c:numRef>
              <c:f>'Baseline 1 - Perfect, 24hr'!$B$3:$B$112</c:f>
              <c:numCache>
                <c:formatCode>m/d/yyyy</c:formatCode>
                <c:ptCount val="110"/>
                <c:pt idx="0">
                  <c:v>45971</c:v>
                </c:pt>
                <c:pt idx="1">
                  <c:v>45972</c:v>
                </c:pt>
                <c:pt idx="2">
                  <c:v>45973</c:v>
                </c:pt>
                <c:pt idx="3">
                  <c:v>45974</c:v>
                </c:pt>
                <c:pt idx="4">
                  <c:v>45975</c:v>
                </c:pt>
                <c:pt idx="5">
                  <c:v>45976</c:v>
                </c:pt>
                <c:pt idx="6">
                  <c:v>45977</c:v>
                </c:pt>
                <c:pt idx="7">
                  <c:v>45978</c:v>
                </c:pt>
                <c:pt idx="8">
                  <c:v>45979</c:v>
                </c:pt>
                <c:pt idx="9">
                  <c:v>45980</c:v>
                </c:pt>
                <c:pt idx="10">
                  <c:v>45981</c:v>
                </c:pt>
                <c:pt idx="11">
                  <c:v>45982</c:v>
                </c:pt>
                <c:pt idx="12">
                  <c:v>45983</c:v>
                </c:pt>
                <c:pt idx="13">
                  <c:v>45984</c:v>
                </c:pt>
                <c:pt idx="14">
                  <c:v>45985</c:v>
                </c:pt>
                <c:pt idx="15">
                  <c:v>45986</c:v>
                </c:pt>
                <c:pt idx="16">
                  <c:v>45987</c:v>
                </c:pt>
                <c:pt idx="17">
                  <c:v>45988</c:v>
                </c:pt>
                <c:pt idx="18">
                  <c:v>45989</c:v>
                </c:pt>
                <c:pt idx="19">
                  <c:v>45990</c:v>
                </c:pt>
                <c:pt idx="20">
                  <c:v>45991</c:v>
                </c:pt>
                <c:pt idx="21">
                  <c:v>45992</c:v>
                </c:pt>
                <c:pt idx="22">
                  <c:v>45993</c:v>
                </c:pt>
                <c:pt idx="23">
                  <c:v>45994</c:v>
                </c:pt>
                <c:pt idx="24">
                  <c:v>45995</c:v>
                </c:pt>
                <c:pt idx="25">
                  <c:v>45996</c:v>
                </c:pt>
                <c:pt idx="26">
                  <c:v>45997</c:v>
                </c:pt>
                <c:pt idx="27">
                  <c:v>45998</c:v>
                </c:pt>
                <c:pt idx="28">
                  <c:v>45999</c:v>
                </c:pt>
                <c:pt idx="29">
                  <c:v>46000</c:v>
                </c:pt>
                <c:pt idx="30">
                  <c:v>46001</c:v>
                </c:pt>
                <c:pt idx="31">
                  <c:v>46002</c:v>
                </c:pt>
                <c:pt idx="32">
                  <c:v>46003</c:v>
                </c:pt>
                <c:pt idx="33">
                  <c:v>46004</c:v>
                </c:pt>
                <c:pt idx="34">
                  <c:v>46005</c:v>
                </c:pt>
                <c:pt idx="35">
                  <c:v>46006</c:v>
                </c:pt>
                <c:pt idx="36">
                  <c:v>46007</c:v>
                </c:pt>
                <c:pt idx="37">
                  <c:v>46008</c:v>
                </c:pt>
                <c:pt idx="38">
                  <c:v>46009</c:v>
                </c:pt>
                <c:pt idx="39">
                  <c:v>46010</c:v>
                </c:pt>
                <c:pt idx="40">
                  <c:v>46011</c:v>
                </c:pt>
                <c:pt idx="41">
                  <c:v>46012</c:v>
                </c:pt>
                <c:pt idx="42">
                  <c:v>46013</c:v>
                </c:pt>
                <c:pt idx="43">
                  <c:v>46014</c:v>
                </c:pt>
                <c:pt idx="44">
                  <c:v>46015</c:v>
                </c:pt>
                <c:pt idx="45">
                  <c:v>46016</c:v>
                </c:pt>
                <c:pt idx="46">
                  <c:v>46017</c:v>
                </c:pt>
                <c:pt idx="47">
                  <c:v>46018</c:v>
                </c:pt>
                <c:pt idx="48">
                  <c:v>46019</c:v>
                </c:pt>
                <c:pt idx="49">
                  <c:v>46020</c:v>
                </c:pt>
                <c:pt idx="50">
                  <c:v>46021</c:v>
                </c:pt>
                <c:pt idx="51">
                  <c:v>46022</c:v>
                </c:pt>
                <c:pt idx="52">
                  <c:v>46023</c:v>
                </c:pt>
                <c:pt idx="53">
                  <c:v>46024</c:v>
                </c:pt>
                <c:pt idx="54">
                  <c:v>46025</c:v>
                </c:pt>
                <c:pt idx="55">
                  <c:v>46026</c:v>
                </c:pt>
                <c:pt idx="56">
                  <c:v>46027</c:v>
                </c:pt>
                <c:pt idx="57">
                  <c:v>46028</c:v>
                </c:pt>
                <c:pt idx="58">
                  <c:v>46029</c:v>
                </c:pt>
                <c:pt idx="59">
                  <c:v>46030</c:v>
                </c:pt>
                <c:pt idx="60">
                  <c:v>46031</c:v>
                </c:pt>
                <c:pt idx="61">
                  <c:v>46032</c:v>
                </c:pt>
                <c:pt idx="62">
                  <c:v>46033</c:v>
                </c:pt>
                <c:pt idx="63">
                  <c:v>46034</c:v>
                </c:pt>
                <c:pt idx="64">
                  <c:v>46035</c:v>
                </c:pt>
                <c:pt idx="65">
                  <c:v>46036</c:v>
                </c:pt>
                <c:pt idx="66">
                  <c:v>46037</c:v>
                </c:pt>
                <c:pt idx="67">
                  <c:v>46038</c:v>
                </c:pt>
                <c:pt idx="68">
                  <c:v>46039</c:v>
                </c:pt>
                <c:pt idx="69">
                  <c:v>46040</c:v>
                </c:pt>
                <c:pt idx="70">
                  <c:v>46041</c:v>
                </c:pt>
                <c:pt idx="71">
                  <c:v>46042</c:v>
                </c:pt>
                <c:pt idx="72">
                  <c:v>46043</c:v>
                </c:pt>
                <c:pt idx="73">
                  <c:v>46044</c:v>
                </c:pt>
                <c:pt idx="74">
                  <c:v>46045</c:v>
                </c:pt>
                <c:pt idx="75">
                  <c:v>46046</c:v>
                </c:pt>
                <c:pt idx="76">
                  <c:v>46047</c:v>
                </c:pt>
                <c:pt idx="77">
                  <c:v>46048</c:v>
                </c:pt>
                <c:pt idx="78">
                  <c:v>46049</c:v>
                </c:pt>
                <c:pt idx="79">
                  <c:v>46050</c:v>
                </c:pt>
                <c:pt idx="80">
                  <c:v>46051</c:v>
                </c:pt>
                <c:pt idx="81">
                  <c:v>46052</c:v>
                </c:pt>
                <c:pt idx="82">
                  <c:v>46053</c:v>
                </c:pt>
                <c:pt idx="83">
                  <c:v>46054</c:v>
                </c:pt>
                <c:pt idx="84">
                  <c:v>46055</c:v>
                </c:pt>
                <c:pt idx="85">
                  <c:v>46056</c:v>
                </c:pt>
                <c:pt idx="86">
                  <c:v>46057</c:v>
                </c:pt>
                <c:pt idx="87">
                  <c:v>46058</c:v>
                </c:pt>
                <c:pt idx="88">
                  <c:v>46059</c:v>
                </c:pt>
                <c:pt idx="89">
                  <c:v>46060</c:v>
                </c:pt>
                <c:pt idx="90">
                  <c:v>46061</c:v>
                </c:pt>
                <c:pt idx="91">
                  <c:v>46062</c:v>
                </c:pt>
                <c:pt idx="92">
                  <c:v>46063</c:v>
                </c:pt>
                <c:pt idx="93">
                  <c:v>46064</c:v>
                </c:pt>
                <c:pt idx="94">
                  <c:v>46065</c:v>
                </c:pt>
                <c:pt idx="95">
                  <c:v>46066</c:v>
                </c:pt>
                <c:pt idx="96">
                  <c:v>46067</c:v>
                </c:pt>
                <c:pt idx="97">
                  <c:v>46068</c:v>
                </c:pt>
                <c:pt idx="98">
                  <c:v>46069</c:v>
                </c:pt>
                <c:pt idx="99">
                  <c:v>46070</c:v>
                </c:pt>
                <c:pt idx="100">
                  <c:v>46071</c:v>
                </c:pt>
                <c:pt idx="101">
                  <c:v>46072</c:v>
                </c:pt>
                <c:pt idx="102">
                  <c:v>46073</c:v>
                </c:pt>
                <c:pt idx="103">
                  <c:v>46074</c:v>
                </c:pt>
                <c:pt idx="104">
                  <c:v>46075</c:v>
                </c:pt>
                <c:pt idx="105">
                  <c:v>46076</c:v>
                </c:pt>
                <c:pt idx="106">
                  <c:v>46077</c:v>
                </c:pt>
                <c:pt idx="107">
                  <c:v>46078</c:v>
                </c:pt>
                <c:pt idx="108">
                  <c:v>46079</c:v>
                </c:pt>
                <c:pt idx="109">
                  <c:v>46080</c:v>
                </c:pt>
              </c:numCache>
            </c:numRef>
          </c:xVal>
          <c:yVal>
            <c:numRef>
              <c:f>'Baseline 1 - Perfect, 24hr'!$AG$3:$AG$112</c:f>
              <c:numCache>
                <c:formatCode>General</c:formatCode>
                <c:ptCount val="110"/>
                <c:pt idx="0">
                  <c:v>-624</c:v>
                </c:pt>
                <c:pt idx="1">
                  <c:v>-624</c:v>
                </c:pt>
                <c:pt idx="2">
                  <c:v>-624</c:v>
                </c:pt>
                <c:pt idx="3">
                  <c:v>-624</c:v>
                </c:pt>
                <c:pt idx="4">
                  <c:v>-624</c:v>
                </c:pt>
                <c:pt idx="5">
                  <c:v>-624</c:v>
                </c:pt>
                <c:pt idx="6">
                  <c:v>-624</c:v>
                </c:pt>
                <c:pt idx="7">
                  <c:v>-624</c:v>
                </c:pt>
                <c:pt idx="8">
                  <c:v>-624</c:v>
                </c:pt>
                <c:pt idx="9">
                  <c:v>-624</c:v>
                </c:pt>
                <c:pt idx="10">
                  <c:v>-624</c:v>
                </c:pt>
                <c:pt idx="11">
                  <c:v>-624</c:v>
                </c:pt>
                <c:pt idx="12">
                  <c:v>-624</c:v>
                </c:pt>
                <c:pt idx="13">
                  <c:v>-624</c:v>
                </c:pt>
                <c:pt idx="14">
                  <c:v>-624</c:v>
                </c:pt>
                <c:pt idx="15">
                  <c:v>-624</c:v>
                </c:pt>
                <c:pt idx="16">
                  <c:v>-624</c:v>
                </c:pt>
                <c:pt idx="17">
                  <c:v>-624</c:v>
                </c:pt>
                <c:pt idx="18">
                  <c:v>-624</c:v>
                </c:pt>
                <c:pt idx="19">
                  <c:v>-624</c:v>
                </c:pt>
                <c:pt idx="20">
                  <c:v>-624</c:v>
                </c:pt>
                <c:pt idx="21">
                  <c:v>-624</c:v>
                </c:pt>
                <c:pt idx="22">
                  <c:v>-624</c:v>
                </c:pt>
                <c:pt idx="23">
                  <c:v>-624</c:v>
                </c:pt>
                <c:pt idx="24">
                  <c:v>-624</c:v>
                </c:pt>
                <c:pt idx="25">
                  <c:v>-624</c:v>
                </c:pt>
                <c:pt idx="26">
                  <c:v>-624</c:v>
                </c:pt>
                <c:pt idx="27">
                  <c:v>-624</c:v>
                </c:pt>
                <c:pt idx="28">
                  <c:v>-624</c:v>
                </c:pt>
                <c:pt idx="29">
                  <c:v>-624</c:v>
                </c:pt>
                <c:pt idx="30">
                  <c:v>-624</c:v>
                </c:pt>
                <c:pt idx="31">
                  <c:v>-624</c:v>
                </c:pt>
                <c:pt idx="32">
                  <c:v>-624</c:v>
                </c:pt>
                <c:pt idx="33">
                  <c:v>-624</c:v>
                </c:pt>
                <c:pt idx="34">
                  <c:v>-624</c:v>
                </c:pt>
                <c:pt idx="35">
                  <c:v>-624</c:v>
                </c:pt>
                <c:pt idx="36">
                  <c:v>-624</c:v>
                </c:pt>
                <c:pt idx="37">
                  <c:v>-624</c:v>
                </c:pt>
                <c:pt idx="38">
                  <c:v>-624</c:v>
                </c:pt>
                <c:pt idx="39">
                  <c:v>-624</c:v>
                </c:pt>
                <c:pt idx="40">
                  <c:v>-624</c:v>
                </c:pt>
                <c:pt idx="41">
                  <c:v>-624</c:v>
                </c:pt>
                <c:pt idx="42">
                  <c:v>-624</c:v>
                </c:pt>
                <c:pt idx="43">
                  <c:v>-624</c:v>
                </c:pt>
                <c:pt idx="44">
                  <c:v>-624</c:v>
                </c:pt>
                <c:pt idx="45">
                  <c:v>-624</c:v>
                </c:pt>
                <c:pt idx="46">
                  <c:v>-624</c:v>
                </c:pt>
                <c:pt idx="47">
                  <c:v>-624</c:v>
                </c:pt>
                <c:pt idx="48">
                  <c:v>-624</c:v>
                </c:pt>
                <c:pt idx="49">
                  <c:v>-624</c:v>
                </c:pt>
                <c:pt idx="50">
                  <c:v>-624</c:v>
                </c:pt>
                <c:pt idx="51">
                  <c:v>-624</c:v>
                </c:pt>
                <c:pt idx="52">
                  <c:v>-624</c:v>
                </c:pt>
                <c:pt idx="53">
                  <c:v>-624</c:v>
                </c:pt>
                <c:pt idx="54">
                  <c:v>-624</c:v>
                </c:pt>
                <c:pt idx="55">
                  <c:v>-624</c:v>
                </c:pt>
                <c:pt idx="56">
                  <c:v>-624</c:v>
                </c:pt>
                <c:pt idx="57">
                  <c:v>-624</c:v>
                </c:pt>
                <c:pt idx="58">
                  <c:v>-624</c:v>
                </c:pt>
                <c:pt idx="59">
                  <c:v>-624</c:v>
                </c:pt>
                <c:pt idx="60">
                  <c:v>-624</c:v>
                </c:pt>
                <c:pt idx="61">
                  <c:v>-624</c:v>
                </c:pt>
                <c:pt idx="62">
                  <c:v>-624</c:v>
                </c:pt>
                <c:pt idx="63">
                  <c:v>-624</c:v>
                </c:pt>
                <c:pt idx="64">
                  <c:v>-624</c:v>
                </c:pt>
                <c:pt idx="65">
                  <c:v>-624</c:v>
                </c:pt>
                <c:pt idx="66">
                  <c:v>-624</c:v>
                </c:pt>
                <c:pt idx="67">
                  <c:v>-624</c:v>
                </c:pt>
                <c:pt idx="68">
                  <c:v>-624</c:v>
                </c:pt>
                <c:pt idx="69">
                  <c:v>-624</c:v>
                </c:pt>
                <c:pt idx="70">
                  <c:v>-624</c:v>
                </c:pt>
                <c:pt idx="71">
                  <c:v>-624</c:v>
                </c:pt>
                <c:pt idx="72">
                  <c:v>-624</c:v>
                </c:pt>
                <c:pt idx="73">
                  <c:v>-624</c:v>
                </c:pt>
                <c:pt idx="74">
                  <c:v>-624</c:v>
                </c:pt>
                <c:pt idx="75">
                  <c:v>-624</c:v>
                </c:pt>
                <c:pt idx="76">
                  <c:v>-624</c:v>
                </c:pt>
                <c:pt idx="77">
                  <c:v>-624</c:v>
                </c:pt>
                <c:pt idx="78">
                  <c:v>-624</c:v>
                </c:pt>
                <c:pt idx="79">
                  <c:v>-624</c:v>
                </c:pt>
                <c:pt idx="80">
                  <c:v>-624</c:v>
                </c:pt>
                <c:pt idx="81">
                  <c:v>-624</c:v>
                </c:pt>
                <c:pt idx="82">
                  <c:v>-624</c:v>
                </c:pt>
                <c:pt idx="83">
                  <c:v>-624</c:v>
                </c:pt>
                <c:pt idx="84">
                  <c:v>-624</c:v>
                </c:pt>
                <c:pt idx="85">
                  <c:v>-624</c:v>
                </c:pt>
                <c:pt idx="86">
                  <c:v>-624</c:v>
                </c:pt>
                <c:pt idx="87">
                  <c:v>-624</c:v>
                </c:pt>
                <c:pt idx="88">
                  <c:v>-624</c:v>
                </c:pt>
                <c:pt idx="89">
                  <c:v>-624</c:v>
                </c:pt>
                <c:pt idx="90">
                  <c:v>-624</c:v>
                </c:pt>
                <c:pt idx="91">
                  <c:v>-624</c:v>
                </c:pt>
                <c:pt idx="92">
                  <c:v>-624</c:v>
                </c:pt>
                <c:pt idx="93">
                  <c:v>-624</c:v>
                </c:pt>
                <c:pt idx="94">
                  <c:v>-624</c:v>
                </c:pt>
                <c:pt idx="95">
                  <c:v>-624</c:v>
                </c:pt>
                <c:pt idx="96">
                  <c:v>-624</c:v>
                </c:pt>
                <c:pt idx="97">
                  <c:v>-624</c:v>
                </c:pt>
                <c:pt idx="98">
                  <c:v>-624</c:v>
                </c:pt>
                <c:pt idx="99">
                  <c:v>-624</c:v>
                </c:pt>
                <c:pt idx="100">
                  <c:v>-624</c:v>
                </c:pt>
                <c:pt idx="101">
                  <c:v>-624</c:v>
                </c:pt>
                <c:pt idx="102">
                  <c:v>-624</c:v>
                </c:pt>
                <c:pt idx="103">
                  <c:v>-624</c:v>
                </c:pt>
                <c:pt idx="104">
                  <c:v>-624</c:v>
                </c:pt>
                <c:pt idx="105">
                  <c:v>-624</c:v>
                </c:pt>
                <c:pt idx="106">
                  <c:v>-624</c:v>
                </c:pt>
                <c:pt idx="107">
                  <c:v>-624</c:v>
                </c:pt>
                <c:pt idx="108">
                  <c:v>-624</c:v>
                </c:pt>
                <c:pt idx="109">
                  <c:v>-624</c:v>
                </c:pt>
              </c:numCache>
            </c:numRef>
          </c:yVal>
          <c:smooth val="0"/>
          <c:extLst>
            <c:ext xmlns:c16="http://schemas.microsoft.com/office/drawing/2014/chart" uri="{C3380CC4-5D6E-409C-BE32-E72D297353CC}">
              <c16:uniqueId val="{00000004-96A1-441F-A2A1-36125F8FCE94}"/>
            </c:ext>
          </c:extLst>
        </c:ser>
        <c:ser>
          <c:idx val="3"/>
          <c:order val="4"/>
          <c:tx>
            <c:strRef>
              <c:f>'Baseline 1 - Perfect, 24hr'!$AH$1</c:f>
              <c:strCache>
                <c:ptCount val="1"/>
                <c:pt idx="0">
                  <c:v>10,000YBP Max</c:v>
                </c:pt>
              </c:strCache>
            </c:strRef>
          </c:tx>
          <c:spPr>
            <a:ln w="19050" cap="rnd">
              <a:solidFill>
                <a:srgbClr val="FF0000"/>
              </a:solidFill>
              <a:prstDash val="sysDot"/>
              <a:round/>
            </a:ln>
            <a:effectLst/>
          </c:spPr>
          <c:marker>
            <c:symbol val="none"/>
          </c:marker>
          <c:xVal>
            <c:numRef>
              <c:f>'Baseline 1 - Perfect, 24hr'!$B$3:$B$112</c:f>
              <c:numCache>
                <c:formatCode>m/d/yyyy</c:formatCode>
                <c:ptCount val="110"/>
                <c:pt idx="0">
                  <c:v>45971</c:v>
                </c:pt>
                <c:pt idx="1">
                  <c:v>45972</c:v>
                </c:pt>
                <c:pt idx="2">
                  <c:v>45973</c:v>
                </c:pt>
                <c:pt idx="3">
                  <c:v>45974</c:v>
                </c:pt>
                <c:pt idx="4">
                  <c:v>45975</c:v>
                </c:pt>
                <c:pt idx="5">
                  <c:v>45976</c:v>
                </c:pt>
                <c:pt idx="6">
                  <c:v>45977</c:v>
                </c:pt>
                <c:pt idx="7">
                  <c:v>45978</c:v>
                </c:pt>
                <c:pt idx="8">
                  <c:v>45979</c:v>
                </c:pt>
                <c:pt idx="9">
                  <c:v>45980</c:v>
                </c:pt>
                <c:pt idx="10">
                  <c:v>45981</c:v>
                </c:pt>
                <c:pt idx="11">
                  <c:v>45982</c:v>
                </c:pt>
                <c:pt idx="12">
                  <c:v>45983</c:v>
                </c:pt>
                <c:pt idx="13">
                  <c:v>45984</c:v>
                </c:pt>
                <c:pt idx="14">
                  <c:v>45985</c:v>
                </c:pt>
                <c:pt idx="15">
                  <c:v>45986</c:v>
                </c:pt>
                <c:pt idx="16">
                  <c:v>45987</c:v>
                </c:pt>
                <c:pt idx="17">
                  <c:v>45988</c:v>
                </c:pt>
                <c:pt idx="18">
                  <c:v>45989</c:v>
                </c:pt>
                <c:pt idx="19">
                  <c:v>45990</c:v>
                </c:pt>
                <c:pt idx="20">
                  <c:v>45991</c:v>
                </c:pt>
                <c:pt idx="21">
                  <c:v>45992</c:v>
                </c:pt>
                <c:pt idx="22">
                  <c:v>45993</c:v>
                </c:pt>
                <c:pt idx="23">
                  <c:v>45994</c:v>
                </c:pt>
                <c:pt idx="24">
                  <c:v>45995</c:v>
                </c:pt>
                <c:pt idx="25">
                  <c:v>45996</c:v>
                </c:pt>
                <c:pt idx="26">
                  <c:v>45997</c:v>
                </c:pt>
                <c:pt idx="27">
                  <c:v>45998</c:v>
                </c:pt>
                <c:pt idx="28">
                  <c:v>45999</c:v>
                </c:pt>
                <c:pt idx="29">
                  <c:v>46000</c:v>
                </c:pt>
                <c:pt idx="30">
                  <c:v>46001</c:v>
                </c:pt>
                <c:pt idx="31">
                  <c:v>46002</c:v>
                </c:pt>
                <c:pt idx="32">
                  <c:v>46003</c:v>
                </c:pt>
                <c:pt idx="33">
                  <c:v>46004</c:v>
                </c:pt>
                <c:pt idx="34">
                  <c:v>46005</c:v>
                </c:pt>
                <c:pt idx="35">
                  <c:v>46006</c:v>
                </c:pt>
                <c:pt idx="36">
                  <c:v>46007</c:v>
                </c:pt>
                <c:pt idx="37">
                  <c:v>46008</c:v>
                </c:pt>
                <c:pt idx="38">
                  <c:v>46009</c:v>
                </c:pt>
                <c:pt idx="39">
                  <c:v>46010</c:v>
                </c:pt>
                <c:pt idx="40">
                  <c:v>46011</c:v>
                </c:pt>
                <c:pt idx="41">
                  <c:v>46012</c:v>
                </c:pt>
                <c:pt idx="42">
                  <c:v>46013</c:v>
                </c:pt>
                <c:pt idx="43">
                  <c:v>46014</c:v>
                </c:pt>
                <c:pt idx="44">
                  <c:v>46015</c:v>
                </c:pt>
                <c:pt idx="45">
                  <c:v>46016</c:v>
                </c:pt>
                <c:pt idx="46">
                  <c:v>46017</c:v>
                </c:pt>
                <c:pt idx="47">
                  <c:v>46018</c:v>
                </c:pt>
                <c:pt idx="48">
                  <c:v>46019</c:v>
                </c:pt>
                <c:pt idx="49">
                  <c:v>46020</c:v>
                </c:pt>
                <c:pt idx="50">
                  <c:v>46021</c:v>
                </c:pt>
                <c:pt idx="51">
                  <c:v>46022</c:v>
                </c:pt>
                <c:pt idx="52">
                  <c:v>46023</c:v>
                </c:pt>
                <c:pt idx="53">
                  <c:v>46024</c:v>
                </c:pt>
                <c:pt idx="54">
                  <c:v>46025</c:v>
                </c:pt>
                <c:pt idx="55">
                  <c:v>46026</c:v>
                </c:pt>
                <c:pt idx="56">
                  <c:v>46027</c:v>
                </c:pt>
                <c:pt idx="57">
                  <c:v>46028</c:v>
                </c:pt>
                <c:pt idx="58">
                  <c:v>46029</c:v>
                </c:pt>
                <c:pt idx="59">
                  <c:v>46030</c:v>
                </c:pt>
                <c:pt idx="60">
                  <c:v>46031</c:v>
                </c:pt>
                <c:pt idx="61">
                  <c:v>46032</c:v>
                </c:pt>
                <c:pt idx="62">
                  <c:v>46033</c:v>
                </c:pt>
                <c:pt idx="63">
                  <c:v>46034</c:v>
                </c:pt>
                <c:pt idx="64">
                  <c:v>46035</c:v>
                </c:pt>
                <c:pt idx="65">
                  <c:v>46036</c:v>
                </c:pt>
                <c:pt idx="66">
                  <c:v>46037</c:v>
                </c:pt>
                <c:pt idx="67">
                  <c:v>46038</c:v>
                </c:pt>
                <c:pt idx="68">
                  <c:v>46039</c:v>
                </c:pt>
                <c:pt idx="69">
                  <c:v>46040</c:v>
                </c:pt>
                <c:pt idx="70">
                  <c:v>46041</c:v>
                </c:pt>
                <c:pt idx="71">
                  <c:v>46042</c:v>
                </c:pt>
                <c:pt idx="72">
                  <c:v>46043</c:v>
                </c:pt>
                <c:pt idx="73">
                  <c:v>46044</c:v>
                </c:pt>
                <c:pt idx="74">
                  <c:v>46045</c:v>
                </c:pt>
                <c:pt idx="75">
                  <c:v>46046</c:v>
                </c:pt>
                <c:pt idx="76">
                  <c:v>46047</c:v>
                </c:pt>
                <c:pt idx="77">
                  <c:v>46048</c:v>
                </c:pt>
                <c:pt idx="78">
                  <c:v>46049</c:v>
                </c:pt>
                <c:pt idx="79">
                  <c:v>46050</c:v>
                </c:pt>
                <c:pt idx="80">
                  <c:v>46051</c:v>
                </c:pt>
                <c:pt idx="81">
                  <c:v>46052</c:v>
                </c:pt>
                <c:pt idx="82">
                  <c:v>46053</c:v>
                </c:pt>
                <c:pt idx="83">
                  <c:v>46054</c:v>
                </c:pt>
                <c:pt idx="84">
                  <c:v>46055</c:v>
                </c:pt>
                <c:pt idx="85">
                  <c:v>46056</c:v>
                </c:pt>
                <c:pt idx="86">
                  <c:v>46057</c:v>
                </c:pt>
                <c:pt idx="87">
                  <c:v>46058</c:v>
                </c:pt>
                <c:pt idx="88">
                  <c:v>46059</c:v>
                </c:pt>
                <c:pt idx="89">
                  <c:v>46060</c:v>
                </c:pt>
                <c:pt idx="90">
                  <c:v>46061</c:v>
                </c:pt>
                <c:pt idx="91">
                  <c:v>46062</c:v>
                </c:pt>
                <c:pt idx="92">
                  <c:v>46063</c:v>
                </c:pt>
                <c:pt idx="93">
                  <c:v>46064</c:v>
                </c:pt>
                <c:pt idx="94">
                  <c:v>46065</c:v>
                </c:pt>
                <c:pt idx="95">
                  <c:v>46066</c:v>
                </c:pt>
                <c:pt idx="96">
                  <c:v>46067</c:v>
                </c:pt>
                <c:pt idx="97">
                  <c:v>46068</c:v>
                </c:pt>
                <c:pt idx="98">
                  <c:v>46069</c:v>
                </c:pt>
                <c:pt idx="99">
                  <c:v>46070</c:v>
                </c:pt>
                <c:pt idx="100">
                  <c:v>46071</c:v>
                </c:pt>
                <c:pt idx="101">
                  <c:v>46072</c:v>
                </c:pt>
                <c:pt idx="102">
                  <c:v>46073</c:v>
                </c:pt>
                <c:pt idx="103">
                  <c:v>46074</c:v>
                </c:pt>
                <c:pt idx="104">
                  <c:v>46075</c:v>
                </c:pt>
                <c:pt idx="105">
                  <c:v>46076</c:v>
                </c:pt>
                <c:pt idx="106">
                  <c:v>46077</c:v>
                </c:pt>
                <c:pt idx="107">
                  <c:v>46078</c:v>
                </c:pt>
                <c:pt idx="108">
                  <c:v>46079</c:v>
                </c:pt>
                <c:pt idx="109">
                  <c:v>46080</c:v>
                </c:pt>
              </c:numCache>
            </c:numRef>
          </c:xVal>
          <c:yVal>
            <c:numRef>
              <c:f>'Baseline 1 - Perfect, 24hr'!$AH$3:$AH$112</c:f>
              <c:numCache>
                <c:formatCode>General</c:formatCode>
                <c:ptCount val="110"/>
                <c:pt idx="0">
                  <c:v>-688</c:v>
                </c:pt>
                <c:pt idx="1">
                  <c:v>-688</c:v>
                </c:pt>
                <c:pt idx="2">
                  <c:v>-688</c:v>
                </c:pt>
                <c:pt idx="3">
                  <c:v>-688</c:v>
                </c:pt>
                <c:pt idx="4">
                  <c:v>-688</c:v>
                </c:pt>
                <c:pt idx="5">
                  <c:v>-688</c:v>
                </c:pt>
                <c:pt idx="6">
                  <c:v>-688</c:v>
                </c:pt>
                <c:pt idx="7">
                  <c:v>-688</c:v>
                </c:pt>
                <c:pt idx="8">
                  <c:v>-688</c:v>
                </c:pt>
                <c:pt idx="9">
                  <c:v>-688</c:v>
                </c:pt>
                <c:pt idx="10">
                  <c:v>-688</c:v>
                </c:pt>
                <c:pt idx="11">
                  <c:v>-688</c:v>
                </c:pt>
                <c:pt idx="12">
                  <c:v>-688</c:v>
                </c:pt>
                <c:pt idx="13">
                  <c:v>-688</c:v>
                </c:pt>
                <c:pt idx="14">
                  <c:v>-688</c:v>
                </c:pt>
                <c:pt idx="15">
                  <c:v>-688</c:v>
                </c:pt>
                <c:pt idx="16">
                  <c:v>-688</c:v>
                </c:pt>
                <c:pt idx="17">
                  <c:v>-688</c:v>
                </c:pt>
                <c:pt idx="18">
                  <c:v>-688</c:v>
                </c:pt>
                <c:pt idx="19">
                  <c:v>-688</c:v>
                </c:pt>
                <c:pt idx="20">
                  <c:v>-688</c:v>
                </c:pt>
                <c:pt idx="21">
                  <c:v>-688</c:v>
                </c:pt>
                <c:pt idx="22">
                  <c:v>-688</c:v>
                </c:pt>
                <c:pt idx="23">
                  <c:v>-688</c:v>
                </c:pt>
                <c:pt idx="24">
                  <c:v>-688</c:v>
                </c:pt>
                <c:pt idx="25">
                  <c:v>-688</c:v>
                </c:pt>
                <c:pt idx="26">
                  <c:v>-688</c:v>
                </c:pt>
                <c:pt idx="27">
                  <c:v>-688</c:v>
                </c:pt>
                <c:pt idx="28">
                  <c:v>-688</c:v>
                </c:pt>
                <c:pt idx="29">
                  <c:v>-688</c:v>
                </c:pt>
                <c:pt idx="30">
                  <c:v>-688</c:v>
                </c:pt>
                <c:pt idx="31">
                  <c:v>-688</c:v>
                </c:pt>
                <c:pt idx="32">
                  <c:v>-688</c:v>
                </c:pt>
                <c:pt idx="33">
                  <c:v>-688</c:v>
                </c:pt>
                <c:pt idx="34">
                  <c:v>-688</c:v>
                </c:pt>
                <c:pt idx="35">
                  <c:v>-688</c:v>
                </c:pt>
                <c:pt idx="36">
                  <c:v>-688</c:v>
                </c:pt>
                <c:pt idx="37">
                  <c:v>-688</c:v>
                </c:pt>
                <c:pt idx="38">
                  <c:v>-688</c:v>
                </c:pt>
                <c:pt idx="39">
                  <c:v>-688</c:v>
                </c:pt>
                <c:pt idx="40">
                  <c:v>-688</c:v>
                </c:pt>
                <c:pt idx="41">
                  <c:v>-688</c:v>
                </c:pt>
                <c:pt idx="42">
                  <c:v>-688</c:v>
                </c:pt>
                <c:pt idx="43">
                  <c:v>-688</c:v>
                </c:pt>
                <c:pt idx="44">
                  <c:v>-688</c:v>
                </c:pt>
                <c:pt idx="45">
                  <c:v>-688</c:v>
                </c:pt>
                <c:pt idx="46">
                  <c:v>-688</c:v>
                </c:pt>
                <c:pt idx="47">
                  <c:v>-688</c:v>
                </c:pt>
                <c:pt idx="48">
                  <c:v>-688</c:v>
                </c:pt>
                <c:pt idx="49">
                  <c:v>-688</c:v>
                </c:pt>
                <c:pt idx="50">
                  <c:v>-688</c:v>
                </c:pt>
                <c:pt idx="51">
                  <c:v>-688</c:v>
                </c:pt>
                <c:pt idx="52">
                  <c:v>-688</c:v>
                </c:pt>
                <c:pt idx="53">
                  <c:v>-688</c:v>
                </c:pt>
                <c:pt idx="54">
                  <c:v>-688</c:v>
                </c:pt>
                <c:pt idx="55">
                  <c:v>-688</c:v>
                </c:pt>
                <c:pt idx="56">
                  <c:v>-688</c:v>
                </c:pt>
                <c:pt idx="57">
                  <c:v>-688</c:v>
                </c:pt>
                <c:pt idx="58">
                  <c:v>-688</c:v>
                </c:pt>
                <c:pt idx="59">
                  <c:v>-688</c:v>
                </c:pt>
                <c:pt idx="60">
                  <c:v>-688</c:v>
                </c:pt>
                <c:pt idx="61">
                  <c:v>-688</c:v>
                </c:pt>
                <c:pt idx="62">
                  <c:v>-688</c:v>
                </c:pt>
                <c:pt idx="63">
                  <c:v>-688</c:v>
                </c:pt>
                <c:pt idx="64">
                  <c:v>-688</c:v>
                </c:pt>
                <c:pt idx="65">
                  <c:v>-688</c:v>
                </c:pt>
                <c:pt idx="66">
                  <c:v>-688</c:v>
                </c:pt>
                <c:pt idx="67">
                  <c:v>-688</c:v>
                </c:pt>
                <c:pt idx="68">
                  <c:v>-688</c:v>
                </c:pt>
                <c:pt idx="69">
                  <c:v>-688</c:v>
                </c:pt>
                <c:pt idx="70">
                  <c:v>-688</c:v>
                </c:pt>
                <c:pt idx="71">
                  <c:v>-688</c:v>
                </c:pt>
                <c:pt idx="72">
                  <c:v>-688</c:v>
                </c:pt>
                <c:pt idx="73">
                  <c:v>-688</c:v>
                </c:pt>
                <c:pt idx="74">
                  <c:v>-688</c:v>
                </c:pt>
                <c:pt idx="75">
                  <c:v>-688</c:v>
                </c:pt>
                <c:pt idx="76">
                  <c:v>-688</c:v>
                </c:pt>
                <c:pt idx="77">
                  <c:v>-688</c:v>
                </c:pt>
                <c:pt idx="78">
                  <c:v>-688</c:v>
                </c:pt>
                <c:pt idx="79">
                  <c:v>-688</c:v>
                </c:pt>
                <c:pt idx="80">
                  <c:v>-688</c:v>
                </c:pt>
                <c:pt idx="81">
                  <c:v>-688</c:v>
                </c:pt>
                <c:pt idx="82">
                  <c:v>-688</c:v>
                </c:pt>
                <c:pt idx="83">
                  <c:v>-688</c:v>
                </c:pt>
                <c:pt idx="84">
                  <c:v>-688</c:v>
                </c:pt>
                <c:pt idx="85">
                  <c:v>-688</c:v>
                </c:pt>
                <c:pt idx="86">
                  <c:v>-688</c:v>
                </c:pt>
                <c:pt idx="87">
                  <c:v>-688</c:v>
                </c:pt>
                <c:pt idx="88">
                  <c:v>-688</c:v>
                </c:pt>
                <c:pt idx="89">
                  <c:v>-688</c:v>
                </c:pt>
                <c:pt idx="90">
                  <c:v>-688</c:v>
                </c:pt>
                <c:pt idx="91">
                  <c:v>-688</c:v>
                </c:pt>
                <c:pt idx="92">
                  <c:v>-688</c:v>
                </c:pt>
                <c:pt idx="93">
                  <c:v>-688</c:v>
                </c:pt>
                <c:pt idx="94">
                  <c:v>-688</c:v>
                </c:pt>
                <c:pt idx="95">
                  <c:v>-688</c:v>
                </c:pt>
                <c:pt idx="96">
                  <c:v>-688</c:v>
                </c:pt>
                <c:pt idx="97">
                  <c:v>-688</c:v>
                </c:pt>
                <c:pt idx="98">
                  <c:v>-688</c:v>
                </c:pt>
                <c:pt idx="99">
                  <c:v>-688</c:v>
                </c:pt>
                <c:pt idx="100">
                  <c:v>-688</c:v>
                </c:pt>
                <c:pt idx="101">
                  <c:v>-688</c:v>
                </c:pt>
                <c:pt idx="102">
                  <c:v>-688</c:v>
                </c:pt>
                <c:pt idx="103">
                  <c:v>-688</c:v>
                </c:pt>
                <c:pt idx="104">
                  <c:v>-688</c:v>
                </c:pt>
                <c:pt idx="105">
                  <c:v>-688</c:v>
                </c:pt>
                <c:pt idx="106">
                  <c:v>-688</c:v>
                </c:pt>
                <c:pt idx="107">
                  <c:v>-688</c:v>
                </c:pt>
                <c:pt idx="108">
                  <c:v>-688</c:v>
                </c:pt>
                <c:pt idx="109">
                  <c:v>-688</c:v>
                </c:pt>
              </c:numCache>
            </c:numRef>
          </c:yVal>
          <c:smooth val="0"/>
          <c:extLst>
            <c:ext xmlns:c16="http://schemas.microsoft.com/office/drawing/2014/chart" uri="{C3380CC4-5D6E-409C-BE32-E72D297353CC}">
              <c16:uniqueId val="{00000005-96A1-441F-A2A1-36125F8FCE94}"/>
            </c:ext>
          </c:extLst>
        </c:ser>
        <c:ser>
          <c:idx val="4"/>
          <c:order val="5"/>
          <c:tx>
            <c:strRef>
              <c:f>'Baseline 1 - Perfect, 24hr'!$AC$1</c:f>
              <c:strCache>
                <c:ptCount val="1"/>
                <c:pt idx="0">
                  <c:v>Input</c:v>
                </c:pt>
              </c:strCache>
            </c:strRef>
          </c:tx>
          <c:spPr>
            <a:ln w="19050" cap="rnd">
              <a:solidFill>
                <a:schemeClr val="accent5"/>
              </a:solidFill>
              <a:round/>
            </a:ln>
            <a:effectLst/>
          </c:spPr>
          <c:marker>
            <c:symbol val="circle"/>
            <c:size val="12"/>
            <c:spPr>
              <a:solidFill>
                <a:srgbClr val="7030A0"/>
              </a:solidFill>
              <a:ln w="9525">
                <a:solidFill>
                  <a:srgbClr val="7030A0"/>
                </a:solidFill>
              </a:ln>
              <a:effectLst/>
            </c:spPr>
          </c:marker>
          <c:dPt>
            <c:idx val="0"/>
            <c:marker>
              <c:symbol val="triangle"/>
              <c:size val="12"/>
              <c:spPr>
                <a:solidFill>
                  <a:srgbClr val="7030A0"/>
                </a:solidFill>
                <a:ln w="9525">
                  <a:solidFill>
                    <a:srgbClr val="7030A0"/>
                  </a:solidFill>
                </a:ln>
                <a:effectLst/>
              </c:spPr>
            </c:marker>
            <c:bubble3D val="0"/>
            <c:extLst>
              <c:ext xmlns:c16="http://schemas.microsoft.com/office/drawing/2014/chart" uri="{C3380CC4-5D6E-409C-BE32-E72D297353CC}">
                <c16:uniqueId val="{00000006-96A1-441F-A2A1-36125F8FCE94}"/>
              </c:ext>
            </c:extLst>
          </c:dPt>
          <c:xVal>
            <c:numRef>
              <c:f>'Baseline 1 - Perfect, 24hr'!$B$3</c:f>
              <c:numCache>
                <c:formatCode>m/d/yyyy</c:formatCode>
                <c:ptCount val="1"/>
                <c:pt idx="0">
                  <c:v>45971</c:v>
                </c:pt>
              </c:numCache>
            </c:numRef>
          </c:xVal>
          <c:yVal>
            <c:numRef>
              <c:f>'Baseline 1 - Perfect, 24hr'!$AC$3</c:f>
              <c:numCache>
                <c:formatCode>General</c:formatCode>
                <c:ptCount val="1"/>
                <c:pt idx="0">
                  <c:v>0</c:v>
                </c:pt>
              </c:numCache>
            </c:numRef>
          </c:yVal>
          <c:smooth val="0"/>
          <c:extLst>
            <c:ext xmlns:c16="http://schemas.microsoft.com/office/drawing/2014/chart" uri="{C3380CC4-5D6E-409C-BE32-E72D297353CC}">
              <c16:uniqueId val="{00000007-96A1-441F-A2A1-36125F8FCE94}"/>
            </c:ext>
          </c:extLst>
        </c:ser>
        <c:ser>
          <c:idx val="5"/>
          <c:order val="6"/>
          <c:tx>
            <c:strRef>
              <c:f>'Baseline 1 - Perfect, 24hr'!$AI$1</c:f>
              <c:strCache>
                <c:ptCount val="1"/>
                <c:pt idx="0">
                  <c:v>Able to Output</c:v>
                </c:pt>
              </c:strCache>
            </c:strRef>
          </c:tx>
          <c:spPr>
            <a:ln w="19050" cap="rnd">
              <a:solidFill>
                <a:schemeClr val="accent6"/>
              </a:solidFill>
              <a:round/>
            </a:ln>
            <a:effectLst/>
          </c:spPr>
          <c:marker>
            <c:symbol val="circle"/>
            <c:size val="12"/>
            <c:spPr>
              <a:solidFill>
                <a:srgbClr val="7030A0"/>
              </a:solidFill>
              <a:ln w="9525">
                <a:solidFill>
                  <a:srgbClr val="7030A0"/>
                </a:solidFill>
              </a:ln>
              <a:effectLst/>
            </c:spPr>
          </c:marker>
          <c:xVal>
            <c:numRef>
              <c:f>'Baseline 1 - Perfect, 24hr'!$B$3:$B$112</c:f>
              <c:numCache>
                <c:formatCode>m/d/yyyy</c:formatCode>
                <c:ptCount val="110"/>
                <c:pt idx="0">
                  <c:v>45971</c:v>
                </c:pt>
                <c:pt idx="1">
                  <c:v>45972</c:v>
                </c:pt>
                <c:pt idx="2">
                  <c:v>45973</c:v>
                </c:pt>
                <c:pt idx="3">
                  <c:v>45974</c:v>
                </c:pt>
                <c:pt idx="4">
                  <c:v>45975</c:v>
                </c:pt>
                <c:pt idx="5">
                  <c:v>45976</c:v>
                </c:pt>
                <c:pt idx="6">
                  <c:v>45977</c:v>
                </c:pt>
                <c:pt idx="7">
                  <c:v>45978</c:v>
                </c:pt>
                <c:pt idx="8">
                  <c:v>45979</c:v>
                </c:pt>
                <c:pt idx="9">
                  <c:v>45980</c:v>
                </c:pt>
                <c:pt idx="10">
                  <c:v>45981</c:v>
                </c:pt>
                <c:pt idx="11">
                  <c:v>45982</c:v>
                </c:pt>
                <c:pt idx="12">
                  <c:v>45983</c:v>
                </c:pt>
                <c:pt idx="13">
                  <c:v>45984</c:v>
                </c:pt>
                <c:pt idx="14">
                  <c:v>45985</c:v>
                </c:pt>
                <c:pt idx="15">
                  <c:v>45986</c:v>
                </c:pt>
                <c:pt idx="16">
                  <c:v>45987</c:v>
                </c:pt>
                <c:pt idx="17">
                  <c:v>45988</c:v>
                </c:pt>
                <c:pt idx="18">
                  <c:v>45989</c:v>
                </c:pt>
                <c:pt idx="19">
                  <c:v>45990</c:v>
                </c:pt>
                <c:pt idx="20">
                  <c:v>45991</c:v>
                </c:pt>
                <c:pt idx="21">
                  <c:v>45992</c:v>
                </c:pt>
                <c:pt idx="22">
                  <c:v>45993</c:v>
                </c:pt>
                <c:pt idx="23">
                  <c:v>45994</c:v>
                </c:pt>
                <c:pt idx="24">
                  <c:v>45995</c:v>
                </c:pt>
                <c:pt idx="25">
                  <c:v>45996</c:v>
                </c:pt>
                <c:pt idx="26">
                  <c:v>45997</c:v>
                </c:pt>
                <c:pt idx="27">
                  <c:v>45998</c:v>
                </c:pt>
                <c:pt idx="28">
                  <c:v>45999</c:v>
                </c:pt>
                <c:pt idx="29">
                  <c:v>46000</c:v>
                </c:pt>
                <c:pt idx="30">
                  <c:v>46001</c:v>
                </c:pt>
                <c:pt idx="31">
                  <c:v>46002</c:v>
                </c:pt>
                <c:pt idx="32">
                  <c:v>46003</c:v>
                </c:pt>
                <c:pt idx="33">
                  <c:v>46004</c:v>
                </c:pt>
                <c:pt idx="34">
                  <c:v>46005</c:v>
                </c:pt>
                <c:pt idx="35">
                  <c:v>46006</c:v>
                </c:pt>
                <c:pt idx="36">
                  <c:v>46007</c:v>
                </c:pt>
                <c:pt idx="37">
                  <c:v>46008</c:v>
                </c:pt>
                <c:pt idx="38">
                  <c:v>46009</c:v>
                </c:pt>
                <c:pt idx="39">
                  <c:v>46010</c:v>
                </c:pt>
                <c:pt idx="40">
                  <c:v>46011</c:v>
                </c:pt>
                <c:pt idx="41">
                  <c:v>46012</c:v>
                </c:pt>
                <c:pt idx="42">
                  <c:v>46013</c:v>
                </c:pt>
                <c:pt idx="43">
                  <c:v>46014</c:v>
                </c:pt>
                <c:pt idx="44">
                  <c:v>46015</c:v>
                </c:pt>
                <c:pt idx="45">
                  <c:v>46016</c:v>
                </c:pt>
                <c:pt idx="46">
                  <c:v>46017</c:v>
                </c:pt>
                <c:pt idx="47">
                  <c:v>46018</c:v>
                </c:pt>
                <c:pt idx="48">
                  <c:v>46019</c:v>
                </c:pt>
                <c:pt idx="49">
                  <c:v>46020</c:v>
                </c:pt>
                <c:pt idx="50">
                  <c:v>46021</c:v>
                </c:pt>
                <c:pt idx="51">
                  <c:v>46022</c:v>
                </c:pt>
                <c:pt idx="52">
                  <c:v>46023</c:v>
                </c:pt>
                <c:pt idx="53">
                  <c:v>46024</c:v>
                </c:pt>
                <c:pt idx="54">
                  <c:v>46025</c:v>
                </c:pt>
                <c:pt idx="55">
                  <c:v>46026</c:v>
                </c:pt>
                <c:pt idx="56">
                  <c:v>46027</c:v>
                </c:pt>
                <c:pt idx="57">
                  <c:v>46028</c:v>
                </c:pt>
                <c:pt idx="58">
                  <c:v>46029</c:v>
                </c:pt>
                <c:pt idx="59">
                  <c:v>46030</c:v>
                </c:pt>
                <c:pt idx="60">
                  <c:v>46031</c:v>
                </c:pt>
                <c:pt idx="61">
                  <c:v>46032</c:v>
                </c:pt>
                <c:pt idx="62">
                  <c:v>46033</c:v>
                </c:pt>
                <c:pt idx="63">
                  <c:v>46034</c:v>
                </c:pt>
                <c:pt idx="64">
                  <c:v>46035</c:v>
                </c:pt>
                <c:pt idx="65">
                  <c:v>46036</c:v>
                </c:pt>
                <c:pt idx="66">
                  <c:v>46037</c:v>
                </c:pt>
                <c:pt idx="67">
                  <c:v>46038</c:v>
                </c:pt>
                <c:pt idx="68">
                  <c:v>46039</c:v>
                </c:pt>
                <c:pt idx="69">
                  <c:v>46040</c:v>
                </c:pt>
                <c:pt idx="70">
                  <c:v>46041</c:v>
                </c:pt>
                <c:pt idx="71">
                  <c:v>46042</c:v>
                </c:pt>
                <c:pt idx="72">
                  <c:v>46043</c:v>
                </c:pt>
                <c:pt idx="73">
                  <c:v>46044</c:v>
                </c:pt>
                <c:pt idx="74">
                  <c:v>46045</c:v>
                </c:pt>
                <c:pt idx="75">
                  <c:v>46046</c:v>
                </c:pt>
                <c:pt idx="76">
                  <c:v>46047</c:v>
                </c:pt>
                <c:pt idx="77">
                  <c:v>46048</c:v>
                </c:pt>
                <c:pt idx="78">
                  <c:v>46049</c:v>
                </c:pt>
                <c:pt idx="79">
                  <c:v>46050</c:v>
                </c:pt>
                <c:pt idx="80">
                  <c:v>46051</c:v>
                </c:pt>
                <c:pt idx="81">
                  <c:v>46052</c:v>
                </c:pt>
                <c:pt idx="82">
                  <c:v>46053</c:v>
                </c:pt>
                <c:pt idx="83">
                  <c:v>46054</c:v>
                </c:pt>
                <c:pt idx="84">
                  <c:v>46055</c:v>
                </c:pt>
                <c:pt idx="85">
                  <c:v>46056</c:v>
                </c:pt>
                <c:pt idx="86">
                  <c:v>46057</c:v>
                </c:pt>
                <c:pt idx="87">
                  <c:v>46058</c:v>
                </c:pt>
                <c:pt idx="88">
                  <c:v>46059</c:v>
                </c:pt>
                <c:pt idx="89">
                  <c:v>46060</c:v>
                </c:pt>
                <c:pt idx="90">
                  <c:v>46061</c:v>
                </c:pt>
                <c:pt idx="91">
                  <c:v>46062</c:v>
                </c:pt>
                <c:pt idx="92">
                  <c:v>46063</c:v>
                </c:pt>
                <c:pt idx="93">
                  <c:v>46064</c:v>
                </c:pt>
                <c:pt idx="94">
                  <c:v>46065</c:v>
                </c:pt>
                <c:pt idx="95">
                  <c:v>46066</c:v>
                </c:pt>
                <c:pt idx="96">
                  <c:v>46067</c:v>
                </c:pt>
                <c:pt idx="97">
                  <c:v>46068</c:v>
                </c:pt>
                <c:pt idx="98">
                  <c:v>46069</c:v>
                </c:pt>
                <c:pt idx="99">
                  <c:v>46070</c:v>
                </c:pt>
                <c:pt idx="100">
                  <c:v>46071</c:v>
                </c:pt>
                <c:pt idx="101">
                  <c:v>46072</c:v>
                </c:pt>
                <c:pt idx="102">
                  <c:v>46073</c:v>
                </c:pt>
                <c:pt idx="103">
                  <c:v>46074</c:v>
                </c:pt>
                <c:pt idx="104">
                  <c:v>46075</c:v>
                </c:pt>
                <c:pt idx="105">
                  <c:v>46076</c:v>
                </c:pt>
                <c:pt idx="106">
                  <c:v>46077</c:v>
                </c:pt>
                <c:pt idx="107">
                  <c:v>46078</c:v>
                </c:pt>
                <c:pt idx="108">
                  <c:v>46079</c:v>
                </c:pt>
                <c:pt idx="109">
                  <c:v>46080</c:v>
                </c:pt>
              </c:numCache>
            </c:numRef>
          </c:xVal>
          <c:yVal>
            <c:numRef>
              <c:f>'Baseline 1 - Perfect, 24hr'!$AI$3:$AI$112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0</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6="http://schemas.microsoft.com/office/drawing/2014/chart" uri="{C3380CC4-5D6E-409C-BE32-E72D297353CC}">
              <c16:uniqueId val="{00000008-96A1-441F-A2A1-36125F8FCE94}"/>
            </c:ext>
          </c:extLst>
        </c:ser>
        <c:ser>
          <c:idx val="7"/>
          <c:order val="7"/>
          <c:tx>
            <c:strRef>
              <c:f>'Drilling Spec'!$A$40</c:f>
              <c:strCache>
                <c:ptCount val="1"/>
              </c:strCache>
            </c:strRef>
          </c:tx>
          <c:spPr>
            <a:ln w="19050" cap="rnd">
              <a:solidFill>
                <a:schemeClr val="accent2">
                  <a:lumMod val="60000"/>
                </a:schemeClr>
              </a:solidFill>
              <a:round/>
            </a:ln>
            <a:effectLst/>
          </c:spPr>
          <c:marker>
            <c:symbol val="x"/>
            <c:size val="18"/>
            <c:spPr>
              <a:noFill/>
              <a:ln w="57150">
                <a:solidFill>
                  <a:srgbClr val="FF0000"/>
                </a:solidFill>
              </a:ln>
              <a:effectLst/>
            </c:spPr>
          </c:marker>
          <c:xVal>
            <c:numRef>
              <c:f>'04-07-25-Scen3-Good,24-16hr'!$BF$5</c:f>
              <c:numCache>
                <c:formatCode>m/d/yyyy</c:formatCode>
                <c:ptCount val="1"/>
                <c:pt idx="0">
                  <c:v>46055</c:v>
                </c:pt>
              </c:numCache>
            </c:numRef>
          </c:xVal>
          <c:yVal>
            <c:numLit>
              <c:formatCode>General</c:formatCode>
              <c:ptCount val="1"/>
              <c:pt idx="0">
                <c:v>0</c:v>
              </c:pt>
            </c:numLit>
          </c:yVal>
          <c:smooth val="0"/>
          <c:extLst>
            <c:ext xmlns:c16="http://schemas.microsoft.com/office/drawing/2014/chart" uri="{C3380CC4-5D6E-409C-BE32-E72D297353CC}">
              <c16:uniqueId val="{00000009-96A1-441F-A2A1-36125F8FCE94}"/>
            </c:ext>
          </c:extLst>
        </c:ser>
        <c:ser>
          <c:idx val="8"/>
          <c:order val="8"/>
          <c:tx>
            <c:strRef>
              <c:f>'Baseline 1 - Perfect, 24hr'!$AK$1</c:f>
              <c:strCache>
                <c:ptCount val="1"/>
                <c:pt idx="0">
                  <c:v>Drill Fluid Still Needed In</c:v>
                </c:pt>
              </c:strCache>
            </c:strRef>
          </c:tx>
          <c:spPr>
            <a:ln w="19050" cap="rnd">
              <a:solidFill>
                <a:schemeClr val="accent3">
                  <a:lumMod val="60000"/>
                </a:schemeClr>
              </a:solidFill>
              <a:round/>
            </a:ln>
            <a:effectLst/>
          </c:spPr>
          <c:marker>
            <c:symbol val="x"/>
            <c:size val="10"/>
            <c:spPr>
              <a:solidFill>
                <a:schemeClr val="bg1"/>
              </a:solidFill>
              <a:ln w="31750">
                <a:solidFill>
                  <a:schemeClr val="tx2">
                    <a:lumMod val="50000"/>
                    <a:lumOff val="50000"/>
                  </a:schemeClr>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96A1-441F-A2A1-36125F8FCE94}"/>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96A1-441F-A2A1-36125F8FCE94}"/>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96A1-441F-A2A1-36125F8FCE94}"/>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96A1-441F-A2A1-36125F8FCE94}"/>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96A1-441F-A2A1-36125F8FCE94}"/>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96A1-441F-A2A1-36125F8FCE94}"/>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96A1-441F-A2A1-36125F8FCE94}"/>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96A1-441F-A2A1-36125F8FCE94}"/>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96A1-441F-A2A1-36125F8FCE94}"/>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96A1-441F-A2A1-36125F8FCE94}"/>
                </c:ext>
              </c:extLst>
            </c:dLbl>
            <c:dLbl>
              <c:idx val="10"/>
              <c:tx>
                <c:rich>
                  <a:bodyPr/>
                  <a:lstStyle/>
                  <a:p>
                    <a:fld id="{D0F0EAF8-47CF-4DBC-ACDB-0498AFB88CA4}"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96A1-441F-A2A1-36125F8FCE94}"/>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96A1-441F-A2A1-36125F8FCE94}"/>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96A1-441F-A2A1-36125F8FCE94}"/>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96A1-441F-A2A1-36125F8FCE94}"/>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96A1-441F-A2A1-36125F8FCE94}"/>
                </c:ext>
              </c:extLst>
            </c:dLbl>
            <c:dLbl>
              <c:idx val="15"/>
              <c:tx>
                <c:rich>
                  <a:bodyPr/>
                  <a:lstStyle/>
                  <a:p>
                    <a:fld id="{F3B8743A-6A0B-437D-88FE-C3FCDC8214D8}"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96A1-441F-A2A1-36125F8FCE94}"/>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96A1-441F-A2A1-36125F8FCE94}"/>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96A1-441F-A2A1-36125F8FCE94}"/>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96A1-441F-A2A1-36125F8FCE94}"/>
                </c:ext>
              </c:extLst>
            </c:dLbl>
            <c:dLbl>
              <c:idx val="19"/>
              <c:tx>
                <c:rich>
                  <a:bodyPr/>
                  <a:lstStyle/>
                  <a:p>
                    <a:fld id="{3C69B80B-9050-42CD-8DD7-FE11AED16DE3}"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96A1-441F-A2A1-36125F8FCE94}"/>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96A1-441F-A2A1-36125F8FCE94}"/>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96A1-441F-A2A1-36125F8FCE94}"/>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96A1-441F-A2A1-36125F8FCE94}"/>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96A1-441F-A2A1-36125F8FCE94}"/>
                </c:ext>
              </c:extLst>
            </c:dLbl>
            <c:dLbl>
              <c:idx val="24"/>
              <c:tx>
                <c:rich>
                  <a:bodyPr/>
                  <a:lstStyle/>
                  <a:p>
                    <a:fld id="{6B9242F4-41D6-4BF6-9B7F-4B33933419E8}"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96A1-441F-A2A1-36125F8FCE94}"/>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96A1-441F-A2A1-36125F8FCE94}"/>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96A1-441F-A2A1-36125F8FCE94}"/>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96A1-441F-A2A1-36125F8FCE94}"/>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96A1-441F-A2A1-36125F8FCE94}"/>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96A1-441F-A2A1-36125F8FCE94}"/>
                </c:ext>
              </c:extLst>
            </c:dLbl>
            <c:dLbl>
              <c:idx val="30"/>
              <c:tx>
                <c:rich>
                  <a:bodyPr/>
                  <a:lstStyle/>
                  <a:p>
                    <a:fld id="{432CEB71-32E0-4DD3-A15B-4DD2D28B2D23}"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8-96A1-441F-A2A1-36125F8FCE94}"/>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96A1-441F-A2A1-36125F8FCE94}"/>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96A1-441F-A2A1-36125F8FCE94}"/>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96A1-441F-A2A1-36125F8FCE94}"/>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96A1-441F-A2A1-36125F8FCE94}"/>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96A1-441F-A2A1-36125F8FCE94}"/>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96A1-441F-A2A1-36125F8FCE94}"/>
                </c:ext>
              </c:extLst>
            </c:dLbl>
            <c:dLbl>
              <c:idx val="37"/>
              <c:tx>
                <c:rich>
                  <a:bodyPr/>
                  <a:lstStyle/>
                  <a:p>
                    <a:fld id="{8E3A7D10-3862-4E82-B24F-941F242A40C1}"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96A1-441F-A2A1-36125F8FCE94}"/>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96A1-441F-A2A1-36125F8FCE94}"/>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96A1-441F-A2A1-36125F8FCE94}"/>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96A1-441F-A2A1-36125F8FCE94}"/>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96A1-441F-A2A1-36125F8FCE94}"/>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96A1-441F-A2A1-36125F8FCE94}"/>
                </c:ext>
              </c:extLst>
            </c:dLbl>
            <c:dLbl>
              <c:idx val="43"/>
              <c:tx>
                <c:rich>
                  <a:bodyPr/>
                  <a:lstStyle/>
                  <a:p>
                    <a:fld id="{0EADED28-054C-4456-96A8-6B4155445202}"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5-96A1-441F-A2A1-36125F8FCE94}"/>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96A1-441F-A2A1-36125F8FCE94}"/>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96A1-441F-A2A1-36125F8FCE94}"/>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96A1-441F-A2A1-36125F8FCE94}"/>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96A1-441F-A2A1-36125F8FCE94}"/>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96A1-441F-A2A1-36125F8FCE94}"/>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96A1-441F-A2A1-36125F8FCE94}"/>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96A1-441F-A2A1-36125F8FCE94}"/>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96A1-441F-A2A1-36125F8FCE94}"/>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96A1-441F-A2A1-36125F8FCE94}"/>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96A1-441F-A2A1-36125F8FCE94}"/>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96A1-441F-A2A1-36125F8FCE94}"/>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96A1-441F-A2A1-36125F8FCE94}"/>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96A1-441F-A2A1-36125F8FCE94}"/>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96A1-441F-A2A1-36125F8FCE94}"/>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96A1-441F-A2A1-36125F8FCE94}"/>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96A1-441F-A2A1-36125F8FCE94}"/>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96A1-441F-A2A1-36125F8FCE94}"/>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7-96A1-441F-A2A1-36125F8FCE94}"/>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96A1-441F-A2A1-36125F8FCE94}"/>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96A1-441F-A2A1-36125F8FCE94}"/>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96A1-441F-A2A1-36125F8FCE94}"/>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96A1-441F-A2A1-36125F8FCE94}"/>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96A1-441F-A2A1-36125F8FCE94}"/>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96A1-441F-A2A1-36125F8FCE94}"/>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96A1-441F-A2A1-36125F8FCE94}"/>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96A1-441F-A2A1-36125F8FCE94}"/>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96A1-441F-A2A1-36125F8FCE94}"/>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96A1-441F-A2A1-36125F8FCE94}"/>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96A1-441F-A2A1-36125F8FCE94}"/>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96A1-441F-A2A1-36125F8FCE94}"/>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96A1-441F-A2A1-36125F8FCE94}"/>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96A1-441F-A2A1-36125F8FCE94}"/>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96A1-441F-A2A1-36125F8FCE94}"/>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96A1-441F-A2A1-36125F8FCE94}"/>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96A1-441F-A2A1-36125F8FCE94}"/>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96A1-441F-A2A1-36125F8FCE94}"/>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96A1-441F-A2A1-36125F8FCE94}"/>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96A1-441F-A2A1-36125F8FCE94}"/>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96A1-441F-A2A1-36125F8FCE94}"/>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96A1-441F-A2A1-36125F8FCE94}"/>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96A1-441F-A2A1-36125F8FCE94}"/>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F-96A1-441F-A2A1-36125F8FCE94}"/>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0-96A1-441F-A2A1-36125F8FCE94}"/>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1-96A1-441F-A2A1-36125F8FCE94}"/>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2-96A1-441F-A2A1-36125F8FCE94}"/>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3-96A1-441F-A2A1-36125F8FCE94}"/>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4-96A1-441F-A2A1-36125F8FCE94}"/>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5-96A1-441F-A2A1-36125F8FCE94}"/>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6-96A1-441F-A2A1-36125F8FCE94}"/>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7-96A1-441F-A2A1-36125F8FCE94}"/>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8-96A1-441F-A2A1-36125F8FCE94}"/>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9-96A1-441F-A2A1-36125F8FCE94}"/>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A-96A1-441F-A2A1-36125F8FCE94}"/>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B-96A1-441F-A2A1-36125F8FCE94}"/>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C-96A1-441F-A2A1-36125F8FCE94}"/>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D-96A1-441F-A2A1-36125F8FCE94}"/>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E-96A1-441F-A2A1-36125F8FCE94}"/>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F-96A1-441F-A2A1-36125F8FCE94}"/>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0-96A1-441F-A2A1-36125F8FCE94}"/>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1-96A1-441F-A2A1-36125F8FCE94}"/>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2-96A1-441F-A2A1-36125F8FCE94}"/>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3-96A1-441F-A2A1-36125F8FCE94}"/>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4-96A1-441F-A2A1-36125F8FCE94}"/>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5-96A1-441F-A2A1-36125F8FCE94}"/>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6-96A1-441F-A2A1-36125F8FCE94}"/>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7-96A1-441F-A2A1-36125F8FCE9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2">
                          <a:lumMod val="50000"/>
                          <a:lumOff val="50000"/>
                        </a:schemeClr>
                      </a:solidFill>
                    </a:ln>
                    <a:solidFill>
                      <a:schemeClr val="tx2">
                        <a:lumMod val="50000"/>
                        <a:lumOff val="50000"/>
                      </a:schemeClr>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'Baseline 1 - Perfect, 24hr'!$B$3:$B$112</c:f>
              <c:numCache>
                <c:formatCode>m/d/yyyy</c:formatCode>
                <c:ptCount val="110"/>
                <c:pt idx="0">
                  <c:v>45971</c:v>
                </c:pt>
                <c:pt idx="1">
                  <c:v>45972</c:v>
                </c:pt>
                <c:pt idx="2">
                  <c:v>45973</c:v>
                </c:pt>
                <c:pt idx="3">
                  <c:v>45974</c:v>
                </c:pt>
                <c:pt idx="4">
                  <c:v>45975</c:v>
                </c:pt>
                <c:pt idx="5">
                  <c:v>45976</c:v>
                </c:pt>
                <c:pt idx="6">
                  <c:v>45977</c:v>
                </c:pt>
                <c:pt idx="7">
                  <c:v>45978</c:v>
                </c:pt>
                <c:pt idx="8">
                  <c:v>45979</c:v>
                </c:pt>
                <c:pt idx="9">
                  <c:v>45980</c:v>
                </c:pt>
                <c:pt idx="10">
                  <c:v>45981</c:v>
                </c:pt>
                <c:pt idx="11">
                  <c:v>45982</c:v>
                </c:pt>
                <c:pt idx="12">
                  <c:v>45983</c:v>
                </c:pt>
                <c:pt idx="13">
                  <c:v>45984</c:v>
                </c:pt>
                <c:pt idx="14">
                  <c:v>45985</c:v>
                </c:pt>
                <c:pt idx="15">
                  <c:v>45986</c:v>
                </c:pt>
                <c:pt idx="16">
                  <c:v>45987</c:v>
                </c:pt>
                <c:pt idx="17">
                  <c:v>45988</c:v>
                </c:pt>
                <c:pt idx="18">
                  <c:v>45989</c:v>
                </c:pt>
                <c:pt idx="19">
                  <c:v>45990</c:v>
                </c:pt>
                <c:pt idx="20">
                  <c:v>45991</c:v>
                </c:pt>
                <c:pt idx="21">
                  <c:v>45992</c:v>
                </c:pt>
                <c:pt idx="22">
                  <c:v>45993</c:v>
                </c:pt>
                <c:pt idx="23">
                  <c:v>45994</c:v>
                </c:pt>
                <c:pt idx="24">
                  <c:v>45995</c:v>
                </c:pt>
                <c:pt idx="25">
                  <c:v>45996</c:v>
                </c:pt>
                <c:pt idx="26">
                  <c:v>45997</c:v>
                </c:pt>
                <c:pt idx="27">
                  <c:v>45998</c:v>
                </c:pt>
                <c:pt idx="28">
                  <c:v>45999</c:v>
                </c:pt>
                <c:pt idx="29">
                  <c:v>46000</c:v>
                </c:pt>
                <c:pt idx="30">
                  <c:v>46001</c:v>
                </c:pt>
                <c:pt idx="31">
                  <c:v>46002</c:v>
                </c:pt>
                <c:pt idx="32">
                  <c:v>46003</c:v>
                </c:pt>
                <c:pt idx="33">
                  <c:v>46004</c:v>
                </c:pt>
                <c:pt idx="34">
                  <c:v>46005</c:v>
                </c:pt>
                <c:pt idx="35">
                  <c:v>46006</c:v>
                </c:pt>
                <c:pt idx="36">
                  <c:v>46007</c:v>
                </c:pt>
                <c:pt idx="37">
                  <c:v>46008</c:v>
                </c:pt>
                <c:pt idx="38">
                  <c:v>46009</c:v>
                </c:pt>
                <c:pt idx="39">
                  <c:v>46010</c:v>
                </c:pt>
                <c:pt idx="40">
                  <c:v>46011</c:v>
                </c:pt>
                <c:pt idx="41">
                  <c:v>46012</c:v>
                </c:pt>
                <c:pt idx="42">
                  <c:v>46013</c:v>
                </c:pt>
                <c:pt idx="43">
                  <c:v>46014</c:v>
                </c:pt>
                <c:pt idx="44">
                  <c:v>46015</c:v>
                </c:pt>
                <c:pt idx="45">
                  <c:v>46016</c:v>
                </c:pt>
                <c:pt idx="46">
                  <c:v>46017</c:v>
                </c:pt>
                <c:pt idx="47">
                  <c:v>46018</c:v>
                </c:pt>
                <c:pt idx="48">
                  <c:v>46019</c:v>
                </c:pt>
                <c:pt idx="49">
                  <c:v>46020</c:v>
                </c:pt>
                <c:pt idx="50">
                  <c:v>46021</c:v>
                </c:pt>
                <c:pt idx="51">
                  <c:v>46022</c:v>
                </c:pt>
                <c:pt idx="52">
                  <c:v>46023</c:v>
                </c:pt>
                <c:pt idx="53">
                  <c:v>46024</c:v>
                </c:pt>
                <c:pt idx="54">
                  <c:v>46025</c:v>
                </c:pt>
                <c:pt idx="55">
                  <c:v>46026</c:v>
                </c:pt>
                <c:pt idx="56">
                  <c:v>46027</c:v>
                </c:pt>
                <c:pt idx="57">
                  <c:v>46028</c:v>
                </c:pt>
                <c:pt idx="58">
                  <c:v>46029</c:v>
                </c:pt>
                <c:pt idx="59">
                  <c:v>46030</c:v>
                </c:pt>
                <c:pt idx="60">
                  <c:v>46031</c:v>
                </c:pt>
                <c:pt idx="61">
                  <c:v>46032</c:v>
                </c:pt>
                <c:pt idx="62">
                  <c:v>46033</c:v>
                </c:pt>
                <c:pt idx="63">
                  <c:v>46034</c:v>
                </c:pt>
                <c:pt idx="64">
                  <c:v>46035</c:v>
                </c:pt>
                <c:pt idx="65">
                  <c:v>46036</c:v>
                </c:pt>
                <c:pt idx="66">
                  <c:v>46037</c:v>
                </c:pt>
                <c:pt idx="67">
                  <c:v>46038</c:v>
                </c:pt>
                <c:pt idx="68">
                  <c:v>46039</c:v>
                </c:pt>
                <c:pt idx="69">
                  <c:v>46040</c:v>
                </c:pt>
                <c:pt idx="70">
                  <c:v>46041</c:v>
                </c:pt>
                <c:pt idx="71">
                  <c:v>46042</c:v>
                </c:pt>
                <c:pt idx="72">
                  <c:v>46043</c:v>
                </c:pt>
                <c:pt idx="73">
                  <c:v>46044</c:v>
                </c:pt>
                <c:pt idx="74">
                  <c:v>46045</c:v>
                </c:pt>
                <c:pt idx="75">
                  <c:v>46046</c:v>
                </c:pt>
                <c:pt idx="76">
                  <c:v>46047</c:v>
                </c:pt>
                <c:pt idx="77">
                  <c:v>46048</c:v>
                </c:pt>
                <c:pt idx="78">
                  <c:v>46049</c:v>
                </c:pt>
                <c:pt idx="79">
                  <c:v>46050</c:v>
                </c:pt>
                <c:pt idx="80">
                  <c:v>46051</c:v>
                </c:pt>
                <c:pt idx="81">
                  <c:v>46052</c:v>
                </c:pt>
                <c:pt idx="82">
                  <c:v>46053</c:v>
                </c:pt>
                <c:pt idx="83">
                  <c:v>46054</c:v>
                </c:pt>
                <c:pt idx="84">
                  <c:v>46055</c:v>
                </c:pt>
                <c:pt idx="85">
                  <c:v>46056</c:v>
                </c:pt>
                <c:pt idx="86">
                  <c:v>46057</c:v>
                </c:pt>
                <c:pt idx="87">
                  <c:v>46058</c:v>
                </c:pt>
                <c:pt idx="88">
                  <c:v>46059</c:v>
                </c:pt>
                <c:pt idx="89">
                  <c:v>46060</c:v>
                </c:pt>
                <c:pt idx="90">
                  <c:v>46061</c:v>
                </c:pt>
                <c:pt idx="91">
                  <c:v>46062</c:v>
                </c:pt>
                <c:pt idx="92">
                  <c:v>46063</c:v>
                </c:pt>
                <c:pt idx="93">
                  <c:v>46064</c:v>
                </c:pt>
                <c:pt idx="94">
                  <c:v>46065</c:v>
                </c:pt>
                <c:pt idx="95">
                  <c:v>46066</c:v>
                </c:pt>
                <c:pt idx="96">
                  <c:v>46067</c:v>
                </c:pt>
                <c:pt idx="97">
                  <c:v>46068</c:v>
                </c:pt>
                <c:pt idx="98">
                  <c:v>46069</c:v>
                </c:pt>
                <c:pt idx="99">
                  <c:v>46070</c:v>
                </c:pt>
                <c:pt idx="100">
                  <c:v>46071</c:v>
                </c:pt>
                <c:pt idx="101">
                  <c:v>46072</c:v>
                </c:pt>
                <c:pt idx="102">
                  <c:v>46073</c:v>
                </c:pt>
                <c:pt idx="103">
                  <c:v>46074</c:v>
                </c:pt>
                <c:pt idx="104">
                  <c:v>46075</c:v>
                </c:pt>
                <c:pt idx="105">
                  <c:v>46076</c:v>
                </c:pt>
                <c:pt idx="106">
                  <c:v>46077</c:v>
                </c:pt>
                <c:pt idx="107">
                  <c:v>46078</c:v>
                </c:pt>
                <c:pt idx="108">
                  <c:v>46079</c:v>
                </c:pt>
                <c:pt idx="109">
                  <c:v>46080</c:v>
                </c:pt>
              </c:numCache>
            </c:numRef>
          </c:xVal>
          <c:yVal>
            <c:numRef>
              <c:f>'Baseline 1 - Perfect, 24hr'!$AK$3:$AK$112</c:f>
              <c:numCache>
                <c:formatCode>General</c:formatCode>
                <c:ptCount val="110"/>
                <c:pt idx="0">
                  <c:v>#N/A</c:v>
                </c:pt>
                <c:pt idx="1">
                  <c:v>#N/A</c:v>
                </c:pt>
                <c:pt idx="2">
                  <c:v>#N/A</c:v>
                </c:pt>
                <c:pt idx="3">
                  <c:v>#N/A</c:v>
                </c:pt>
                <c:pt idx="4">
                  <c:v>#N/A</c:v>
                </c:pt>
                <c:pt idx="5">
                  <c:v>#N/A</c:v>
                </c:pt>
                <c:pt idx="6">
                  <c:v>#N/A</c:v>
                </c:pt>
                <c:pt idx="7">
                  <c:v>#N/A</c:v>
                </c:pt>
                <c:pt idx="8">
                  <c:v>#N/A</c:v>
                </c:pt>
                <c:pt idx="9">
                  <c:v>#N/A</c:v>
                </c:pt>
                <c:pt idx="10">
                  <c:v>-35</c:v>
                </c:pt>
                <c:pt idx="11">
                  <c:v>#N/A</c:v>
                </c:pt>
                <c:pt idx="12">
                  <c:v>#N/A</c:v>
                </c:pt>
                <c:pt idx="13">
                  <c:v>#N/A</c:v>
                </c:pt>
                <c:pt idx="14">
                  <c:v>#N/A</c:v>
                </c:pt>
                <c:pt idx="15">
                  <c:v>-35</c:v>
                </c:pt>
                <c:pt idx="16">
                  <c:v>#N/A</c:v>
                </c:pt>
                <c:pt idx="17">
                  <c:v>#N/A</c:v>
                </c:pt>
                <c:pt idx="18">
                  <c:v>#N/A</c:v>
                </c:pt>
                <c:pt idx="19">
                  <c:v>-35</c:v>
                </c:pt>
                <c:pt idx="20">
                  <c:v>#N/A</c:v>
                </c:pt>
                <c:pt idx="21">
                  <c:v>#N/A</c:v>
                </c:pt>
                <c:pt idx="22">
                  <c:v>#N/A</c:v>
                </c:pt>
                <c:pt idx="23">
                  <c:v>#N/A</c:v>
                </c:pt>
                <c:pt idx="24">
                  <c:v>-35</c:v>
                </c:pt>
                <c:pt idx="25">
                  <c:v>#N/A</c:v>
                </c:pt>
                <c:pt idx="26">
                  <c:v>#N/A</c:v>
                </c:pt>
                <c:pt idx="27">
                  <c:v>#N/A</c:v>
                </c:pt>
                <c:pt idx="28">
                  <c:v>#N/A</c:v>
                </c:pt>
                <c:pt idx="29">
                  <c:v>#N/A</c:v>
                </c:pt>
                <c:pt idx="30">
                  <c:v>-35</c:v>
                </c:pt>
                <c:pt idx="31">
                  <c:v>#N/A</c:v>
                </c:pt>
                <c:pt idx="32">
                  <c:v>#N/A</c:v>
                </c:pt>
                <c:pt idx="33">
                  <c:v>#N/A</c:v>
                </c:pt>
                <c:pt idx="34">
                  <c:v>#N/A</c:v>
                </c:pt>
                <c:pt idx="35">
                  <c:v>#N/A</c:v>
                </c:pt>
                <c:pt idx="36">
                  <c:v>#N/A</c:v>
                </c:pt>
                <c:pt idx="37">
                  <c:v>-35</c:v>
                </c:pt>
                <c:pt idx="38">
                  <c:v>#N/A</c:v>
                </c:pt>
                <c:pt idx="39">
                  <c:v>#N/A</c:v>
                </c:pt>
                <c:pt idx="40">
                  <c:v>#N/A</c:v>
                </c:pt>
                <c:pt idx="41">
                  <c:v>#N/A</c:v>
                </c:pt>
                <c:pt idx="42">
                  <c:v>#N/A</c:v>
                </c:pt>
                <c:pt idx="43">
                  <c:v>-35</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'Baseline 1 - Perfect, 24hr'!$U$3:$U$112</c15:f>
                <c15:dlblRangeCache>
                  <c:ptCount val="110"/>
                  <c:pt idx="0">
                    <c:v>0</c:v>
                  </c:pt>
                  <c:pt idx="1">
                    <c:v>0</c:v>
                  </c:pt>
                  <c:pt idx="2">
                    <c:v>0</c:v>
                  </c:pt>
                  <c:pt idx="3">
                    <c:v>0</c:v>
                  </c:pt>
                  <c:pt idx="4">
                    <c:v>0</c:v>
                  </c:pt>
                  <c:pt idx="5">
                    <c:v>0</c:v>
                  </c:pt>
                  <c:pt idx="6">
                    <c:v>0</c:v>
                  </c:pt>
                  <c:pt idx="7">
                    <c:v>0</c:v>
                  </c:pt>
                  <c:pt idx="8">
                    <c:v>0</c:v>
                  </c:pt>
                  <c:pt idx="9">
                    <c:v>0</c:v>
                  </c:pt>
                  <c:pt idx="10">
                    <c:v>6</c:v>
                  </c:pt>
                  <c:pt idx="11">
                    <c:v>0</c:v>
                  </c:pt>
                  <c:pt idx="12">
                    <c:v>0</c:v>
                  </c:pt>
                  <c:pt idx="13">
                    <c:v>0</c:v>
                  </c:pt>
                  <c:pt idx="14">
                    <c:v>0</c:v>
                  </c:pt>
                  <c:pt idx="15">
                    <c:v>6</c:v>
                  </c:pt>
                  <c:pt idx="16">
                    <c:v>0</c:v>
                  </c:pt>
                  <c:pt idx="17">
                    <c:v>0</c:v>
                  </c:pt>
                  <c:pt idx="18">
                    <c:v>0</c:v>
                  </c:pt>
                  <c:pt idx="19">
                    <c:v>6</c:v>
                  </c:pt>
                  <c:pt idx="20">
                    <c:v>0</c:v>
                  </c:pt>
                  <c:pt idx="21">
                    <c:v>0</c:v>
                  </c:pt>
                  <c:pt idx="22">
                    <c:v>0</c:v>
                  </c:pt>
                  <c:pt idx="23">
                    <c:v>0</c:v>
                  </c:pt>
                  <c:pt idx="24">
                    <c:v>6</c:v>
                  </c:pt>
                  <c:pt idx="25">
                    <c:v>0</c:v>
                  </c:pt>
                  <c:pt idx="26">
                    <c:v>0</c:v>
                  </c:pt>
                  <c:pt idx="27">
                    <c:v>0</c:v>
                  </c:pt>
                  <c:pt idx="28">
                    <c:v>0</c:v>
                  </c:pt>
                  <c:pt idx="29">
                    <c:v>0</c:v>
                  </c:pt>
                  <c:pt idx="30">
                    <c:v>6</c:v>
                  </c:pt>
                  <c:pt idx="31">
                    <c:v>0</c:v>
                  </c:pt>
                  <c:pt idx="32">
                    <c:v>0</c:v>
                  </c:pt>
                  <c:pt idx="33">
                    <c:v>0</c:v>
                  </c:pt>
                  <c:pt idx="34">
                    <c:v>0</c:v>
                  </c:pt>
                  <c:pt idx="35">
                    <c:v>0</c:v>
                  </c:pt>
                  <c:pt idx="36">
                    <c:v>0</c:v>
                  </c:pt>
                  <c:pt idx="37">
                    <c:v>6</c:v>
                  </c:pt>
                  <c:pt idx="38">
                    <c:v>0</c:v>
                  </c:pt>
                  <c:pt idx="39">
                    <c:v>0</c:v>
                  </c:pt>
                  <c:pt idx="40">
                    <c:v>0</c:v>
                  </c:pt>
                  <c:pt idx="41">
                    <c:v>0</c:v>
                  </c:pt>
                  <c:pt idx="42">
                    <c:v>0</c:v>
                  </c:pt>
                  <c:pt idx="43">
                    <c:v>6</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15:dlblRangeCache>
              </c15:datalabelsRange>
            </c:ext>
            <c:ext xmlns:c16="http://schemas.microsoft.com/office/drawing/2014/chart" uri="{C3380CC4-5D6E-409C-BE32-E72D297353CC}">
              <c16:uniqueId val="{00000078-96A1-441F-A2A1-36125F8FCE94}"/>
            </c:ext>
          </c:extLst>
        </c:ser>
        <c:ser>
          <c:idx val="9"/>
          <c:order val="9"/>
          <c:tx>
            <c:strRef>
              <c:f>'Baseline 1 - Perfect, 24hr'!$AJ$1</c:f>
              <c:strCache>
                <c:ptCount val="1"/>
                <c:pt idx="0">
                  <c:v>Drill Fluid Planned In</c:v>
                </c:pt>
              </c:strCache>
            </c:strRef>
          </c:tx>
          <c:spPr>
            <a:ln w="19050" cap="rnd">
              <a:solidFill>
                <a:schemeClr val="tx2">
                  <a:lumMod val="50000"/>
                  <a:lumOff val="50000"/>
                </a:schemeClr>
              </a:solidFill>
              <a:round/>
            </a:ln>
            <a:effectLst/>
          </c:spPr>
          <c:marker>
            <c:symbol val="circle"/>
            <c:size val="10"/>
            <c:spPr>
              <a:solidFill>
                <a:schemeClr val="bg1"/>
              </a:solidFill>
              <a:ln w="31750">
                <a:solidFill>
                  <a:schemeClr val="tx2">
                    <a:lumMod val="50000"/>
                    <a:lumOff val="50000"/>
                  </a:schemeClr>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9-96A1-441F-A2A1-36125F8FCE94}"/>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A-96A1-441F-A2A1-36125F8FCE94}"/>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B-96A1-441F-A2A1-36125F8FCE94}"/>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C-96A1-441F-A2A1-36125F8FCE94}"/>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D-96A1-441F-A2A1-36125F8FCE94}"/>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E-96A1-441F-A2A1-36125F8FCE94}"/>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F-96A1-441F-A2A1-36125F8FCE94}"/>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0-96A1-441F-A2A1-36125F8FCE94}"/>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1-96A1-441F-A2A1-36125F8FCE94}"/>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2-96A1-441F-A2A1-36125F8FCE94}"/>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3-96A1-441F-A2A1-36125F8FCE94}"/>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4-96A1-441F-A2A1-36125F8FCE94}"/>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5-96A1-441F-A2A1-36125F8FCE94}"/>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6-96A1-441F-A2A1-36125F8FCE94}"/>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7-96A1-441F-A2A1-36125F8FCE94}"/>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8-96A1-441F-A2A1-36125F8FCE94}"/>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9-96A1-441F-A2A1-36125F8FCE94}"/>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A-96A1-441F-A2A1-36125F8FCE94}"/>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B-96A1-441F-A2A1-36125F8FCE94}"/>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C-96A1-441F-A2A1-36125F8FCE94}"/>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D-96A1-441F-A2A1-36125F8FCE94}"/>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E-96A1-441F-A2A1-36125F8FCE94}"/>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F-96A1-441F-A2A1-36125F8FCE94}"/>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0-96A1-441F-A2A1-36125F8FCE94}"/>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1-96A1-441F-A2A1-36125F8FCE94}"/>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2-96A1-441F-A2A1-36125F8FCE94}"/>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3-96A1-441F-A2A1-36125F8FCE94}"/>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4-96A1-441F-A2A1-36125F8FCE94}"/>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5-96A1-441F-A2A1-36125F8FCE94}"/>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6-96A1-441F-A2A1-36125F8FCE94}"/>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7-96A1-441F-A2A1-36125F8FCE94}"/>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8-96A1-441F-A2A1-36125F8FCE94}"/>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9-96A1-441F-A2A1-36125F8FCE94}"/>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A-96A1-441F-A2A1-36125F8FCE94}"/>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B-96A1-441F-A2A1-36125F8FCE94}"/>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C-96A1-441F-A2A1-36125F8FCE94}"/>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D-96A1-441F-A2A1-36125F8FCE94}"/>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E-96A1-441F-A2A1-36125F8FCE94}"/>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F-96A1-441F-A2A1-36125F8FCE94}"/>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0-96A1-441F-A2A1-36125F8FCE94}"/>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1-96A1-441F-A2A1-36125F8FCE94}"/>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2-96A1-441F-A2A1-36125F8FCE94}"/>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3-96A1-441F-A2A1-36125F8FCE94}"/>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4-96A1-441F-A2A1-36125F8FCE94}"/>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5-96A1-441F-A2A1-36125F8FCE94}"/>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6-96A1-441F-A2A1-36125F8FCE94}"/>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7-96A1-441F-A2A1-36125F8FCE94}"/>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8-96A1-441F-A2A1-36125F8FCE94}"/>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9-96A1-441F-A2A1-36125F8FCE94}"/>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A-96A1-441F-A2A1-36125F8FCE94}"/>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B-96A1-441F-A2A1-36125F8FCE94}"/>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C-96A1-441F-A2A1-36125F8FCE94}"/>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D-96A1-441F-A2A1-36125F8FCE94}"/>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E-96A1-441F-A2A1-36125F8FCE94}"/>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F-96A1-441F-A2A1-36125F8FCE94}"/>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0-96A1-441F-A2A1-36125F8FCE94}"/>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1-96A1-441F-A2A1-36125F8FCE94}"/>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2-96A1-441F-A2A1-36125F8FCE94}"/>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3-96A1-441F-A2A1-36125F8FCE94}"/>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4-96A1-441F-A2A1-36125F8FCE94}"/>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5-96A1-441F-A2A1-36125F8FCE94}"/>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6-96A1-441F-A2A1-36125F8FCE94}"/>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7-96A1-441F-A2A1-36125F8FCE94}"/>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8-96A1-441F-A2A1-36125F8FCE94}"/>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9-96A1-441F-A2A1-36125F8FCE94}"/>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A-96A1-441F-A2A1-36125F8FCE94}"/>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B-96A1-441F-A2A1-36125F8FCE94}"/>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C-96A1-441F-A2A1-36125F8FCE94}"/>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D-96A1-441F-A2A1-36125F8FCE94}"/>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E-96A1-441F-A2A1-36125F8FCE94}"/>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F-96A1-441F-A2A1-36125F8FCE94}"/>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0-96A1-441F-A2A1-36125F8FCE94}"/>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1-96A1-441F-A2A1-36125F8FCE94}"/>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2-96A1-441F-A2A1-36125F8FCE94}"/>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3-96A1-441F-A2A1-36125F8FCE94}"/>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4-96A1-441F-A2A1-36125F8FCE94}"/>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5-96A1-441F-A2A1-36125F8FCE94}"/>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6-96A1-441F-A2A1-36125F8FCE94}"/>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7-96A1-441F-A2A1-36125F8FCE94}"/>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8-96A1-441F-A2A1-36125F8FCE94}"/>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9-96A1-441F-A2A1-36125F8FCE94}"/>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A-96A1-441F-A2A1-36125F8FCE94}"/>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B-96A1-441F-A2A1-36125F8FCE94}"/>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C-96A1-441F-A2A1-36125F8FCE94}"/>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D-96A1-441F-A2A1-36125F8FCE94}"/>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E-96A1-441F-A2A1-36125F8FCE94}"/>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F-96A1-441F-A2A1-36125F8FCE94}"/>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0-96A1-441F-A2A1-36125F8FCE94}"/>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1-96A1-441F-A2A1-36125F8FCE94}"/>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2-96A1-441F-A2A1-36125F8FCE94}"/>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3-96A1-441F-A2A1-36125F8FCE94}"/>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4-96A1-441F-A2A1-36125F8FCE94}"/>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5-96A1-441F-A2A1-36125F8FCE94}"/>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6-96A1-441F-A2A1-36125F8FCE94}"/>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7-96A1-441F-A2A1-36125F8FCE94}"/>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8-96A1-441F-A2A1-36125F8FCE94}"/>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9-96A1-441F-A2A1-36125F8FCE94}"/>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A-96A1-441F-A2A1-36125F8FCE94}"/>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B-96A1-441F-A2A1-36125F8FCE94}"/>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C-96A1-441F-A2A1-36125F8FCE94}"/>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D-96A1-441F-A2A1-36125F8FCE94}"/>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E-96A1-441F-A2A1-36125F8FCE94}"/>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F-96A1-441F-A2A1-36125F8FCE94}"/>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0-96A1-441F-A2A1-36125F8FCE94}"/>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1-96A1-441F-A2A1-36125F8FCE94}"/>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2-96A1-441F-A2A1-36125F8FCE94}"/>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3-96A1-441F-A2A1-36125F8FCE94}"/>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4-96A1-441F-A2A1-36125F8FCE94}"/>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5-96A1-441F-A2A1-36125F8FCE94}"/>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6-96A1-441F-A2A1-36125F8FCE9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2">
                          <a:lumMod val="50000"/>
                          <a:lumOff val="50000"/>
                        </a:schemeClr>
                      </a:solidFill>
                    </a:ln>
                    <a:solidFill>
                      <a:schemeClr val="tx2">
                        <a:lumMod val="50000"/>
                        <a:lumOff val="50000"/>
                      </a:schemeClr>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'Baseline 1 - Perfect, 24hr'!$B$3:$B$112</c:f>
              <c:numCache>
                <c:formatCode>m/d/yyyy</c:formatCode>
                <c:ptCount val="110"/>
                <c:pt idx="0">
                  <c:v>45971</c:v>
                </c:pt>
                <c:pt idx="1">
                  <c:v>45972</c:v>
                </c:pt>
                <c:pt idx="2">
                  <c:v>45973</c:v>
                </c:pt>
                <c:pt idx="3">
                  <c:v>45974</c:v>
                </c:pt>
                <c:pt idx="4">
                  <c:v>45975</c:v>
                </c:pt>
                <c:pt idx="5">
                  <c:v>45976</c:v>
                </c:pt>
                <c:pt idx="6">
                  <c:v>45977</c:v>
                </c:pt>
                <c:pt idx="7">
                  <c:v>45978</c:v>
                </c:pt>
                <c:pt idx="8">
                  <c:v>45979</c:v>
                </c:pt>
                <c:pt idx="9">
                  <c:v>45980</c:v>
                </c:pt>
                <c:pt idx="10">
                  <c:v>45981</c:v>
                </c:pt>
                <c:pt idx="11">
                  <c:v>45982</c:v>
                </c:pt>
                <c:pt idx="12">
                  <c:v>45983</c:v>
                </c:pt>
                <c:pt idx="13">
                  <c:v>45984</c:v>
                </c:pt>
                <c:pt idx="14">
                  <c:v>45985</c:v>
                </c:pt>
                <c:pt idx="15">
                  <c:v>45986</c:v>
                </c:pt>
                <c:pt idx="16">
                  <c:v>45987</c:v>
                </c:pt>
                <c:pt idx="17">
                  <c:v>45988</c:v>
                </c:pt>
                <c:pt idx="18">
                  <c:v>45989</c:v>
                </c:pt>
                <c:pt idx="19">
                  <c:v>45990</c:v>
                </c:pt>
                <c:pt idx="20">
                  <c:v>45991</c:v>
                </c:pt>
                <c:pt idx="21">
                  <c:v>45992</c:v>
                </c:pt>
                <c:pt idx="22">
                  <c:v>45993</c:v>
                </c:pt>
                <c:pt idx="23">
                  <c:v>45994</c:v>
                </c:pt>
                <c:pt idx="24">
                  <c:v>45995</c:v>
                </c:pt>
                <c:pt idx="25">
                  <c:v>45996</c:v>
                </c:pt>
                <c:pt idx="26">
                  <c:v>45997</c:v>
                </c:pt>
                <c:pt idx="27">
                  <c:v>45998</c:v>
                </c:pt>
                <c:pt idx="28">
                  <c:v>45999</c:v>
                </c:pt>
                <c:pt idx="29">
                  <c:v>46000</c:v>
                </c:pt>
                <c:pt idx="30">
                  <c:v>46001</c:v>
                </c:pt>
                <c:pt idx="31">
                  <c:v>46002</c:v>
                </c:pt>
                <c:pt idx="32">
                  <c:v>46003</c:v>
                </c:pt>
                <c:pt idx="33">
                  <c:v>46004</c:v>
                </c:pt>
                <c:pt idx="34">
                  <c:v>46005</c:v>
                </c:pt>
                <c:pt idx="35">
                  <c:v>46006</c:v>
                </c:pt>
                <c:pt idx="36">
                  <c:v>46007</c:v>
                </c:pt>
                <c:pt idx="37">
                  <c:v>46008</c:v>
                </c:pt>
                <c:pt idx="38">
                  <c:v>46009</c:v>
                </c:pt>
                <c:pt idx="39">
                  <c:v>46010</c:v>
                </c:pt>
                <c:pt idx="40">
                  <c:v>46011</c:v>
                </c:pt>
                <c:pt idx="41">
                  <c:v>46012</c:v>
                </c:pt>
                <c:pt idx="42">
                  <c:v>46013</c:v>
                </c:pt>
                <c:pt idx="43">
                  <c:v>46014</c:v>
                </c:pt>
                <c:pt idx="44">
                  <c:v>46015</c:v>
                </c:pt>
                <c:pt idx="45">
                  <c:v>46016</c:v>
                </c:pt>
                <c:pt idx="46">
                  <c:v>46017</c:v>
                </c:pt>
                <c:pt idx="47">
                  <c:v>46018</c:v>
                </c:pt>
                <c:pt idx="48">
                  <c:v>46019</c:v>
                </c:pt>
                <c:pt idx="49">
                  <c:v>46020</c:v>
                </c:pt>
                <c:pt idx="50">
                  <c:v>46021</c:v>
                </c:pt>
                <c:pt idx="51">
                  <c:v>46022</c:v>
                </c:pt>
                <c:pt idx="52">
                  <c:v>46023</c:v>
                </c:pt>
                <c:pt idx="53">
                  <c:v>46024</c:v>
                </c:pt>
                <c:pt idx="54">
                  <c:v>46025</c:v>
                </c:pt>
                <c:pt idx="55">
                  <c:v>46026</c:v>
                </c:pt>
                <c:pt idx="56">
                  <c:v>46027</c:v>
                </c:pt>
                <c:pt idx="57">
                  <c:v>46028</c:v>
                </c:pt>
                <c:pt idx="58">
                  <c:v>46029</c:v>
                </c:pt>
                <c:pt idx="59">
                  <c:v>46030</c:v>
                </c:pt>
                <c:pt idx="60">
                  <c:v>46031</c:v>
                </c:pt>
                <c:pt idx="61">
                  <c:v>46032</c:v>
                </c:pt>
                <c:pt idx="62">
                  <c:v>46033</c:v>
                </c:pt>
                <c:pt idx="63">
                  <c:v>46034</c:v>
                </c:pt>
                <c:pt idx="64">
                  <c:v>46035</c:v>
                </c:pt>
                <c:pt idx="65">
                  <c:v>46036</c:v>
                </c:pt>
                <c:pt idx="66">
                  <c:v>46037</c:v>
                </c:pt>
                <c:pt idx="67">
                  <c:v>46038</c:v>
                </c:pt>
                <c:pt idx="68">
                  <c:v>46039</c:v>
                </c:pt>
                <c:pt idx="69">
                  <c:v>46040</c:v>
                </c:pt>
                <c:pt idx="70">
                  <c:v>46041</c:v>
                </c:pt>
                <c:pt idx="71">
                  <c:v>46042</c:v>
                </c:pt>
                <c:pt idx="72">
                  <c:v>46043</c:v>
                </c:pt>
                <c:pt idx="73">
                  <c:v>46044</c:v>
                </c:pt>
                <c:pt idx="74">
                  <c:v>46045</c:v>
                </c:pt>
                <c:pt idx="75">
                  <c:v>46046</c:v>
                </c:pt>
                <c:pt idx="76">
                  <c:v>46047</c:v>
                </c:pt>
                <c:pt idx="77">
                  <c:v>46048</c:v>
                </c:pt>
                <c:pt idx="78">
                  <c:v>46049</c:v>
                </c:pt>
                <c:pt idx="79">
                  <c:v>46050</c:v>
                </c:pt>
                <c:pt idx="80">
                  <c:v>46051</c:v>
                </c:pt>
                <c:pt idx="81">
                  <c:v>46052</c:v>
                </c:pt>
                <c:pt idx="82">
                  <c:v>46053</c:v>
                </c:pt>
                <c:pt idx="83">
                  <c:v>46054</c:v>
                </c:pt>
                <c:pt idx="84">
                  <c:v>46055</c:v>
                </c:pt>
                <c:pt idx="85">
                  <c:v>46056</c:v>
                </c:pt>
                <c:pt idx="86">
                  <c:v>46057</c:v>
                </c:pt>
                <c:pt idx="87">
                  <c:v>46058</c:v>
                </c:pt>
                <c:pt idx="88">
                  <c:v>46059</c:v>
                </c:pt>
                <c:pt idx="89">
                  <c:v>46060</c:v>
                </c:pt>
                <c:pt idx="90">
                  <c:v>46061</c:v>
                </c:pt>
                <c:pt idx="91">
                  <c:v>46062</c:v>
                </c:pt>
                <c:pt idx="92">
                  <c:v>46063</c:v>
                </c:pt>
                <c:pt idx="93">
                  <c:v>46064</c:v>
                </c:pt>
                <c:pt idx="94">
                  <c:v>46065</c:v>
                </c:pt>
                <c:pt idx="95">
                  <c:v>46066</c:v>
                </c:pt>
                <c:pt idx="96">
                  <c:v>46067</c:v>
                </c:pt>
                <c:pt idx="97">
                  <c:v>46068</c:v>
                </c:pt>
                <c:pt idx="98">
                  <c:v>46069</c:v>
                </c:pt>
                <c:pt idx="99">
                  <c:v>46070</c:v>
                </c:pt>
                <c:pt idx="100">
                  <c:v>46071</c:v>
                </c:pt>
                <c:pt idx="101">
                  <c:v>46072</c:v>
                </c:pt>
                <c:pt idx="102">
                  <c:v>46073</c:v>
                </c:pt>
                <c:pt idx="103">
                  <c:v>46074</c:v>
                </c:pt>
                <c:pt idx="104">
                  <c:v>46075</c:v>
                </c:pt>
                <c:pt idx="105">
                  <c:v>46076</c:v>
                </c:pt>
                <c:pt idx="106">
                  <c:v>46077</c:v>
                </c:pt>
                <c:pt idx="107">
                  <c:v>46078</c:v>
                </c:pt>
                <c:pt idx="108">
                  <c:v>46079</c:v>
                </c:pt>
                <c:pt idx="109">
                  <c:v>46080</c:v>
                </c:pt>
              </c:numCache>
            </c:numRef>
          </c:xVal>
          <c:yVal>
            <c:numRef>
              <c:f>'Baseline 1 - Perfect, 24hr'!$AJ$3:$AJ$112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'Baseline 1 - Perfect, 24hr'!$T$3:$T$112</c15:f>
                <c15:dlblRangeCache>
                  <c:ptCount val="110"/>
                </c15:dlblRangeCache>
              </c15:datalabelsRange>
            </c:ext>
            <c:ext xmlns:c16="http://schemas.microsoft.com/office/drawing/2014/chart" uri="{C3380CC4-5D6E-409C-BE32-E72D297353CC}">
              <c16:uniqueId val="{000000E7-96A1-441F-A2A1-36125F8FCE94}"/>
            </c:ext>
          </c:extLst>
        </c:ser>
        <c:ser>
          <c:idx val="10"/>
          <c:order val="10"/>
          <c:tx>
            <c:strRef>
              <c:f>'Baseline 1 - Perfect, 24hr'!$AL$1</c:f>
              <c:strCache>
                <c:ptCount val="1"/>
                <c:pt idx="0">
                  <c:v>Ice Core Boxes Planned OUT</c:v>
                </c:pt>
              </c:strCache>
            </c:strRef>
          </c:tx>
          <c:spPr>
            <a:ln w="19050" cap="rnd">
              <a:solidFill>
                <a:schemeClr val="accent5">
                  <a:lumMod val="60000"/>
                </a:schemeClr>
              </a:solidFill>
              <a:round/>
            </a:ln>
            <a:effectLst/>
          </c:spPr>
          <c:marker>
            <c:symbol val="circle"/>
            <c:size val="10"/>
            <c:spPr>
              <a:solidFill>
                <a:schemeClr val="bg1"/>
              </a:solidFill>
              <a:ln w="31750">
                <a:solidFill>
                  <a:srgbClr val="00B050"/>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8-96A1-441F-A2A1-36125F8FCE94}"/>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9-96A1-441F-A2A1-36125F8FCE94}"/>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A-96A1-441F-A2A1-36125F8FCE94}"/>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B-96A1-441F-A2A1-36125F8FCE94}"/>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C-96A1-441F-A2A1-36125F8FCE94}"/>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D-96A1-441F-A2A1-36125F8FCE94}"/>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E-96A1-441F-A2A1-36125F8FCE94}"/>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F-96A1-441F-A2A1-36125F8FCE94}"/>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0-96A1-441F-A2A1-36125F8FCE94}"/>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1-96A1-441F-A2A1-36125F8FCE94}"/>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2-96A1-441F-A2A1-36125F8FCE94}"/>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3-96A1-441F-A2A1-36125F8FCE94}"/>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4-96A1-441F-A2A1-36125F8FCE94}"/>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5-96A1-441F-A2A1-36125F8FCE94}"/>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6-96A1-441F-A2A1-36125F8FCE94}"/>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7-96A1-441F-A2A1-36125F8FCE94}"/>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8-96A1-441F-A2A1-36125F8FCE94}"/>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9-96A1-441F-A2A1-36125F8FCE94}"/>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A-96A1-441F-A2A1-36125F8FCE94}"/>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B-96A1-441F-A2A1-36125F8FCE94}"/>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C-96A1-441F-A2A1-36125F8FCE94}"/>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D-96A1-441F-A2A1-36125F8FCE94}"/>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E-96A1-441F-A2A1-36125F8FCE94}"/>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F-96A1-441F-A2A1-36125F8FCE94}"/>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0-96A1-441F-A2A1-36125F8FCE94}"/>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1-96A1-441F-A2A1-36125F8FCE94}"/>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2-96A1-441F-A2A1-36125F8FCE94}"/>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3-96A1-441F-A2A1-36125F8FCE94}"/>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4-96A1-441F-A2A1-36125F8FCE94}"/>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5-96A1-441F-A2A1-36125F8FCE94}"/>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6-96A1-441F-A2A1-36125F8FCE94}"/>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7-96A1-441F-A2A1-36125F8FCE94}"/>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8-96A1-441F-A2A1-36125F8FCE94}"/>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9-96A1-441F-A2A1-36125F8FCE94}"/>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A-96A1-441F-A2A1-36125F8FCE94}"/>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B-96A1-441F-A2A1-36125F8FCE94}"/>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C-96A1-441F-A2A1-36125F8FCE94}"/>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D-96A1-441F-A2A1-36125F8FCE94}"/>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E-96A1-441F-A2A1-36125F8FCE94}"/>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F-96A1-441F-A2A1-36125F8FCE94}"/>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0-96A1-441F-A2A1-36125F8FCE94}"/>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1-96A1-441F-A2A1-36125F8FCE94}"/>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2-96A1-441F-A2A1-36125F8FCE94}"/>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3-96A1-441F-A2A1-36125F8FCE94}"/>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4-96A1-441F-A2A1-36125F8FCE94}"/>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5-96A1-441F-A2A1-36125F8FCE94}"/>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6-96A1-441F-A2A1-36125F8FCE94}"/>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7-96A1-441F-A2A1-36125F8FCE94}"/>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8-96A1-441F-A2A1-36125F8FCE94}"/>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9-96A1-441F-A2A1-36125F8FCE94}"/>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A-96A1-441F-A2A1-36125F8FCE94}"/>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B-96A1-441F-A2A1-36125F8FCE94}"/>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C-96A1-441F-A2A1-36125F8FCE94}"/>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D-96A1-441F-A2A1-36125F8FCE94}"/>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E-96A1-441F-A2A1-36125F8FCE94}"/>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F-96A1-441F-A2A1-36125F8FCE94}"/>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0-96A1-441F-A2A1-36125F8FCE94}"/>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1-96A1-441F-A2A1-36125F8FCE94}"/>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2-96A1-441F-A2A1-36125F8FCE94}"/>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3-96A1-441F-A2A1-36125F8FCE94}"/>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4-96A1-441F-A2A1-36125F8FCE94}"/>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5-96A1-441F-A2A1-36125F8FCE94}"/>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6-96A1-441F-A2A1-36125F8FCE94}"/>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7-96A1-441F-A2A1-36125F8FCE94}"/>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8-96A1-441F-A2A1-36125F8FCE94}"/>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9-96A1-441F-A2A1-36125F8FCE94}"/>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A-96A1-441F-A2A1-36125F8FCE94}"/>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B-96A1-441F-A2A1-36125F8FCE94}"/>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C-96A1-441F-A2A1-36125F8FCE94}"/>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D-96A1-441F-A2A1-36125F8FCE94}"/>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E-96A1-441F-A2A1-36125F8FCE94}"/>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F-96A1-441F-A2A1-36125F8FCE94}"/>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0-96A1-441F-A2A1-36125F8FCE94}"/>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1-96A1-441F-A2A1-36125F8FCE94}"/>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2-96A1-441F-A2A1-36125F8FCE94}"/>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3-96A1-441F-A2A1-36125F8FCE94}"/>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4-96A1-441F-A2A1-36125F8FCE94}"/>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5-96A1-441F-A2A1-36125F8FCE94}"/>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6-96A1-441F-A2A1-36125F8FCE94}"/>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7-96A1-441F-A2A1-36125F8FCE94}"/>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8-96A1-441F-A2A1-36125F8FCE94}"/>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9-96A1-441F-A2A1-36125F8FCE94}"/>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A-96A1-441F-A2A1-36125F8FCE94}"/>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B-96A1-441F-A2A1-36125F8FCE94}"/>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C-96A1-441F-A2A1-36125F8FCE94}"/>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D-96A1-441F-A2A1-36125F8FCE94}"/>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E-96A1-441F-A2A1-36125F8FCE94}"/>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F-96A1-441F-A2A1-36125F8FCE94}"/>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0-96A1-441F-A2A1-36125F8FCE94}"/>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1-96A1-441F-A2A1-36125F8FCE94}"/>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2-96A1-441F-A2A1-36125F8FCE94}"/>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3-96A1-441F-A2A1-36125F8FCE94}"/>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4-96A1-441F-A2A1-36125F8FCE94}"/>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5-96A1-441F-A2A1-36125F8FCE94}"/>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6-96A1-441F-A2A1-36125F8FCE94}"/>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7-96A1-441F-A2A1-36125F8FCE94}"/>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8-96A1-441F-A2A1-36125F8FCE94}"/>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9-96A1-441F-A2A1-36125F8FCE94}"/>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A-96A1-441F-A2A1-36125F8FCE94}"/>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B-96A1-441F-A2A1-36125F8FCE94}"/>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C-96A1-441F-A2A1-36125F8FCE94}"/>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D-96A1-441F-A2A1-36125F8FCE94}"/>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E-96A1-441F-A2A1-36125F8FCE94}"/>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F-96A1-441F-A2A1-36125F8FCE94}"/>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0-96A1-441F-A2A1-36125F8FCE94}"/>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1-96A1-441F-A2A1-36125F8FCE94}"/>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2-96A1-441F-A2A1-36125F8FCE94}"/>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3-96A1-441F-A2A1-36125F8FCE94}"/>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4-96A1-441F-A2A1-36125F8FCE94}"/>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5-96A1-441F-A2A1-36125F8FCE9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B050"/>
                      </a:solidFill>
                    </a:ln>
                    <a:solidFill>
                      <a:srgbClr val="00B05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'Baseline 1 - Perfect, 24hr'!$B$3:$B$112</c:f>
              <c:numCache>
                <c:formatCode>m/d/yyyy</c:formatCode>
                <c:ptCount val="110"/>
                <c:pt idx="0">
                  <c:v>45971</c:v>
                </c:pt>
                <c:pt idx="1">
                  <c:v>45972</c:v>
                </c:pt>
                <c:pt idx="2">
                  <c:v>45973</c:v>
                </c:pt>
                <c:pt idx="3">
                  <c:v>45974</c:v>
                </c:pt>
                <c:pt idx="4">
                  <c:v>45975</c:v>
                </c:pt>
                <c:pt idx="5">
                  <c:v>45976</c:v>
                </c:pt>
                <c:pt idx="6">
                  <c:v>45977</c:v>
                </c:pt>
                <c:pt idx="7">
                  <c:v>45978</c:v>
                </c:pt>
                <c:pt idx="8">
                  <c:v>45979</c:v>
                </c:pt>
                <c:pt idx="9">
                  <c:v>45980</c:v>
                </c:pt>
                <c:pt idx="10">
                  <c:v>45981</c:v>
                </c:pt>
                <c:pt idx="11">
                  <c:v>45982</c:v>
                </c:pt>
                <c:pt idx="12">
                  <c:v>45983</c:v>
                </c:pt>
                <c:pt idx="13">
                  <c:v>45984</c:v>
                </c:pt>
                <c:pt idx="14">
                  <c:v>45985</c:v>
                </c:pt>
                <c:pt idx="15">
                  <c:v>45986</c:v>
                </c:pt>
                <c:pt idx="16">
                  <c:v>45987</c:v>
                </c:pt>
                <c:pt idx="17">
                  <c:v>45988</c:v>
                </c:pt>
                <c:pt idx="18">
                  <c:v>45989</c:v>
                </c:pt>
                <c:pt idx="19">
                  <c:v>45990</c:v>
                </c:pt>
                <c:pt idx="20">
                  <c:v>45991</c:v>
                </c:pt>
                <c:pt idx="21">
                  <c:v>45992</c:v>
                </c:pt>
                <c:pt idx="22">
                  <c:v>45993</c:v>
                </c:pt>
                <c:pt idx="23">
                  <c:v>45994</c:v>
                </c:pt>
                <c:pt idx="24">
                  <c:v>45995</c:v>
                </c:pt>
                <c:pt idx="25">
                  <c:v>45996</c:v>
                </c:pt>
                <c:pt idx="26">
                  <c:v>45997</c:v>
                </c:pt>
                <c:pt idx="27">
                  <c:v>45998</c:v>
                </c:pt>
                <c:pt idx="28">
                  <c:v>45999</c:v>
                </c:pt>
                <c:pt idx="29">
                  <c:v>46000</c:v>
                </c:pt>
                <c:pt idx="30">
                  <c:v>46001</c:v>
                </c:pt>
                <c:pt idx="31">
                  <c:v>46002</c:v>
                </c:pt>
                <c:pt idx="32">
                  <c:v>46003</c:v>
                </c:pt>
                <c:pt idx="33">
                  <c:v>46004</c:v>
                </c:pt>
                <c:pt idx="34">
                  <c:v>46005</c:v>
                </c:pt>
                <c:pt idx="35">
                  <c:v>46006</c:v>
                </c:pt>
                <c:pt idx="36">
                  <c:v>46007</c:v>
                </c:pt>
                <c:pt idx="37">
                  <c:v>46008</c:v>
                </c:pt>
                <c:pt idx="38">
                  <c:v>46009</c:v>
                </c:pt>
                <c:pt idx="39">
                  <c:v>46010</c:v>
                </c:pt>
                <c:pt idx="40">
                  <c:v>46011</c:v>
                </c:pt>
                <c:pt idx="41">
                  <c:v>46012</c:v>
                </c:pt>
                <c:pt idx="42">
                  <c:v>46013</c:v>
                </c:pt>
                <c:pt idx="43">
                  <c:v>46014</c:v>
                </c:pt>
                <c:pt idx="44">
                  <c:v>46015</c:v>
                </c:pt>
                <c:pt idx="45">
                  <c:v>46016</c:v>
                </c:pt>
                <c:pt idx="46">
                  <c:v>46017</c:v>
                </c:pt>
                <c:pt idx="47">
                  <c:v>46018</c:v>
                </c:pt>
                <c:pt idx="48">
                  <c:v>46019</c:v>
                </c:pt>
                <c:pt idx="49">
                  <c:v>46020</c:v>
                </c:pt>
                <c:pt idx="50">
                  <c:v>46021</c:v>
                </c:pt>
                <c:pt idx="51">
                  <c:v>46022</c:v>
                </c:pt>
                <c:pt idx="52">
                  <c:v>46023</c:v>
                </c:pt>
                <c:pt idx="53">
                  <c:v>46024</c:v>
                </c:pt>
                <c:pt idx="54">
                  <c:v>46025</c:v>
                </c:pt>
                <c:pt idx="55">
                  <c:v>46026</c:v>
                </c:pt>
                <c:pt idx="56">
                  <c:v>46027</c:v>
                </c:pt>
                <c:pt idx="57">
                  <c:v>46028</c:v>
                </c:pt>
                <c:pt idx="58">
                  <c:v>46029</c:v>
                </c:pt>
                <c:pt idx="59">
                  <c:v>46030</c:v>
                </c:pt>
                <c:pt idx="60">
                  <c:v>46031</c:v>
                </c:pt>
                <c:pt idx="61">
                  <c:v>46032</c:v>
                </c:pt>
                <c:pt idx="62">
                  <c:v>46033</c:v>
                </c:pt>
                <c:pt idx="63">
                  <c:v>46034</c:v>
                </c:pt>
                <c:pt idx="64">
                  <c:v>46035</c:v>
                </c:pt>
                <c:pt idx="65">
                  <c:v>46036</c:v>
                </c:pt>
                <c:pt idx="66">
                  <c:v>46037</c:v>
                </c:pt>
                <c:pt idx="67">
                  <c:v>46038</c:v>
                </c:pt>
                <c:pt idx="68">
                  <c:v>46039</c:v>
                </c:pt>
                <c:pt idx="69">
                  <c:v>46040</c:v>
                </c:pt>
                <c:pt idx="70">
                  <c:v>46041</c:v>
                </c:pt>
                <c:pt idx="71">
                  <c:v>46042</c:v>
                </c:pt>
                <c:pt idx="72">
                  <c:v>46043</c:v>
                </c:pt>
                <c:pt idx="73">
                  <c:v>46044</c:v>
                </c:pt>
                <c:pt idx="74">
                  <c:v>46045</c:v>
                </c:pt>
                <c:pt idx="75">
                  <c:v>46046</c:v>
                </c:pt>
                <c:pt idx="76">
                  <c:v>46047</c:v>
                </c:pt>
                <c:pt idx="77">
                  <c:v>46048</c:v>
                </c:pt>
                <c:pt idx="78">
                  <c:v>46049</c:v>
                </c:pt>
                <c:pt idx="79">
                  <c:v>46050</c:v>
                </c:pt>
                <c:pt idx="80">
                  <c:v>46051</c:v>
                </c:pt>
                <c:pt idx="81">
                  <c:v>46052</c:v>
                </c:pt>
                <c:pt idx="82">
                  <c:v>46053</c:v>
                </c:pt>
                <c:pt idx="83">
                  <c:v>46054</c:v>
                </c:pt>
                <c:pt idx="84">
                  <c:v>46055</c:v>
                </c:pt>
                <c:pt idx="85">
                  <c:v>46056</c:v>
                </c:pt>
                <c:pt idx="86">
                  <c:v>46057</c:v>
                </c:pt>
                <c:pt idx="87">
                  <c:v>46058</c:v>
                </c:pt>
                <c:pt idx="88">
                  <c:v>46059</c:v>
                </c:pt>
                <c:pt idx="89">
                  <c:v>46060</c:v>
                </c:pt>
                <c:pt idx="90">
                  <c:v>46061</c:v>
                </c:pt>
                <c:pt idx="91">
                  <c:v>46062</c:v>
                </c:pt>
                <c:pt idx="92">
                  <c:v>46063</c:v>
                </c:pt>
                <c:pt idx="93">
                  <c:v>46064</c:v>
                </c:pt>
                <c:pt idx="94">
                  <c:v>46065</c:v>
                </c:pt>
                <c:pt idx="95">
                  <c:v>46066</c:v>
                </c:pt>
                <c:pt idx="96">
                  <c:v>46067</c:v>
                </c:pt>
                <c:pt idx="97">
                  <c:v>46068</c:v>
                </c:pt>
                <c:pt idx="98">
                  <c:v>46069</c:v>
                </c:pt>
                <c:pt idx="99">
                  <c:v>46070</c:v>
                </c:pt>
                <c:pt idx="100">
                  <c:v>46071</c:v>
                </c:pt>
                <c:pt idx="101">
                  <c:v>46072</c:v>
                </c:pt>
                <c:pt idx="102">
                  <c:v>46073</c:v>
                </c:pt>
                <c:pt idx="103">
                  <c:v>46074</c:v>
                </c:pt>
                <c:pt idx="104">
                  <c:v>46075</c:v>
                </c:pt>
                <c:pt idx="105">
                  <c:v>46076</c:v>
                </c:pt>
                <c:pt idx="106">
                  <c:v>46077</c:v>
                </c:pt>
                <c:pt idx="107">
                  <c:v>46078</c:v>
                </c:pt>
                <c:pt idx="108">
                  <c:v>46079</c:v>
                </c:pt>
                <c:pt idx="109">
                  <c:v>46080</c:v>
                </c:pt>
              </c:numCache>
            </c:numRef>
          </c:xVal>
          <c:yVal>
            <c:numRef>
              <c:f>'Baseline 1 - Perfect, 24hr'!$AL$3:$AL$112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'Baseline 1 - Perfect, 24hr'!$Z$3:$Z$112</c15:f>
                <c15:dlblRangeCache>
                  <c:ptCount val="110"/>
                </c15:dlblRangeCache>
              </c15:datalabelsRange>
            </c:ext>
            <c:ext xmlns:c16="http://schemas.microsoft.com/office/drawing/2014/chart" uri="{C3380CC4-5D6E-409C-BE32-E72D297353CC}">
              <c16:uniqueId val="{00000156-96A1-441F-A2A1-36125F8FCE94}"/>
            </c:ext>
          </c:extLst>
        </c:ser>
        <c:ser>
          <c:idx val="11"/>
          <c:order val="11"/>
          <c:tx>
            <c:strRef>
              <c:f>'Baseline 1 - Perfect, 24hr'!$AM$1</c:f>
              <c:strCache>
                <c:ptCount val="1"/>
                <c:pt idx="0">
                  <c:v>Ice Core Boxes Still Needed OUT</c:v>
                </c:pt>
              </c:strCache>
            </c:strRef>
          </c:tx>
          <c:spPr>
            <a:ln w="19050" cap="rnd">
              <a:solidFill>
                <a:schemeClr val="accent6">
                  <a:lumMod val="60000"/>
                </a:schemeClr>
              </a:solidFill>
              <a:round/>
            </a:ln>
            <a:effectLst/>
          </c:spPr>
          <c:marker>
            <c:symbol val="x"/>
            <c:size val="10"/>
            <c:spPr>
              <a:noFill/>
              <a:ln w="31750">
                <a:solidFill>
                  <a:srgbClr val="00B050"/>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7-96A1-441F-A2A1-36125F8FCE94}"/>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8-96A1-441F-A2A1-36125F8FCE94}"/>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9-96A1-441F-A2A1-36125F8FCE94}"/>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A-96A1-441F-A2A1-36125F8FCE94}"/>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B-96A1-441F-A2A1-36125F8FCE94}"/>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C-96A1-441F-A2A1-36125F8FCE94}"/>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D-96A1-441F-A2A1-36125F8FCE94}"/>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E-96A1-441F-A2A1-36125F8FCE94}"/>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F-96A1-441F-A2A1-36125F8FCE94}"/>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0-96A1-441F-A2A1-36125F8FCE94}"/>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1-96A1-441F-A2A1-36125F8FCE94}"/>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2-96A1-441F-A2A1-36125F8FCE94}"/>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3-96A1-441F-A2A1-36125F8FCE94}"/>
                </c:ext>
              </c:extLst>
            </c:dLbl>
            <c:dLbl>
              <c:idx val="13"/>
              <c:tx>
                <c:rich>
                  <a:bodyPr/>
                  <a:lstStyle/>
                  <a:p>
                    <a:fld id="{723BD9CE-9E2E-413D-A229-4A747BED9B79}"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4-96A1-441F-A2A1-36125F8FCE94}"/>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5-96A1-441F-A2A1-36125F8FCE94}"/>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6-96A1-441F-A2A1-36125F8FCE94}"/>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7-96A1-441F-A2A1-36125F8FCE94}"/>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8-96A1-441F-A2A1-36125F8FCE94}"/>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9-96A1-441F-A2A1-36125F8FCE94}"/>
                </c:ext>
              </c:extLst>
            </c:dLbl>
            <c:dLbl>
              <c:idx val="19"/>
              <c:tx>
                <c:rich>
                  <a:bodyPr/>
                  <a:lstStyle/>
                  <a:p>
                    <a:fld id="{8BF19CD5-490A-42A8-86B9-B608E9B6ED55}"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A-96A1-441F-A2A1-36125F8FCE94}"/>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B-96A1-441F-A2A1-36125F8FCE94}"/>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C-96A1-441F-A2A1-36125F8FCE94}"/>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D-96A1-441F-A2A1-36125F8FCE94}"/>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E-96A1-441F-A2A1-36125F8FCE94}"/>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F-96A1-441F-A2A1-36125F8FCE94}"/>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0-96A1-441F-A2A1-36125F8FCE94}"/>
                </c:ext>
              </c:extLst>
            </c:dLbl>
            <c:dLbl>
              <c:idx val="26"/>
              <c:tx>
                <c:rich>
                  <a:bodyPr/>
                  <a:lstStyle/>
                  <a:p>
                    <a:fld id="{5249D2F0-2CF9-4A78-B1FD-8B05553CC161}"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1-96A1-441F-A2A1-36125F8FCE94}"/>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2-96A1-441F-A2A1-36125F8FCE94}"/>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3-96A1-441F-A2A1-36125F8FCE94}"/>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4-96A1-441F-A2A1-36125F8FCE94}"/>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5-96A1-441F-A2A1-36125F8FCE94}"/>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6-96A1-441F-A2A1-36125F8FCE94}"/>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7-96A1-441F-A2A1-36125F8FCE94}"/>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8-96A1-441F-A2A1-36125F8FCE94}"/>
                </c:ext>
              </c:extLst>
            </c:dLbl>
            <c:dLbl>
              <c:idx val="34"/>
              <c:tx>
                <c:rich>
                  <a:bodyPr/>
                  <a:lstStyle/>
                  <a:p>
                    <a:fld id="{EE12A51A-AFB6-4EDE-9644-33166FE3C44B}"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9-96A1-441F-A2A1-36125F8FCE94}"/>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A-96A1-441F-A2A1-36125F8FCE94}"/>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B-96A1-441F-A2A1-36125F8FCE94}"/>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C-96A1-441F-A2A1-36125F8FCE94}"/>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D-96A1-441F-A2A1-36125F8FCE94}"/>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E-96A1-441F-A2A1-36125F8FCE94}"/>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F-96A1-441F-A2A1-36125F8FCE94}"/>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0-96A1-441F-A2A1-36125F8FCE94}"/>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1-96A1-441F-A2A1-36125F8FCE94}"/>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2-96A1-441F-A2A1-36125F8FCE94}"/>
                </c:ext>
              </c:extLst>
            </c:dLbl>
            <c:dLbl>
              <c:idx val="44"/>
              <c:tx>
                <c:rich>
                  <a:bodyPr/>
                  <a:lstStyle/>
                  <a:p>
                    <a:fld id="{A80BA304-D25B-47A8-AF4B-670D84D3CEC5}"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3-96A1-441F-A2A1-36125F8FCE94}"/>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4-96A1-441F-A2A1-36125F8FCE94}"/>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5-96A1-441F-A2A1-36125F8FCE94}"/>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6-96A1-441F-A2A1-36125F8FCE94}"/>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7-96A1-441F-A2A1-36125F8FCE94}"/>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8-96A1-441F-A2A1-36125F8FCE94}"/>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9-96A1-441F-A2A1-36125F8FCE94}"/>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A-96A1-441F-A2A1-36125F8FCE94}"/>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B-96A1-441F-A2A1-36125F8FCE94}"/>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C-96A1-441F-A2A1-36125F8FCE94}"/>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D-96A1-441F-A2A1-36125F8FCE94}"/>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E-96A1-441F-A2A1-36125F8FCE94}"/>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F-96A1-441F-A2A1-36125F8FCE94}"/>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0-96A1-441F-A2A1-36125F8FCE94}"/>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1-96A1-441F-A2A1-36125F8FCE94}"/>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2-96A1-441F-A2A1-36125F8FCE94}"/>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3-96A1-441F-A2A1-36125F8FCE94}"/>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4-96A1-441F-A2A1-36125F8FCE94}"/>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5-96A1-441F-A2A1-36125F8FCE94}"/>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6-96A1-441F-A2A1-36125F8FCE94}"/>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7-96A1-441F-A2A1-36125F8FCE94}"/>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8-96A1-441F-A2A1-36125F8FCE94}"/>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9-96A1-441F-A2A1-36125F8FCE94}"/>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A-96A1-441F-A2A1-36125F8FCE94}"/>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B-96A1-441F-A2A1-36125F8FCE94}"/>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C-96A1-441F-A2A1-36125F8FCE94}"/>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D-96A1-441F-A2A1-36125F8FCE94}"/>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E-96A1-441F-A2A1-36125F8FCE94}"/>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F-96A1-441F-A2A1-36125F8FCE94}"/>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0-96A1-441F-A2A1-36125F8FCE94}"/>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1-96A1-441F-A2A1-36125F8FCE94}"/>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2-96A1-441F-A2A1-36125F8FCE94}"/>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3-96A1-441F-A2A1-36125F8FCE94}"/>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4-96A1-441F-A2A1-36125F8FCE94}"/>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5-96A1-441F-A2A1-36125F8FCE94}"/>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6-96A1-441F-A2A1-36125F8FCE94}"/>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7-96A1-441F-A2A1-36125F8FCE94}"/>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8-96A1-441F-A2A1-36125F8FCE94}"/>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9-96A1-441F-A2A1-36125F8FCE94}"/>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A-96A1-441F-A2A1-36125F8FCE94}"/>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B-96A1-441F-A2A1-36125F8FCE94}"/>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C-96A1-441F-A2A1-36125F8FCE94}"/>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D-96A1-441F-A2A1-36125F8FCE94}"/>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E-96A1-441F-A2A1-36125F8FCE94}"/>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F-96A1-441F-A2A1-36125F8FCE94}"/>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0-96A1-441F-A2A1-36125F8FCE94}"/>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1-96A1-441F-A2A1-36125F8FCE94}"/>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2-96A1-441F-A2A1-36125F8FCE94}"/>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3-96A1-441F-A2A1-36125F8FCE94}"/>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4-96A1-441F-A2A1-36125F8FCE94}"/>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5-96A1-441F-A2A1-36125F8FCE94}"/>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6-96A1-441F-A2A1-36125F8FCE94}"/>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7-96A1-441F-A2A1-36125F8FCE94}"/>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8-96A1-441F-A2A1-36125F8FCE94}"/>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9-96A1-441F-A2A1-36125F8FCE94}"/>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A-96A1-441F-A2A1-36125F8FCE94}"/>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B-96A1-441F-A2A1-36125F8FCE94}"/>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C-96A1-441F-A2A1-36125F8FCE94}"/>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D-96A1-441F-A2A1-36125F8FCE94}"/>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E-96A1-441F-A2A1-36125F8FCE94}"/>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F-96A1-441F-A2A1-36125F8FCE94}"/>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0-96A1-441F-A2A1-36125F8FCE94}"/>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1-96A1-441F-A2A1-36125F8FCE94}"/>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2-96A1-441F-A2A1-36125F8FCE94}"/>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3-96A1-441F-A2A1-36125F8FCE94}"/>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4-96A1-441F-A2A1-36125F8FCE9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B050"/>
                      </a:solidFill>
                    </a:ln>
                    <a:solidFill>
                      <a:srgbClr val="00B05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'Baseline 1 - Perfect, 24hr'!$B$3:$B$112</c:f>
              <c:numCache>
                <c:formatCode>m/d/yyyy</c:formatCode>
                <c:ptCount val="110"/>
                <c:pt idx="0">
                  <c:v>45971</c:v>
                </c:pt>
                <c:pt idx="1">
                  <c:v>45972</c:v>
                </c:pt>
                <c:pt idx="2">
                  <c:v>45973</c:v>
                </c:pt>
                <c:pt idx="3">
                  <c:v>45974</c:v>
                </c:pt>
                <c:pt idx="4">
                  <c:v>45975</c:v>
                </c:pt>
                <c:pt idx="5">
                  <c:v>45976</c:v>
                </c:pt>
                <c:pt idx="6">
                  <c:v>45977</c:v>
                </c:pt>
                <c:pt idx="7">
                  <c:v>45978</c:v>
                </c:pt>
                <c:pt idx="8">
                  <c:v>45979</c:v>
                </c:pt>
                <c:pt idx="9">
                  <c:v>45980</c:v>
                </c:pt>
                <c:pt idx="10">
                  <c:v>45981</c:v>
                </c:pt>
                <c:pt idx="11">
                  <c:v>45982</c:v>
                </c:pt>
                <c:pt idx="12">
                  <c:v>45983</c:v>
                </c:pt>
                <c:pt idx="13">
                  <c:v>45984</c:v>
                </c:pt>
                <c:pt idx="14">
                  <c:v>45985</c:v>
                </c:pt>
                <c:pt idx="15">
                  <c:v>45986</c:v>
                </c:pt>
                <c:pt idx="16">
                  <c:v>45987</c:v>
                </c:pt>
                <c:pt idx="17">
                  <c:v>45988</c:v>
                </c:pt>
                <c:pt idx="18">
                  <c:v>45989</c:v>
                </c:pt>
                <c:pt idx="19">
                  <c:v>45990</c:v>
                </c:pt>
                <c:pt idx="20">
                  <c:v>45991</c:v>
                </c:pt>
                <c:pt idx="21">
                  <c:v>45992</c:v>
                </c:pt>
                <c:pt idx="22">
                  <c:v>45993</c:v>
                </c:pt>
                <c:pt idx="23">
                  <c:v>45994</c:v>
                </c:pt>
                <c:pt idx="24">
                  <c:v>45995</c:v>
                </c:pt>
                <c:pt idx="25">
                  <c:v>45996</c:v>
                </c:pt>
                <c:pt idx="26">
                  <c:v>45997</c:v>
                </c:pt>
                <c:pt idx="27">
                  <c:v>45998</c:v>
                </c:pt>
                <c:pt idx="28">
                  <c:v>45999</c:v>
                </c:pt>
                <c:pt idx="29">
                  <c:v>46000</c:v>
                </c:pt>
                <c:pt idx="30">
                  <c:v>46001</c:v>
                </c:pt>
                <c:pt idx="31">
                  <c:v>46002</c:v>
                </c:pt>
                <c:pt idx="32">
                  <c:v>46003</c:v>
                </c:pt>
                <c:pt idx="33">
                  <c:v>46004</c:v>
                </c:pt>
                <c:pt idx="34">
                  <c:v>46005</c:v>
                </c:pt>
                <c:pt idx="35">
                  <c:v>46006</c:v>
                </c:pt>
                <c:pt idx="36">
                  <c:v>46007</c:v>
                </c:pt>
                <c:pt idx="37">
                  <c:v>46008</c:v>
                </c:pt>
                <c:pt idx="38">
                  <c:v>46009</c:v>
                </c:pt>
                <c:pt idx="39">
                  <c:v>46010</c:v>
                </c:pt>
                <c:pt idx="40">
                  <c:v>46011</c:v>
                </c:pt>
                <c:pt idx="41">
                  <c:v>46012</c:v>
                </c:pt>
                <c:pt idx="42">
                  <c:v>46013</c:v>
                </c:pt>
                <c:pt idx="43">
                  <c:v>46014</c:v>
                </c:pt>
                <c:pt idx="44">
                  <c:v>46015</c:v>
                </c:pt>
                <c:pt idx="45">
                  <c:v>46016</c:v>
                </c:pt>
                <c:pt idx="46">
                  <c:v>46017</c:v>
                </c:pt>
                <c:pt idx="47">
                  <c:v>46018</c:v>
                </c:pt>
                <c:pt idx="48">
                  <c:v>46019</c:v>
                </c:pt>
                <c:pt idx="49">
                  <c:v>46020</c:v>
                </c:pt>
                <c:pt idx="50">
                  <c:v>46021</c:v>
                </c:pt>
                <c:pt idx="51">
                  <c:v>46022</c:v>
                </c:pt>
                <c:pt idx="52">
                  <c:v>46023</c:v>
                </c:pt>
                <c:pt idx="53">
                  <c:v>46024</c:v>
                </c:pt>
                <c:pt idx="54">
                  <c:v>46025</c:v>
                </c:pt>
                <c:pt idx="55">
                  <c:v>46026</c:v>
                </c:pt>
                <c:pt idx="56">
                  <c:v>46027</c:v>
                </c:pt>
                <c:pt idx="57">
                  <c:v>46028</c:v>
                </c:pt>
                <c:pt idx="58">
                  <c:v>46029</c:v>
                </c:pt>
                <c:pt idx="59">
                  <c:v>46030</c:v>
                </c:pt>
                <c:pt idx="60">
                  <c:v>46031</c:v>
                </c:pt>
                <c:pt idx="61">
                  <c:v>46032</c:v>
                </c:pt>
                <c:pt idx="62">
                  <c:v>46033</c:v>
                </c:pt>
                <c:pt idx="63">
                  <c:v>46034</c:v>
                </c:pt>
                <c:pt idx="64">
                  <c:v>46035</c:v>
                </c:pt>
                <c:pt idx="65">
                  <c:v>46036</c:v>
                </c:pt>
                <c:pt idx="66">
                  <c:v>46037</c:v>
                </c:pt>
                <c:pt idx="67">
                  <c:v>46038</c:v>
                </c:pt>
                <c:pt idx="68">
                  <c:v>46039</c:v>
                </c:pt>
                <c:pt idx="69">
                  <c:v>46040</c:v>
                </c:pt>
                <c:pt idx="70">
                  <c:v>46041</c:v>
                </c:pt>
                <c:pt idx="71">
                  <c:v>46042</c:v>
                </c:pt>
                <c:pt idx="72">
                  <c:v>46043</c:v>
                </c:pt>
                <c:pt idx="73">
                  <c:v>46044</c:v>
                </c:pt>
                <c:pt idx="74">
                  <c:v>46045</c:v>
                </c:pt>
                <c:pt idx="75">
                  <c:v>46046</c:v>
                </c:pt>
                <c:pt idx="76">
                  <c:v>46047</c:v>
                </c:pt>
                <c:pt idx="77">
                  <c:v>46048</c:v>
                </c:pt>
                <c:pt idx="78">
                  <c:v>46049</c:v>
                </c:pt>
                <c:pt idx="79">
                  <c:v>46050</c:v>
                </c:pt>
                <c:pt idx="80">
                  <c:v>46051</c:v>
                </c:pt>
                <c:pt idx="81">
                  <c:v>46052</c:v>
                </c:pt>
                <c:pt idx="82">
                  <c:v>46053</c:v>
                </c:pt>
                <c:pt idx="83">
                  <c:v>46054</c:v>
                </c:pt>
                <c:pt idx="84">
                  <c:v>46055</c:v>
                </c:pt>
                <c:pt idx="85">
                  <c:v>46056</c:v>
                </c:pt>
                <c:pt idx="86">
                  <c:v>46057</c:v>
                </c:pt>
                <c:pt idx="87">
                  <c:v>46058</c:v>
                </c:pt>
                <c:pt idx="88">
                  <c:v>46059</c:v>
                </c:pt>
                <c:pt idx="89">
                  <c:v>46060</c:v>
                </c:pt>
                <c:pt idx="90">
                  <c:v>46061</c:v>
                </c:pt>
                <c:pt idx="91">
                  <c:v>46062</c:v>
                </c:pt>
                <c:pt idx="92">
                  <c:v>46063</c:v>
                </c:pt>
                <c:pt idx="93">
                  <c:v>46064</c:v>
                </c:pt>
                <c:pt idx="94">
                  <c:v>46065</c:v>
                </c:pt>
                <c:pt idx="95">
                  <c:v>46066</c:v>
                </c:pt>
                <c:pt idx="96">
                  <c:v>46067</c:v>
                </c:pt>
                <c:pt idx="97">
                  <c:v>46068</c:v>
                </c:pt>
                <c:pt idx="98">
                  <c:v>46069</c:v>
                </c:pt>
                <c:pt idx="99">
                  <c:v>46070</c:v>
                </c:pt>
                <c:pt idx="100">
                  <c:v>46071</c:v>
                </c:pt>
                <c:pt idx="101">
                  <c:v>46072</c:v>
                </c:pt>
                <c:pt idx="102">
                  <c:v>46073</c:v>
                </c:pt>
                <c:pt idx="103">
                  <c:v>46074</c:v>
                </c:pt>
                <c:pt idx="104">
                  <c:v>46075</c:v>
                </c:pt>
                <c:pt idx="105">
                  <c:v>46076</c:v>
                </c:pt>
                <c:pt idx="106">
                  <c:v>46077</c:v>
                </c:pt>
                <c:pt idx="107">
                  <c:v>46078</c:v>
                </c:pt>
                <c:pt idx="108">
                  <c:v>46079</c:v>
                </c:pt>
                <c:pt idx="109">
                  <c:v>46080</c:v>
                </c:pt>
              </c:numCache>
            </c:numRef>
          </c:xVal>
          <c:yVal>
            <c:numRef>
              <c:f>'Baseline 1 - Perfect, 24hr'!$AM$3:$AM$112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-105</c:v>
                </c:pt>
                <c:pt idx="14">
                  <c:v>#N/A</c:v>
                </c:pt>
                <c:pt idx="15">
                  <c:v>#N/A</c:v>
                </c:pt>
                <c:pt idx="16">
                  <c:v>#N/A</c:v>
                </c:pt>
                <c:pt idx="17">
                  <c:v>#N/A</c:v>
                </c:pt>
                <c:pt idx="18">
                  <c:v>#N/A</c:v>
                </c:pt>
                <c:pt idx="19">
                  <c:v>-105</c:v>
                </c:pt>
                <c:pt idx="20">
                  <c:v>#N/A</c:v>
                </c:pt>
                <c:pt idx="21">
                  <c:v>#N/A</c:v>
                </c:pt>
                <c:pt idx="22">
                  <c:v>#N/A</c:v>
                </c:pt>
                <c:pt idx="23">
                  <c:v>#N/A</c:v>
                </c:pt>
                <c:pt idx="24">
                  <c:v>#N/A</c:v>
                </c:pt>
                <c:pt idx="25">
                  <c:v>#N/A</c:v>
                </c:pt>
                <c:pt idx="26">
                  <c:v>-105</c:v>
                </c:pt>
                <c:pt idx="27">
                  <c:v>#N/A</c:v>
                </c:pt>
                <c:pt idx="28">
                  <c:v>#N/A</c:v>
                </c:pt>
                <c:pt idx="29">
                  <c:v>#N/A</c:v>
                </c:pt>
                <c:pt idx="30">
                  <c:v>#N/A</c:v>
                </c:pt>
                <c:pt idx="31">
                  <c:v>#N/A</c:v>
                </c:pt>
                <c:pt idx="32">
                  <c:v>#N/A</c:v>
                </c:pt>
                <c:pt idx="33">
                  <c:v>#N/A</c:v>
                </c:pt>
                <c:pt idx="34">
                  <c:v>-105</c:v>
                </c:pt>
                <c:pt idx="35">
                  <c:v>#N/A</c:v>
                </c:pt>
                <c:pt idx="36">
                  <c:v>#N/A</c:v>
                </c:pt>
                <c:pt idx="37">
                  <c:v>#N/A</c:v>
                </c:pt>
                <c:pt idx="38">
                  <c:v>#N/A</c:v>
                </c:pt>
                <c:pt idx="39">
                  <c:v>#N/A</c:v>
                </c:pt>
                <c:pt idx="40">
                  <c:v>#N/A</c:v>
                </c:pt>
                <c:pt idx="41">
                  <c:v>#N/A</c:v>
                </c:pt>
                <c:pt idx="42">
                  <c:v>#N/A</c:v>
                </c:pt>
                <c:pt idx="43">
                  <c:v>#N/A</c:v>
                </c:pt>
                <c:pt idx="44">
                  <c:v>-105</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'Baseline 1 - Perfect, 24hr'!$AA$3:$AA$112</c15:f>
                <c15:dlblRangeCache>
                  <c:ptCount val="110"/>
                  <c:pt idx="0">
                    <c:v>0</c:v>
                  </c:pt>
                  <c:pt idx="1">
                    <c:v>0</c:v>
                  </c:pt>
                  <c:pt idx="2">
                    <c:v>0</c:v>
                  </c:pt>
                  <c:pt idx="3">
                    <c:v>0</c:v>
                  </c:pt>
                  <c:pt idx="4">
                    <c:v>0</c:v>
                  </c:pt>
                  <c:pt idx="5">
                    <c:v>0</c:v>
                  </c:pt>
                  <c:pt idx="6">
                    <c:v>0</c:v>
                  </c:pt>
                  <c:pt idx="7">
                    <c:v>0</c:v>
                  </c:pt>
                  <c:pt idx="8">
                    <c:v>0</c:v>
                  </c:pt>
                  <c:pt idx="9">
                    <c:v>0</c:v>
                  </c:pt>
                  <c:pt idx="10">
                    <c:v>0</c:v>
                  </c:pt>
                  <c:pt idx="11">
                    <c:v>0</c:v>
                  </c:pt>
                  <c:pt idx="12">
                    <c:v>0</c:v>
                  </c:pt>
                  <c:pt idx="13">
                    <c:v>20</c:v>
                  </c:pt>
                  <c:pt idx="14">
                    <c:v>0</c:v>
                  </c:pt>
                  <c:pt idx="15">
                    <c:v>0</c:v>
                  </c:pt>
                  <c:pt idx="16">
                    <c:v>0</c:v>
                  </c:pt>
                  <c:pt idx="17">
                    <c:v>0</c:v>
                  </c:pt>
                  <c:pt idx="18">
                    <c:v>0</c:v>
                  </c:pt>
                  <c:pt idx="19">
                    <c:v>20</c:v>
                  </c:pt>
                  <c:pt idx="20">
                    <c:v>0</c:v>
                  </c:pt>
                  <c:pt idx="21">
                    <c:v>0</c:v>
                  </c:pt>
                  <c:pt idx="22">
                    <c:v>0</c:v>
                  </c:pt>
                  <c:pt idx="23">
                    <c:v>0</c:v>
                  </c:pt>
                  <c:pt idx="24">
                    <c:v>0</c:v>
                  </c:pt>
                  <c:pt idx="25">
                    <c:v>0</c:v>
                  </c:pt>
                  <c:pt idx="26">
                    <c:v>20</c:v>
                  </c:pt>
                  <c:pt idx="27">
                    <c:v>0</c:v>
                  </c:pt>
                  <c:pt idx="28">
                    <c:v>0</c:v>
                  </c:pt>
                  <c:pt idx="29">
                    <c:v>0</c:v>
                  </c:pt>
                  <c:pt idx="30">
                    <c:v>0</c:v>
                  </c:pt>
                  <c:pt idx="31">
                    <c:v>0</c:v>
                  </c:pt>
                  <c:pt idx="32">
                    <c:v>0</c:v>
                  </c:pt>
                  <c:pt idx="33">
                    <c:v>0</c:v>
                  </c:pt>
                  <c:pt idx="34">
                    <c:v>20</c:v>
                  </c:pt>
                  <c:pt idx="35">
                    <c:v>0</c:v>
                  </c:pt>
                  <c:pt idx="36">
                    <c:v>0</c:v>
                  </c:pt>
                  <c:pt idx="37">
                    <c:v>0</c:v>
                  </c:pt>
                  <c:pt idx="38">
                    <c:v>0</c:v>
                  </c:pt>
                  <c:pt idx="39">
                    <c:v>0</c:v>
                  </c:pt>
                  <c:pt idx="40">
                    <c:v>0</c:v>
                  </c:pt>
                  <c:pt idx="41">
                    <c:v>0</c:v>
                  </c:pt>
                  <c:pt idx="42">
                    <c:v>0</c:v>
                  </c:pt>
                  <c:pt idx="43">
                    <c:v>0</c:v>
                  </c:pt>
                  <c:pt idx="44">
                    <c:v>20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15:dlblRangeCache>
              </c15:datalabelsRange>
            </c:ext>
            <c:ext xmlns:c16="http://schemas.microsoft.com/office/drawing/2014/chart" uri="{C3380CC4-5D6E-409C-BE32-E72D297353CC}">
              <c16:uniqueId val="{000001C5-96A1-441F-A2A1-36125F8FCE94}"/>
            </c:ext>
          </c:extLst>
        </c:ser>
        <c:dLbls>
          <c:showLegendKey val="0"/>
          <c:showVal val="0"/>
          <c:showCatName val="0"/>
          <c:showSerName val="0"/>
          <c:showPercent val="0"/>
          <c:showBubbleSize val="0"/>
        </c:dLbls>
        <c:axId val="311442800"/>
        <c:axId val="311442320"/>
      </c:scatterChart>
      <c:valAx>
        <c:axId val="311442800"/>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442320"/>
        <c:crosses val="autoZero"/>
        <c:crossBetween val="midCat"/>
      </c:valAx>
      <c:valAx>
        <c:axId val="3114423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44280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'Baseline 2 - Good, 16hr'!$AD$1</c:f>
              <c:strCache>
                <c:ptCount val="1"/>
                <c:pt idx="0">
                  <c:v>End of Day Drill Depth</c:v>
                </c:pt>
              </c:strCache>
            </c:strRef>
          </c:tx>
          <c:spPr>
            <a:ln w="19050" cap="rnd">
              <a:solidFill>
                <a:srgbClr val="00B050"/>
              </a:solidFill>
              <a:round/>
            </a:ln>
            <a:effectLst/>
          </c:spPr>
          <c:marker>
            <c:symbol val="none"/>
          </c:marker>
          <c:xVal>
            <c:numRef>
              <c:f>'Baseline 2 - Good, 16hr'!$B$3:$B$112</c:f>
              <c:numCache>
                <c:formatCode>m/d/yyyy</c:formatCode>
                <c:ptCount val="110"/>
                <c:pt idx="0">
                  <c:v>45971</c:v>
                </c:pt>
                <c:pt idx="1">
                  <c:v>45972</c:v>
                </c:pt>
                <c:pt idx="2">
                  <c:v>45973</c:v>
                </c:pt>
                <c:pt idx="3">
                  <c:v>45974</c:v>
                </c:pt>
                <c:pt idx="4">
                  <c:v>45975</c:v>
                </c:pt>
                <c:pt idx="5">
                  <c:v>45976</c:v>
                </c:pt>
                <c:pt idx="6">
                  <c:v>45977</c:v>
                </c:pt>
                <c:pt idx="7">
                  <c:v>45978</c:v>
                </c:pt>
                <c:pt idx="8">
                  <c:v>45979</c:v>
                </c:pt>
                <c:pt idx="9">
                  <c:v>45980</c:v>
                </c:pt>
                <c:pt idx="10">
                  <c:v>45981</c:v>
                </c:pt>
                <c:pt idx="11">
                  <c:v>45982</c:v>
                </c:pt>
                <c:pt idx="12">
                  <c:v>45983</c:v>
                </c:pt>
                <c:pt idx="13">
                  <c:v>45984</c:v>
                </c:pt>
                <c:pt idx="14">
                  <c:v>45985</c:v>
                </c:pt>
                <c:pt idx="15">
                  <c:v>45986</c:v>
                </c:pt>
                <c:pt idx="16">
                  <c:v>45987</c:v>
                </c:pt>
                <c:pt idx="17">
                  <c:v>45988</c:v>
                </c:pt>
                <c:pt idx="18">
                  <c:v>45989</c:v>
                </c:pt>
                <c:pt idx="19">
                  <c:v>45990</c:v>
                </c:pt>
                <c:pt idx="20">
                  <c:v>45991</c:v>
                </c:pt>
                <c:pt idx="21">
                  <c:v>45992</c:v>
                </c:pt>
                <c:pt idx="22">
                  <c:v>45993</c:v>
                </c:pt>
                <c:pt idx="23">
                  <c:v>45994</c:v>
                </c:pt>
                <c:pt idx="24">
                  <c:v>45995</c:v>
                </c:pt>
                <c:pt idx="25">
                  <c:v>45996</c:v>
                </c:pt>
                <c:pt idx="26">
                  <c:v>45997</c:v>
                </c:pt>
                <c:pt idx="27">
                  <c:v>45998</c:v>
                </c:pt>
                <c:pt idx="28">
                  <c:v>45999</c:v>
                </c:pt>
                <c:pt idx="29">
                  <c:v>46000</c:v>
                </c:pt>
                <c:pt idx="30">
                  <c:v>46001</c:v>
                </c:pt>
                <c:pt idx="31">
                  <c:v>46002</c:v>
                </c:pt>
                <c:pt idx="32">
                  <c:v>46003</c:v>
                </c:pt>
                <c:pt idx="33">
                  <c:v>46004</c:v>
                </c:pt>
                <c:pt idx="34">
                  <c:v>46005</c:v>
                </c:pt>
                <c:pt idx="35">
                  <c:v>46006</c:v>
                </c:pt>
                <c:pt idx="36">
                  <c:v>46007</c:v>
                </c:pt>
                <c:pt idx="37">
                  <c:v>46008</c:v>
                </c:pt>
                <c:pt idx="38">
                  <c:v>46009</c:v>
                </c:pt>
                <c:pt idx="39">
                  <c:v>46010</c:v>
                </c:pt>
                <c:pt idx="40">
                  <c:v>46011</c:v>
                </c:pt>
                <c:pt idx="41">
                  <c:v>46012</c:v>
                </c:pt>
                <c:pt idx="42">
                  <c:v>46013</c:v>
                </c:pt>
                <c:pt idx="43">
                  <c:v>46014</c:v>
                </c:pt>
                <c:pt idx="44">
                  <c:v>46015</c:v>
                </c:pt>
                <c:pt idx="45">
                  <c:v>46016</c:v>
                </c:pt>
                <c:pt idx="46">
                  <c:v>46017</c:v>
                </c:pt>
                <c:pt idx="47">
                  <c:v>46018</c:v>
                </c:pt>
                <c:pt idx="48">
                  <c:v>46019</c:v>
                </c:pt>
                <c:pt idx="49">
                  <c:v>46020</c:v>
                </c:pt>
                <c:pt idx="50">
                  <c:v>46021</c:v>
                </c:pt>
                <c:pt idx="51">
                  <c:v>46022</c:v>
                </c:pt>
                <c:pt idx="52">
                  <c:v>46023</c:v>
                </c:pt>
                <c:pt idx="53">
                  <c:v>46024</c:v>
                </c:pt>
                <c:pt idx="54">
                  <c:v>46025</c:v>
                </c:pt>
                <c:pt idx="55">
                  <c:v>46026</c:v>
                </c:pt>
                <c:pt idx="56">
                  <c:v>46027</c:v>
                </c:pt>
                <c:pt idx="57">
                  <c:v>46028</c:v>
                </c:pt>
                <c:pt idx="58">
                  <c:v>46029</c:v>
                </c:pt>
                <c:pt idx="59">
                  <c:v>46030</c:v>
                </c:pt>
                <c:pt idx="60">
                  <c:v>46031</c:v>
                </c:pt>
                <c:pt idx="61">
                  <c:v>46032</c:v>
                </c:pt>
                <c:pt idx="62">
                  <c:v>46033</c:v>
                </c:pt>
                <c:pt idx="63">
                  <c:v>46034</c:v>
                </c:pt>
                <c:pt idx="64">
                  <c:v>46035</c:v>
                </c:pt>
                <c:pt idx="65">
                  <c:v>46036</c:v>
                </c:pt>
                <c:pt idx="66">
                  <c:v>46037</c:v>
                </c:pt>
                <c:pt idx="67">
                  <c:v>46038</c:v>
                </c:pt>
                <c:pt idx="68">
                  <c:v>46039</c:v>
                </c:pt>
                <c:pt idx="69">
                  <c:v>46040</c:v>
                </c:pt>
                <c:pt idx="70">
                  <c:v>46041</c:v>
                </c:pt>
                <c:pt idx="71">
                  <c:v>46042</c:v>
                </c:pt>
                <c:pt idx="72">
                  <c:v>46043</c:v>
                </c:pt>
                <c:pt idx="73">
                  <c:v>46044</c:v>
                </c:pt>
                <c:pt idx="74">
                  <c:v>46045</c:v>
                </c:pt>
                <c:pt idx="75">
                  <c:v>46046</c:v>
                </c:pt>
                <c:pt idx="76">
                  <c:v>46047</c:v>
                </c:pt>
                <c:pt idx="77">
                  <c:v>46048</c:v>
                </c:pt>
                <c:pt idx="78">
                  <c:v>46049</c:v>
                </c:pt>
                <c:pt idx="79">
                  <c:v>46050</c:v>
                </c:pt>
                <c:pt idx="80">
                  <c:v>46051</c:v>
                </c:pt>
                <c:pt idx="81">
                  <c:v>46052</c:v>
                </c:pt>
                <c:pt idx="82">
                  <c:v>46053</c:v>
                </c:pt>
                <c:pt idx="83">
                  <c:v>46054</c:v>
                </c:pt>
                <c:pt idx="84">
                  <c:v>46055</c:v>
                </c:pt>
                <c:pt idx="85">
                  <c:v>46056</c:v>
                </c:pt>
                <c:pt idx="86">
                  <c:v>46057</c:v>
                </c:pt>
                <c:pt idx="87">
                  <c:v>46058</c:v>
                </c:pt>
                <c:pt idx="88">
                  <c:v>46059</c:v>
                </c:pt>
                <c:pt idx="89">
                  <c:v>46060</c:v>
                </c:pt>
                <c:pt idx="90">
                  <c:v>46061</c:v>
                </c:pt>
                <c:pt idx="91">
                  <c:v>46062</c:v>
                </c:pt>
                <c:pt idx="92">
                  <c:v>46063</c:v>
                </c:pt>
                <c:pt idx="93">
                  <c:v>46064</c:v>
                </c:pt>
                <c:pt idx="94">
                  <c:v>46065</c:v>
                </c:pt>
                <c:pt idx="95">
                  <c:v>46066</c:v>
                </c:pt>
                <c:pt idx="96">
                  <c:v>46067</c:v>
                </c:pt>
                <c:pt idx="97">
                  <c:v>46068</c:v>
                </c:pt>
                <c:pt idx="98">
                  <c:v>46069</c:v>
                </c:pt>
                <c:pt idx="99">
                  <c:v>46070</c:v>
                </c:pt>
                <c:pt idx="100">
                  <c:v>46071</c:v>
                </c:pt>
                <c:pt idx="101">
                  <c:v>46072</c:v>
                </c:pt>
                <c:pt idx="102">
                  <c:v>46073</c:v>
                </c:pt>
                <c:pt idx="103">
                  <c:v>46074</c:v>
                </c:pt>
                <c:pt idx="104">
                  <c:v>46075</c:v>
                </c:pt>
                <c:pt idx="105">
                  <c:v>46076</c:v>
                </c:pt>
                <c:pt idx="106">
                  <c:v>46077</c:v>
                </c:pt>
                <c:pt idx="107">
                  <c:v>46078</c:v>
                </c:pt>
                <c:pt idx="108">
                  <c:v>46079</c:v>
                </c:pt>
                <c:pt idx="109">
                  <c:v>46080</c:v>
                </c:pt>
              </c:numCache>
            </c:numRef>
          </c:xVal>
          <c:yVal>
            <c:numRef>
              <c:f>'Baseline 2 - Good, 16hr'!$AD$3:$AD$112</c:f>
              <c:numCache>
                <c:formatCode>0.00</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-70</c:v>
                </c:pt>
                <c:pt idx="14">
                  <c:v>-79.833321918590045</c:v>
                </c:pt>
                <c:pt idx="15">
                  <c:v>-89.510213628273647</c:v>
                </c:pt>
                <c:pt idx="16">
                  <c:v>-99.037911344051594</c:v>
                </c:pt>
                <c:pt idx="17">
                  <c:v>-117.67201837575895</c:v>
                </c:pt>
                <c:pt idx="18">
                  <c:v>-135.78365027986609</c:v>
                </c:pt>
                <c:pt idx="19">
                  <c:v>-153.41443656587367</c:v>
                </c:pt>
                <c:pt idx="20">
                  <c:v>-170.60075568811448</c:v>
                </c:pt>
                <c:pt idx="21">
                  <c:v>-187.37461805949542</c:v>
                </c:pt>
                <c:pt idx="22">
                  <c:v>-203.76436685764563</c:v>
                </c:pt>
                <c:pt idx="23">
                  <c:v>-203.76436685764563</c:v>
                </c:pt>
                <c:pt idx="24">
                  <c:v>-219.79524057238655</c:v>
                </c:pt>
                <c:pt idx="25">
                  <c:v>-235.4898292391706</c:v>
                </c:pt>
                <c:pt idx="26">
                  <c:v>-250.86844793033515</c:v>
                </c:pt>
                <c:pt idx="27">
                  <c:v>-265.94944513768297</c:v>
                </c:pt>
                <c:pt idx="28">
                  <c:v>-280.74945940361931</c:v>
                </c:pt>
                <c:pt idx="29">
                  <c:v>-295.28363443552183</c:v>
                </c:pt>
                <c:pt idx="30">
                  <c:v>-295.28363443552183</c:v>
                </c:pt>
                <c:pt idx="31">
                  <c:v>-309.56580062861497</c:v>
                </c:pt>
                <c:pt idx="32">
                  <c:v>-323.60862919440467</c:v>
                </c:pt>
                <c:pt idx="33">
                  <c:v>-337.42376378429043</c:v>
                </c:pt>
                <c:pt idx="34">
                  <c:v>-351.02193349884237</c:v>
                </c:pt>
                <c:pt idx="35">
                  <c:v>-364.41305040252013</c:v>
                </c:pt>
                <c:pt idx="36">
                  <c:v>-377.60629406387062</c:v>
                </c:pt>
                <c:pt idx="37">
                  <c:v>-377.60629406387062</c:v>
                </c:pt>
                <c:pt idx="38">
                  <c:v>-390.61018517072768</c:v>
                </c:pt>
                <c:pt idx="39">
                  <c:v>-403.43264989796455</c:v>
                </c:pt>
                <c:pt idx="40">
                  <c:v>-416.08107640916643</c:v>
                </c:pt>
                <c:pt idx="41">
                  <c:v>-428.56236463615431</c:v>
                </c:pt>
                <c:pt idx="42">
                  <c:v>-440.88297028873444</c:v>
                </c:pt>
                <c:pt idx="43">
                  <c:v>-453.04894389157988</c:v>
                </c:pt>
                <c:pt idx="44">
                  <c:v>-453.04894389157988</c:v>
                </c:pt>
                <c:pt idx="45">
                  <c:v>-465.06596551824731</c:v>
                </c:pt>
                <c:pt idx="46">
                  <c:v>-476.93937578819299</c:v>
                </c:pt>
                <c:pt idx="47">
                  <c:v>-488.67420360675334</c:v>
                </c:pt>
                <c:pt idx="48">
                  <c:v>-488.67420360675334</c:v>
                </c:pt>
                <c:pt idx="49">
                  <c:v>-500.27519105685997</c:v>
                </c:pt>
                <c:pt idx="50">
                  <c:v>-511.74681579197869</c:v>
                </c:pt>
                <c:pt idx="51">
                  <c:v>-523.09331123018478</c:v>
                </c:pt>
                <c:pt idx="52">
                  <c:v>-534.31868480765161</c:v>
                </c:pt>
                <c:pt idx="53">
                  <c:v>-545.42673451472353</c:v>
                </c:pt>
                <c:pt idx="54">
                  <c:v>-545.42673451472353</c:v>
                </c:pt>
                <c:pt idx="55">
                  <c:v>-556.42106390803451</c:v>
                </c:pt>
                <c:pt idx="56">
                  <c:v>-567.30509576689167</c:v>
                </c:pt>
                <c:pt idx="57">
                  <c:v>-578.08208454063117</c:v>
                </c:pt>
                <c:pt idx="58">
                  <c:v>-578.08208454063117</c:v>
                </c:pt>
                <c:pt idx="59">
                  <c:v>-588.75512771525189</c:v>
                </c:pt>
                <c:pt idx="60">
                  <c:v>-599.32717621184429</c:v>
                </c:pt>
                <c:pt idx="61">
                  <c:v>-609.80104391574457</c:v>
                </c:pt>
                <c:pt idx="62">
                  <c:v>-620.17941642361563</c:v>
                </c:pt>
                <c:pt idx="63">
                  <c:v>-630.46485908550153</c:v>
                </c:pt>
                <c:pt idx="64">
                  <c:v>-640.65982441009021</c:v>
                </c:pt>
                <c:pt idx="65">
                  <c:v>-640.65982441009021</c:v>
                </c:pt>
                <c:pt idx="66">
                  <c:v>-650.76665889374908</c:v>
                </c:pt>
                <c:pt idx="67">
                  <c:v>-660.78760932720695</c:v>
                </c:pt>
                <c:pt idx="68">
                  <c:v>-670.72482862789957</c:v>
                </c:pt>
                <c:pt idx="69">
                  <c:v>-680.58038124086852</c:v>
                </c:pt>
                <c:pt idx="70">
                  <c:v>-690.35624814659275</c:v>
                </c:pt>
                <c:pt idx="71">
                  <c:v>-700.05433151015961</c:v>
                </c:pt>
                <c:pt idx="72">
                  <c:v>-700.05433151015961</c:v>
                </c:pt>
                <c:pt idx="73">
                  <c:v>-709.67645900268076</c:v>
                </c:pt>
                <c:pt idx="74">
                  <c:v>-719.22438782276038</c:v>
                </c:pt>
                <c:pt idx="75">
                  <c:v>-719.22438782276038</c:v>
                </c:pt>
                <c:pt idx="76">
                  <c:v>-719.22438782276038</c:v>
                </c:pt>
                <c:pt idx="77">
                  <c:v>-719.22438782276038</c:v>
                </c:pt>
                <c:pt idx="78">
                  <c:v>-719.22438782276038</c:v>
                </c:pt>
                <c:pt idx="79">
                  <c:v>-719.22438782276038</c:v>
                </c:pt>
                <c:pt idx="80">
                  <c:v>-719.22438782276038</c:v>
                </c:pt>
                <c:pt idx="81">
                  <c:v>-719.22438782276038</c:v>
                </c:pt>
                <c:pt idx="82">
                  <c:v>-719.22438782276038</c:v>
                </c:pt>
                <c:pt idx="83">
                  <c:v>-719.22438782276038</c:v>
                </c:pt>
                <c:pt idx="84">
                  <c:v>-719.22438782276038</c:v>
                </c:pt>
                <c:pt idx="85">
                  <c:v>-719.22438782276038</c:v>
                </c:pt>
                <c:pt idx="86">
                  <c:v>-719.22438782276038</c:v>
                </c:pt>
                <c:pt idx="87">
                  <c:v>-719.22438782276038</c:v>
                </c:pt>
                <c:pt idx="88">
                  <c:v>-719.22438782276038</c:v>
                </c:pt>
                <c:pt idx="89">
                  <c:v>-719.22438782276038</c:v>
                </c:pt>
                <c:pt idx="90">
                  <c:v>-719.22438782276038</c:v>
                </c:pt>
                <c:pt idx="91">
                  <c:v>-719.22438782276038</c:v>
                </c:pt>
                <c:pt idx="92">
                  <c:v>-719.22438782276038</c:v>
                </c:pt>
                <c:pt idx="93">
                  <c:v>-719.22438782276038</c:v>
                </c:pt>
                <c:pt idx="94">
                  <c:v>-719.22438782276038</c:v>
                </c:pt>
                <c:pt idx="95">
                  <c:v>-719.22438782276038</c:v>
                </c:pt>
                <c:pt idx="96">
                  <c:v>-719.22438782276038</c:v>
                </c:pt>
                <c:pt idx="97">
                  <c:v>-719.22438782276038</c:v>
                </c:pt>
                <c:pt idx="98">
                  <c:v>-719.22438782276038</c:v>
                </c:pt>
                <c:pt idx="99">
                  <c:v>-719.22438782276038</c:v>
                </c:pt>
                <c:pt idx="100">
                  <c:v>-719.22438782276038</c:v>
                </c:pt>
                <c:pt idx="101">
                  <c:v>-719.22438782276038</c:v>
                </c:pt>
                <c:pt idx="102">
                  <c:v>-719.22438782276038</c:v>
                </c:pt>
                <c:pt idx="103">
                  <c:v>-719.22438782276038</c:v>
                </c:pt>
                <c:pt idx="104">
                  <c:v>-719.22438782276038</c:v>
                </c:pt>
                <c:pt idx="105">
                  <c:v>-719.22438782276038</c:v>
                </c:pt>
                <c:pt idx="106">
                  <c:v>-719.22438782276038</c:v>
                </c:pt>
                <c:pt idx="107">
                  <c:v>-719.22438782276038</c:v>
                </c:pt>
                <c:pt idx="108">
                  <c:v>-719.22438782276038</c:v>
                </c:pt>
                <c:pt idx="109">
                  <c:v>-719.22438782276038</c:v>
                </c:pt>
              </c:numCache>
            </c:numRef>
          </c:yVal>
          <c:smooth val="0"/>
          <c:extLst>
            <c:ext xmlns:c16="http://schemas.microsoft.com/office/drawing/2014/chart" uri="{C3380CC4-5D6E-409C-BE32-E72D297353CC}">
              <c16:uniqueId val="{00000000-B76A-4460-A243-A0C97C153438}"/>
            </c:ext>
          </c:extLst>
        </c:ser>
        <c:ser>
          <c:idx val="6"/>
          <c:order val="1"/>
          <c:tx>
            <c:strRef>
              <c:f>'Baseline 2 - Good, 16hr'!$AE$1</c:f>
              <c:strCache>
                <c:ptCount val="1"/>
                <c:pt idx="0">
                  <c:v>End of Day Bailing Depth</c:v>
                </c:pt>
              </c:strCache>
            </c:strRef>
          </c:tx>
          <c:spPr>
            <a:ln w="19050" cap="rnd">
              <a:solidFill>
                <a:schemeClr val="tx2">
                  <a:lumMod val="50000"/>
                  <a:lumOff val="50000"/>
                </a:schemeClr>
              </a:solidFill>
              <a:round/>
            </a:ln>
            <a:effectLst/>
          </c:spPr>
          <c:marker>
            <c:symbol val="none"/>
          </c:marker>
          <c:xVal>
            <c:numRef>
              <c:f>'Baseline 2 - Good, 16hr'!$B$3:$B$112</c:f>
              <c:numCache>
                <c:formatCode>m/d/yyyy</c:formatCode>
                <c:ptCount val="110"/>
                <c:pt idx="0">
                  <c:v>45971</c:v>
                </c:pt>
                <c:pt idx="1">
                  <c:v>45972</c:v>
                </c:pt>
                <c:pt idx="2">
                  <c:v>45973</c:v>
                </c:pt>
                <c:pt idx="3">
                  <c:v>45974</c:v>
                </c:pt>
                <c:pt idx="4">
                  <c:v>45975</c:v>
                </c:pt>
                <c:pt idx="5">
                  <c:v>45976</c:v>
                </c:pt>
                <c:pt idx="6">
                  <c:v>45977</c:v>
                </c:pt>
                <c:pt idx="7">
                  <c:v>45978</c:v>
                </c:pt>
                <c:pt idx="8">
                  <c:v>45979</c:v>
                </c:pt>
                <c:pt idx="9">
                  <c:v>45980</c:v>
                </c:pt>
                <c:pt idx="10">
                  <c:v>45981</c:v>
                </c:pt>
                <c:pt idx="11">
                  <c:v>45982</c:v>
                </c:pt>
                <c:pt idx="12">
                  <c:v>45983</c:v>
                </c:pt>
                <c:pt idx="13">
                  <c:v>45984</c:v>
                </c:pt>
                <c:pt idx="14">
                  <c:v>45985</c:v>
                </c:pt>
                <c:pt idx="15">
                  <c:v>45986</c:v>
                </c:pt>
                <c:pt idx="16">
                  <c:v>45987</c:v>
                </c:pt>
                <c:pt idx="17">
                  <c:v>45988</c:v>
                </c:pt>
                <c:pt idx="18">
                  <c:v>45989</c:v>
                </c:pt>
                <c:pt idx="19">
                  <c:v>45990</c:v>
                </c:pt>
                <c:pt idx="20">
                  <c:v>45991</c:v>
                </c:pt>
                <c:pt idx="21">
                  <c:v>45992</c:v>
                </c:pt>
                <c:pt idx="22">
                  <c:v>45993</c:v>
                </c:pt>
                <c:pt idx="23">
                  <c:v>45994</c:v>
                </c:pt>
                <c:pt idx="24">
                  <c:v>45995</c:v>
                </c:pt>
                <c:pt idx="25">
                  <c:v>45996</c:v>
                </c:pt>
                <c:pt idx="26">
                  <c:v>45997</c:v>
                </c:pt>
                <c:pt idx="27">
                  <c:v>45998</c:v>
                </c:pt>
                <c:pt idx="28">
                  <c:v>45999</c:v>
                </c:pt>
                <c:pt idx="29">
                  <c:v>46000</c:v>
                </c:pt>
                <c:pt idx="30">
                  <c:v>46001</c:v>
                </c:pt>
                <c:pt idx="31">
                  <c:v>46002</c:v>
                </c:pt>
                <c:pt idx="32">
                  <c:v>46003</c:v>
                </c:pt>
                <c:pt idx="33">
                  <c:v>46004</c:v>
                </c:pt>
                <c:pt idx="34">
                  <c:v>46005</c:v>
                </c:pt>
                <c:pt idx="35">
                  <c:v>46006</c:v>
                </c:pt>
                <c:pt idx="36">
                  <c:v>46007</c:v>
                </c:pt>
                <c:pt idx="37">
                  <c:v>46008</c:v>
                </c:pt>
                <c:pt idx="38">
                  <c:v>46009</c:v>
                </c:pt>
                <c:pt idx="39">
                  <c:v>46010</c:v>
                </c:pt>
                <c:pt idx="40">
                  <c:v>46011</c:v>
                </c:pt>
                <c:pt idx="41">
                  <c:v>46012</c:v>
                </c:pt>
                <c:pt idx="42">
                  <c:v>46013</c:v>
                </c:pt>
                <c:pt idx="43">
                  <c:v>46014</c:v>
                </c:pt>
                <c:pt idx="44">
                  <c:v>46015</c:v>
                </c:pt>
                <c:pt idx="45">
                  <c:v>46016</c:v>
                </c:pt>
                <c:pt idx="46">
                  <c:v>46017</c:v>
                </c:pt>
                <c:pt idx="47">
                  <c:v>46018</c:v>
                </c:pt>
                <c:pt idx="48">
                  <c:v>46019</c:v>
                </c:pt>
                <c:pt idx="49">
                  <c:v>46020</c:v>
                </c:pt>
                <c:pt idx="50">
                  <c:v>46021</c:v>
                </c:pt>
                <c:pt idx="51">
                  <c:v>46022</c:v>
                </c:pt>
                <c:pt idx="52">
                  <c:v>46023</c:v>
                </c:pt>
                <c:pt idx="53">
                  <c:v>46024</c:v>
                </c:pt>
                <c:pt idx="54">
                  <c:v>46025</c:v>
                </c:pt>
                <c:pt idx="55">
                  <c:v>46026</c:v>
                </c:pt>
                <c:pt idx="56">
                  <c:v>46027</c:v>
                </c:pt>
                <c:pt idx="57">
                  <c:v>46028</c:v>
                </c:pt>
                <c:pt idx="58">
                  <c:v>46029</c:v>
                </c:pt>
                <c:pt idx="59">
                  <c:v>46030</c:v>
                </c:pt>
                <c:pt idx="60">
                  <c:v>46031</c:v>
                </c:pt>
                <c:pt idx="61">
                  <c:v>46032</c:v>
                </c:pt>
                <c:pt idx="62">
                  <c:v>46033</c:v>
                </c:pt>
                <c:pt idx="63">
                  <c:v>46034</c:v>
                </c:pt>
                <c:pt idx="64">
                  <c:v>46035</c:v>
                </c:pt>
                <c:pt idx="65">
                  <c:v>46036</c:v>
                </c:pt>
                <c:pt idx="66">
                  <c:v>46037</c:v>
                </c:pt>
                <c:pt idx="67">
                  <c:v>46038</c:v>
                </c:pt>
                <c:pt idx="68">
                  <c:v>46039</c:v>
                </c:pt>
                <c:pt idx="69">
                  <c:v>46040</c:v>
                </c:pt>
                <c:pt idx="70">
                  <c:v>46041</c:v>
                </c:pt>
                <c:pt idx="71">
                  <c:v>46042</c:v>
                </c:pt>
                <c:pt idx="72">
                  <c:v>46043</c:v>
                </c:pt>
                <c:pt idx="73">
                  <c:v>46044</c:v>
                </c:pt>
                <c:pt idx="74">
                  <c:v>46045</c:v>
                </c:pt>
                <c:pt idx="75">
                  <c:v>46046</c:v>
                </c:pt>
                <c:pt idx="76">
                  <c:v>46047</c:v>
                </c:pt>
                <c:pt idx="77">
                  <c:v>46048</c:v>
                </c:pt>
                <c:pt idx="78">
                  <c:v>46049</c:v>
                </c:pt>
                <c:pt idx="79">
                  <c:v>46050</c:v>
                </c:pt>
                <c:pt idx="80">
                  <c:v>46051</c:v>
                </c:pt>
                <c:pt idx="81">
                  <c:v>46052</c:v>
                </c:pt>
                <c:pt idx="82">
                  <c:v>46053</c:v>
                </c:pt>
                <c:pt idx="83">
                  <c:v>46054</c:v>
                </c:pt>
                <c:pt idx="84">
                  <c:v>46055</c:v>
                </c:pt>
                <c:pt idx="85">
                  <c:v>46056</c:v>
                </c:pt>
                <c:pt idx="86">
                  <c:v>46057</c:v>
                </c:pt>
                <c:pt idx="87">
                  <c:v>46058</c:v>
                </c:pt>
                <c:pt idx="88">
                  <c:v>46059</c:v>
                </c:pt>
                <c:pt idx="89">
                  <c:v>46060</c:v>
                </c:pt>
                <c:pt idx="90">
                  <c:v>46061</c:v>
                </c:pt>
                <c:pt idx="91">
                  <c:v>46062</c:v>
                </c:pt>
                <c:pt idx="92">
                  <c:v>46063</c:v>
                </c:pt>
                <c:pt idx="93">
                  <c:v>46064</c:v>
                </c:pt>
                <c:pt idx="94">
                  <c:v>46065</c:v>
                </c:pt>
                <c:pt idx="95">
                  <c:v>46066</c:v>
                </c:pt>
                <c:pt idx="96">
                  <c:v>46067</c:v>
                </c:pt>
                <c:pt idx="97">
                  <c:v>46068</c:v>
                </c:pt>
                <c:pt idx="98">
                  <c:v>46069</c:v>
                </c:pt>
                <c:pt idx="99">
                  <c:v>46070</c:v>
                </c:pt>
                <c:pt idx="100">
                  <c:v>46071</c:v>
                </c:pt>
                <c:pt idx="101">
                  <c:v>46072</c:v>
                </c:pt>
                <c:pt idx="102">
                  <c:v>46073</c:v>
                </c:pt>
                <c:pt idx="103">
                  <c:v>46074</c:v>
                </c:pt>
                <c:pt idx="104">
                  <c:v>46075</c:v>
                </c:pt>
                <c:pt idx="105">
                  <c:v>46076</c:v>
                </c:pt>
                <c:pt idx="106">
                  <c:v>46077</c:v>
                </c:pt>
                <c:pt idx="107">
                  <c:v>46078</c:v>
                </c:pt>
                <c:pt idx="108">
                  <c:v>46079</c:v>
                </c:pt>
                <c:pt idx="109">
                  <c:v>46080</c:v>
                </c:pt>
              </c:numCache>
            </c:numRef>
          </c:xVal>
          <c:yVal>
            <c:numRef>
              <c:f>'Baseline 2 - Good, 16hr'!$AE$3:$AE$112</c:f>
              <c:numCache>
                <c:formatCode>0.00</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-80</c:v>
                </c:pt>
                <c:pt idx="75">
                  <c:v>-259.40331160292249</c:v>
                </c:pt>
                <c:pt idx="76">
                  <c:v>-400.47129457899786</c:v>
                </c:pt>
                <c:pt idx="77">
                  <c:v>-510.1938307186208</c:v>
                </c:pt>
                <c:pt idx="78">
                  <c:v>-603.20853687666511</c:v>
                </c:pt>
                <c:pt idx="79">
                  <c:v>-603.20853687666511</c:v>
                </c:pt>
                <c:pt idx="80">
                  <c:v>-685.40606744913521</c:v>
                </c:pt>
                <c:pt idx="81">
                  <c:v>-759.86189926823238</c:v>
                </c:pt>
                <c:pt idx="82">
                  <c:v>-759.86189926823238</c:v>
                </c:pt>
                <c:pt idx="83">
                  <c:v>-759.86189926823238</c:v>
                </c:pt>
                <c:pt idx="84">
                  <c:v>-759.86189926823238</c:v>
                </c:pt>
                <c:pt idx="85">
                  <c:v>-759.86189926823238</c:v>
                </c:pt>
                <c:pt idx="86">
                  <c:v>-759.86189926823238</c:v>
                </c:pt>
                <c:pt idx="87">
                  <c:v>-759.86189926823238</c:v>
                </c:pt>
                <c:pt idx="88">
                  <c:v>-759.86189926823238</c:v>
                </c:pt>
                <c:pt idx="89">
                  <c:v>-759.86189926823238</c:v>
                </c:pt>
                <c:pt idx="90">
                  <c:v>-759.86189926823238</c:v>
                </c:pt>
                <c:pt idx="91">
                  <c:v>-759.86189926823238</c:v>
                </c:pt>
                <c:pt idx="92">
                  <c:v>-759.86189926823238</c:v>
                </c:pt>
                <c:pt idx="93">
                  <c:v>-759.86189926823238</c:v>
                </c:pt>
                <c:pt idx="94">
                  <c:v>-759.86189926823238</c:v>
                </c:pt>
                <c:pt idx="95">
                  <c:v>-759.86189926823238</c:v>
                </c:pt>
                <c:pt idx="96">
                  <c:v>-759.86189926823238</c:v>
                </c:pt>
                <c:pt idx="97">
                  <c:v>-759.86189926823238</c:v>
                </c:pt>
                <c:pt idx="98">
                  <c:v>-759.86189926823238</c:v>
                </c:pt>
                <c:pt idx="99">
                  <c:v>-759.86189926823238</c:v>
                </c:pt>
                <c:pt idx="100">
                  <c:v>-759.86189926823238</c:v>
                </c:pt>
                <c:pt idx="101">
                  <c:v>-759.86189926823238</c:v>
                </c:pt>
                <c:pt idx="102">
                  <c:v>-759.86189926823238</c:v>
                </c:pt>
                <c:pt idx="103">
                  <c:v>-759.86189926823238</c:v>
                </c:pt>
                <c:pt idx="104">
                  <c:v>-759.86189926823238</c:v>
                </c:pt>
                <c:pt idx="105">
                  <c:v>-759.86189926823238</c:v>
                </c:pt>
                <c:pt idx="106">
                  <c:v>-759.86189926823238</c:v>
                </c:pt>
                <c:pt idx="107">
                  <c:v>-759.86189926823238</c:v>
                </c:pt>
                <c:pt idx="108">
                  <c:v>-759.86189926823238</c:v>
                </c:pt>
                <c:pt idx="109">
                  <c:v>-759.86189926823238</c:v>
                </c:pt>
              </c:numCache>
            </c:numRef>
          </c:yVal>
          <c:smooth val="0"/>
          <c:extLst>
            <c:ext xmlns:c16="http://schemas.microsoft.com/office/drawing/2014/chart" uri="{C3380CC4-5D6E-409C-BE32-E72D297353CC}">
              <c16:uniqueId val="{00000001-B76A-4460-A243-A0C97C153438}"/>
            </c:ext>
          </c:extLst>
        </c:ser>
        <c:ser>
          <c:idx val="1"/>
          <c:order val="2"/>
          <c:tx>
            <c:strRef>
              <c:f>'Baseline 2 - Good, 16hr'!$AF$1</c:f>
              <c:strCache>
                <c:ptCount val="1"/>
                <c:pt idx="0">
                  <c:v>Bedrock</c:v>
                </c:pt>
              </c:strCache>
            </c:strRef>
          </c:tx>
          <c:spPr>
            <a:ln w="19050" cap="rnd">
              <a:solidFill>
                <a:schemeClr val="tx1"/>
              </a:solidFill>
              <a:round/>
            </a:ln>
            <a:effectLst/>
          </c:spPr>
          <c:marker>
            <c:symbol val="none"/>
          </c:marker>
          <c:dPt>
            <c:idx val="60"/>
            <c:marker>
              <c:symbol val="none"/>
            </c:marker>
            <c:bubble3D val="0"/>
            <c:extLst>
              <c:ext xmlns:c16="http://schemas.microsoft.com/office/drawing/2014/chart" uri="{C3380CC4-5D6E-409C-BE32-E72D297353CC}">
                <c16:uniqueId val="{00000002-B76A-4460-A243-A0C97C153438}"/>
              </c:ext>
            </c:extLst>
          </c:dPt>
          <c:xVal>
            <c:numRef>
              <c:f>'Baseline 2 - Good, 16hr'!$B$3:$B$112</c:f>
              <c:numCache>
                <c:formatCode>m/d/yyyy</c:formatCode>
                <c:ptCount val="110"/>
                <c:pt idx="0">
                  <c:v>45971</c:v>
                </c:pt>
                <c:pt idx="1">
                  <c:v>45972</c:v>
                </c:pt>
                <c:pt idx="2">
                  <c:v>45973</c:v>
                </c:pt>
                <c:pt idx="3">
                  <c:v>45974</c:v>
                </c:pt>
                <c:pt idx="4">
                  <c:v>45975</c:v>
                </c:pt>
                <c:pt idx="5">
                  <c:v>45976</c:v>
                </c:pt>
                <c:pt idx="6">
                  <c:v>45977</c:v>
                </c:pt>
                <c:pt idx="7">
                  <c:v>45978</c:v>
                </c:pt>
                <c:pt idx="8">
                  <c:v>45979</c:v>
                </c:pt>
                <c:pt idx="9">
                  <c:v>45980</c:v>
                </c:pt>
                <c:pt idx="10">
                  <c:v>45981</c:v>
                </c:pt>
                <c:pt idx="11">
                  <c:v>45982</c:v>
                </c:pt>
                <c:pt idx="12">
                  <c:v>45983</c:v>
                </c:pt>
                <c:pt idx="13">
                  <c:v>45984</c:v>
                </c:pt>
                <c:pt idx="14">
                  <c:v>45985</c:v>
                </c:pt>
                <c:pt idx="15">
                  <c:v>45986</c:v>
                </c:pt>
                <c:pt idx="16">
                  <c:v>45987</c:v>
                </c:pt>
                <c:pt idx="17">
                  <c:v>45988</c:v>
                </c:pt>
                <c:pt idx="18">
                  <c:v>45989</c:v>
                </c:pt>
                <c:pt idx="19">
                  <c:v>45990</c:v>
                </c:pt>
                <c:pt idx="20">
                  <c:v>45991</c:v>
                </c:pt>
                <c:pt idx="21">
                  <c:v>45992</c:v>
                </c:pt>
                <c:pt idx="22">
                  <c:v>45993</c:v>
                </c:pt>
                <c:pt idx="23">
                  <c:v>45994</c:v>
                </c:pt>
                <c:pt idx="24">
                  <c:v>45995</c:v>
                </c:pt>
                <c:pt idx="25">
                  <c:v>45996</c:v>
                </c:pt>
                <c:pt idx="26">
                  <c:v>45997</c:v>
                </c:pt>
                <c:pt idx="27">
                  <c:v>45998</c:v>
                </c:pt>
                <c:pt idx="28">
                  <c:v>45999</c:v>
                </c:pt>
                <c:pt idx="29">
                  <c:v>46000</c:v>
                </c:pt>
                <c:pt idx="30">
                  <c:v>46001</c:v>
                </c:pt>
                <c:pt idx="31">
                  <c:v>46002</c:v>
                </c:pt>
                <c:pt idx="32">
                  <c:v>46003</c:v>
                </c:pt>
                <c:pt idx="33">
                  <c:v>46004</c:v>
                </c:pt>
                <c:pt idx="34">
                  <c:v>46005</c:v>
                </c:pt>
                <c:pt idx="35">
                  <c:v>46006</c:v>
                </c:pt>
                <c:pt idx="36">
                  <c:v>46007</c:v>
                </c:pt>
                <c:pt idx="37">
                  <c:v>46008</c:v>
                </c:pt>
                <c:pt idx="38">
                  <c:v>46009</c:v>
                </c:pt>
                <c:pt idx="39">
                  <c:v>46010</c:v>
                </c:pt>
                <c:pt idx="40">
                  <c:v>46011</c:v>
                </c:pt>
                <c:pt idx="41">
                  <c:v>46012</c:v>
                </c:pt>
                <c:pt idx="42">
                  <c:v>46013</c:v>
                </c:pt>
                <c:pt idx="43">
                  <c:v>46014</c:v>
                </c:pt>
                <c:pt idx="44">
                  <c:v>46015</c:v>
                </c:pt>
                <c:pt idx="45">
                  <c:v>46016</c:v>
                </c:pt>
                <c:pt idx="46">
                  <c:v>46017</c:v>
                </c:pt>
                <c:pt idx="47">
                  <c:v>46018</c:v>
                </c:pt>
                <c:pt idx="48">
                  <c:v>46019</c:v>
                </c:pt>
                <c:pt idx="49">
                  <c:v>46020</c:v>
                </c:pt>
                <c:pt idx="50">
                  <c:v>46021</c:v>
                </c:pt>
                <c:pt idx="51">
                  <c:v>46022</c:v>
                </c:pt>
                <c:pt idx="52">
                  <c:v>46023</c:v>
                </c:pt>
                <c:pt idx="53">
                  <c:v>46024</c:v>
                </c:pt>
                <c:pt idx="54">
                  <c:v>46025</c:v>
                </c:pt>
                <c:pt idx="55">
                  <c:v>46026</c:v>
                </c:pt>
                <c:pt idx="56">
                  <c:v>46027</c:v>
                </c:pt>
                <c:pt idx="57">
                  <c:v>46028</c:v>
                </c:pt>
                <c:pt idx="58">
                  <c:v>46029</c:v>
                </c:pt>
                <c:pt idx="59">
                  <c:v>46030</c:v>
                </c:pt>
                <c:pt idx="60">
                  <c:v>46031</c:v>
                </c:pt>
                <c:pt idx="61">
                  <c:v>46032</c:v>
                </c:pt>
                <c:pt idx="62">
                  <c:v>46033</c:v>
                </c:pt>
                <c:pt idx="63">
                  <c:v>46034</c:v>
                </c:pt>
                <c:pt idx="64">
                  <c:v>46035</c:v>
                </c:pt>
                <c:pt idx="65">
                  <c:v>46036</c:v>
                </c:pt>
                <c:pt idx="66">
                  <c:v>46037</c:v>
                </c:pt>
                <c:pt idx="67">
                  <c:v>46038</c:v>
                </c:pt>
                <c:pt idx="68">
                  <c:v>46039</c:v>
                </c:pt>
                <c:pt idx="69">
                  <c:v>46040</c:v>
                </c:pt>
                <c:pt idx="70">
                  <c:v>46041</c:v>
                </c:pt>
                <c:pt idx="71">
                  <c:v>46042</c:v>
                </c:pt>
                <c:pt idx="72">
                  <c:v>46043</c:v>
                </c:pt>
                <c:pt idx="73">
                  <c:v>46044</c:v>
                </c:pt>
                <c:pt idx="74">
                  <c:v>46045</c:v>
                </c:pt>
                <c:pt idx="75">
                  <c:v>46046</c:v>
                </c:pt>
                <c:pt idx="76">
                  <c:v>46047</c:v>
                </c:pt>
                <c:pt idx="77">
                  <c:v>46048</c:v>
                </c:pt>
                <c:pt idx="78">
                  <c:v>46049</c:v>
                </c:pt>
                <c:pt idx="79">
                  <c:v>46050</c:v>
                </c:pt>
                <c:pt idx="80">
                  <c:v>46051</c:v>
                </c:pt>
                <c:pt idx="81">
                  <c:v>46052</c:v>
                </c:pt>
                <c:pt idx="82">
                  <c:v>46053</c:v>
                </c:pt>
                <c:pt idx="83">
                  <c:v>46054</c:v>
                </c:pt>
                <c:pt idx="84">
                  <c:v>46055</c:v>
                </c:pt>
                <c:pt idx="85">
                  <c:v>46056</c:v>
                </c:pt>
                <c:pt idx="86">
                  <c:v>46057</c:v>
                </c:pt>
                <c:pt idx="87">
                  <c:v>46058</c:v>
                </c:pt>
                <c:pt idx="88">
                  <c:v>46059</c:v>
                </c:pt>
                <c:pt idx="89">
                  <c:v>46060</c:v>
                </c:pt>
                <c:pt idx="90">
                  <c:v>46061</c:v>
                </c:pt>
                <c:pt idx="91">
                  <c:v>46062</c:v>
                </c:pt>
                <c:pt idx="92">
                  <c:v>46063</c:v>
                </c:pt>
                <c:pt idx="93">
                  <c:v>46064</c:v>
                </c:pt>
                <c:pt idx="94">
                  <c:v>46065</c:v>
                </c:pt>
                <c:pt idx="95">
                  <c:v>46066</c:v>
                </c:pt>
                <c:pt idx="96">
                  <c:v>46067</c:v>
                </c:pt>
                <c:pt idx="97">
                  <c:v>46068</c:v>
                </c:pt>
                <c:pt idx="98">
                  <c:v>46069</c:v>
                </c:pt>
                <c:pt idx="99">
                  <c:v>46070</c:v>
                </c:pt>
                <c:pt idx="100">
                  <c:v>46071</c:v>
                </c:pt>
                <c:pt idx="101">
                  <c:v>46072</c:v>
                </c:pt>
                <c:pt idx="102">
                  <c:v>46073</c:v>
                </c:pt>
                <c:pt idx="103">
                  <c:v>46074</c:v>
                </c:pt>
                <c:pt idx="104">
                  <c:v>46075</c:v>
                </c:pt>
                <c:pt idx="105">
                  <c:v>46076</c:v>
                </c:pt>
                <c:pt idx="106">
                  <c:v>46077</c:v>
                </c:pt>
                <c:pt idx="107">
                  <c:v>46078</c:v>
                </c:pt>
                <c:pt idx="108">
                  <c:v>46079</c:v>
                </c:pt>
                <c:pt idx="109">
                  <c:v>46080</c:v>
                </c:pt>
              </c:numCache>
            </c:numRef>
          </c:xVal>
          <c:yVal>
            <c:numRef>
              <c:f>'Baseline 2 - Good, 16hr'!$AF$3:$AF$112</c:f>
              <c:numCache>
                <c:formatCode>General</c:formatCode>
                <c:ptCount val="110"/>
                <c:pt idx="0">
                  <c:v>-720</c:v>
                </c:pt>
                <c:pt idx="1">
                  <c:v>-720</c:v>
                </c:pt>
                <c:pt idx="2">
                  <c:v>-720</c:v>
                </c:pt>
                <c:pt idx="3">
                  <c:v>-720</c:v>
                </c:pt>
                <c:pt idx="4">
                  <c:v>-720</c:v>
                </c:pt>
                <c:pt idx="5">
                  <c:v>-720</c:v>
                </c:pt>
                <c:pt idx="6">
                  <c:v>-720</c:v>
                </c:pt>
                <c:pt idx="7">
                  <c:v>-720</c:v>
                </c:pt>
                <c:pt idx="8">
                  <c:v>-720</c:v>
                </c:pt>
                <c:pt idx="9">
                  <c:v>-720</c:v>
                </c:pt>
                <c:pt idx="10">
                  <c:v>-720</c:v>
                </c:pt>
                <c:pt idx="11">
                  <c:v>-720</c:v>
                </c:pt>
                <c:pt idx="12">
                  <c:v>-720</c:v>
                </c:pt>
                <c:pt idx="13">
                  <c:v>-720</c:v>
                </c:pt>
                <c:pt idx="14">
                  <c:v>-720</c:v>
                </c:pt>
                <c:pt idx="15">
                  <c:v>-720</c:v>
                </c:pt>
                <c:pt idx="16">
                  <c:v>-720</c:v>
                </c:pt>
                <c:pt idx="17">
                  <c:v>-720</c:v>
                </c:pt>
                <c:pt idx="18">
                  <c:v>-720</c:v>
                </c:pt>
                <c:pt idx="19">
                  <c:v>-720</c:v>
                </c:pt>
                <c:pt idx="20">
                  <c:v>-720</c:v>
                </c:pt>
                <c:pt idx="21">
                  <c:v>-720</c:v>
                </c:pt>
                <c:pt idx="22">
                  <c:v>-720</c:v>
                </c:pt>
                <c:pt idx="23">
                  <c:v>-720</c:v>
                </c:pt>
                <c:pt idx="24">
                  <c:v>-720</c:v>
                </c:pt>
                <c:pt idx="25">
                  <c:v>-720</c:v>
                </c:pt>
                <c:pt idx="26">
                  <c:v>-720</c:v>
                </c:pt>
                <c:pt idx="27">
                  <c:v>-720</c:v>
                </c:pt>
                <c:pt idx="28">
                  <c:v>-720</c:v>
                </c:pt>
                <c:pt idx="29">
                  <c:v>-720</c:v>
                </c:pt>
                <c:pt idx="30">
                  <c:v>-720</c:v>
                </c:pt>
                <c:pt idx="31">
                  <c:v>-720</c:v>
                </c:pt>
                <c:pt idx="32">
                  <c:v>-720</c:v>
                </c:pt>
                <c:pt idx="33">
                  <c:v>-720</c:v>
                </c:pt>
                <c:pt idx="34">
                  <c:v>-720</c:v>
                </c:pt>
                <c:pt idx="35">
                  <c:v>-720</c:v>
                </c:pt>
                <c:pt idx="36">
                  <c:v>-720</c:v>
                </c:pt>
                <c:pt idx="37">
                  <c:v>-720</c:v>
                </c:pt>
                <c:pt idx="38">
                  <c:v>-720</c:v>
                </c:pt>
                <c:pt idx="39">
                  <c:v>-720</c:v>
                </c:pt>
                <c:pt idx="40">
                  <c:v>-720</c:v>
                </c:pt>
                <c:pt idx="41">
                  <c:v>-720</c:v>
                </c:pt>
                <c:pt idx="42">
                  <c:v>-720</c:v>
                </c:pt>
                <c:pt idx="43">
                  <c:v>-720</c:v>
                </c:pt>
                <c:pt idx="44">
                  <c:v>-720</c:v>
                </c:pt>
                <c:pt idx="45">
                  <c:v>-720</c:v>
                </c:pt>
                <c:pt idx="46">
                  <c:v>-720</c:v>
                </c:pt>
                <c:pt idx="47">
                  <c:v>-720</c:v>
                </c:pt>
                <c:pt idx="48">
                  <c:v>-720</c:v>
                </c:pt>
                <c:pt idx="49">
                  <c:v>-720</c:v>
                </c:pt>
                <c:pt idx="50">
                  <c:v>-720</c:v>
                </c:pt>
                <c:pt idx="51">
                  <c:v>-720</c:v>
                </c:pt>
                <c:pt idx="52">
                  <c:v>-720</c:v>
                </c:pt>
                <c:pt idx="53">
                  <c:v>-720</c:v>
                </c:pt>
                <c:pt idx="54">
                  <c:v>-720</c:v>
                </c:pt>
                <c:pt idx="55">
                  <c:v>-720</c:v>
                </c:pt>
                <c:pt idx="56">
                  <c:v>-720</c:v>
                </c:pt>
                <c:pt idx="57">
                  <c:v>-720</c:v>
                </c:pt>
                <c:pt idx="58">
                  <c:v>-720</c:v>
                </c:pt>
                <c:pt idx="59">
                  <c:v>-720</c:v>
                </c:pt>
                <c:pt idx="60">
                  <c:v>-720</c:v>
                </c:pt>
                <c:pt idx="61">
                  <c:v>-720</c:v>
                </c:pt>
                <c:pt idx="62">
                  <c:v>-720</c:v>
                </c:pt>
                <c:pt idx="63">
                  <c:v>-720</c:v>
                </c:pt>
                <c:pt idx="64">
                  <c:v>-720</c:v>
                </c:pt>
                <c:pt idx="65">
                  <c:v>-720</c:v>
                </c:pt>
                <c:pt idx="66">
                  <c:v>-720</c:v>
                </c:pt>
                <c:pt idx="67">
                  <c:v>-720</c:v>
                </c:pt>
                <c:pt idx="68">
                  <c:v>-720</c:v>
                </c:pt>
                <c:pt idx="69">
                  <c:v>-720</c:v>
                </c:pt>
                <c:pt idx="70">
                  <c:v>-720</c:v>
                </c:pt>
                <c:pt idx="71">
                  <c:v>-720</c:v>
                </c:pt>
                <c:pt idx="72">
                  <c:v>-720</c:v>
                </c:pt>
                <c:pt idx="73">
                  <c:v>-720</c:v>
                </c:pt>
                <c:pt idx="74">
                  <c:v>-720</c:v>
                </c:pt>
                <c:pt idx="75">
                  <c:v>-720</c:v>
                </c:pt>
                <c:pt idx="76">
                  <c:v>-720</c:v>
                </c:pt>
                <c:pt idx="77">
                  <c:v>-720</c:v>
                </c:pt>
                <c:pt idx="78">
                  <c:v>-720</c:v>
                </c:pt>
                <c:pt idx="79">
                  <c:v>-720</c:v>
                </c:pt>
                <c:pt idx="80">
                  <c:v>-720</c:v>
                </c:pt>
                <c:pt idx="81">
                  <c:v>-720</c:v>
                </c:pt>
                <c:pt idx="82">
                  <c:v>-720</c:v>
                </c:pt>
                <c:pt idx="83">
                  <c:v>-720</c:v>
                </c:pt>
                <c:pt idx="84">
                  <c:v>-720</c:v>
                </c:pt>
                <c:pt idx="85">
                  <c:v>-720</c:v>
                </c:pt>
                <c:pt idx="86">
                  <c:v>-720</c:v>
                </c:pt>
                <c:pt idx="87">
                  <c:v>-720</c:v>
                </c:pt>
                <c:pt idx="88">
                  <c:v>-720</c:v>
                </c:pt>
                <c:pt idx="89">
                  <c:v>-720</c:v>
                </c:pt>
                <c:pt idx="90">
                  <c:v>-720</c:v>
                </c:pt>
                <c:pt idx="91">
                  <c:v>-720</c:v>
                </c:pt>
                <c:pt idx="92">
                  <c:v>-720</c:v>
                </c:pt>
                <c:pt idx="93">
                  <c:v>-720</c:v>
                </c:pt>
                <c:pt idx="94">
                  <c:v>-720</c:v>
                </c:pt>
                <c:pt idx="95">
                  <c:v>-720</c:v>
                </c:pt>
                <c:pt idx="96">
                  <c:v>-720</c:v>
                </c:pt>
                <c:pt idx="97">
                  <c:v>-720</c:v>
                </c:pt>
                <c:pt idx="98">
                  <c:v>-720</c:v>
                </c:pt>
                <c:pt idx="99">
                  <c:v>-720</c:v>
                </c:pt>
                <c:pt idx="100">
                  <c:v>-720</c:v>
                </c:pt>
                <c:pt idx="101">
                  <c:v>-720</c:v>
                </c:pt>
                <c:pt idx="102">
                  <c:v>-720</c:v>
                </c:pt>
                <c:pt idx="103">
                  <c:v>-720</c:v>
                </c:pt>
                <c:pt idx="104">
                  <c:v>-720</c:v>
                </c:pt>
                <c:pt idx="105">
                  <c:v>-720</c:v>
                </c:pt>
                <c:pt idx="106">
                  <c:v>-720</c:v>
                </c:pt>
                <c:pt idx="107">
                  <c:v>-720</c:v>
                </c:pt>
                <c:pt idx="108">
                  <c:v>-720</c:v>
                </c:pt>
                <c:pt idx="109">
                  <c:v>-720</c:v>
                </c:pt>
              </c:numCache>
            </c:numRef>
          </c:yVal>
          <c:smooth val="0"/>
          <c:extLst>
            <c:ext xmlns:c16="http://schemas.microsoft.com/office/drawing/2014/chart" uri="{C3380CC4-5D6E-409C-BE32-E72D297353CC}">
              <c16:uniqueId val="{00000003-B76A-4460-A243-A0C97C153438}"/>
            </c:ext>
          </c:extLst>
        </c:ser>
        <c:ser>
          <c:idx val="2"/>
          <c:order val="3"/>
          <c:tx>
            <c:strRef>
              <c:f>'Baseline 2 - Good, 16hr'!$AG$1</c:f>
              <c:strCache>
                <c:ptCount val="1"/>
                <c:pt idx="0">
                  <c:v>10,000YBP Min</c:v>
                </c:pt>
              </c:strCache>
            </c:strRef>
          </c:tx>
          <c:spPr>
            <a:ln w="19050" cap="rnd">
              <a:solidFill>
                <a:srgbClr val="FFC000"/>
              </a:solidFill>
              <a:prstDash val="sysDot"/>
              <a:round/>
            </a:ln>
            <a:effectLst/>
          </c:spPr>
          <c:marker>
            <c:symbol val="none"/>
          </c:marker>
          <c:xVal>
            <c:numRef>
              <c:f>'Baseline 2 - Good, 16hr'!$B$3:$B$112</c:f>
              <c:numCache>
                <c:formatCode>m/d/yyyy</c:formatCode>
                <c:ptCount val="110"/>
                <c:pt idx="0">
                  <c:v>45971</c:v>
                </c:pt>
                <c:pt idx="1">
                  <c:v>45972</c:v>
                </c:pt>
                <c:pt idx="2">
                  <c:v>45973</c:v>
                </c:pt>
                <c:pt idx="3">
                  <c:v>45974</c:v>
                </c:pt>
                <c:pt idx="4">
                  <c:v>45975</c:v>
                </c:pt>
                <c:pt idx="5">
                  <c:v>45976</c:v>
                </c:pt>
                <c:pt idx="6">
                  <c:v>45977</c:v>
                </c:pt>
                <c:pt idx="7">
                  <c:v>45978</c:v>
                </c:pt>
                <c:pt idx="8">
                  <c:v>45979</c:v>
                </c:pt>
                <c:pt idx="9">
                  <c:v>45980</c:v>
                </c:pt>
                <c:pt idx="10">
                  <c:v>45981</c:v>
                </c:pt>
                <c:pt idx="11">
                  <c:v>45982</c:v>
                </c:pt>
                <c:pt idx="12">
                  <c:v>45983</c:v>
                </c:pt>
                <c:pt idx="13">
                  <c:v>45984</c:v>
                </c:pt>
                <c:pt idx="14">
                  <c:v>45985</c:v>
                </c:pt>
                <c:pt idx="15">
                  <c:v>45986</c:v>
                </c:pt>
                <c:pt idx="16">
                  <c:v>45987</c:v>
                </c:pt>
                <c:pt idx="17">
                  <c:v>45988</c:v>
                </c:pt>
                <c:pt idx="18">
                  <c:v>45989</c:v>
                </c:pt>
                <c:pt idx="19">
                  <c:v>45990</c:v>
                </c:pt>
                <c:pt idx="20">
                  <c:v>45991</c:v>
                </c:pt>
                <c:pt idx="21">
                  <c:v>45992</c:v>
                </c:pt>
                <c:pt idx="22">
                  <c:v>45993</c:v>
                </c:pt>
                <c:pt idx="23">
                  <c:v>45994</c:v>
                </c:pt>
                <c:pt idx="24">
                  <c:v>45995</c:v>
                </c:pt>
                <c:pt idx="25">
                  <c:v>45996</c:v>
                </c:pt>
                <c:pt idx="26">
                  <c:v>45997</c:v>
                </c:pt>
                <c:pt idx="27">
                  <c:v>45998</c:v>
                </c:pt>
                <c:pt idx="28">
                  <c:v>45999</c:v>
                </c:pt>
                <c:pt idx="29">
                  <c:v>46000</c:v>
                </c:pt>
                <c:pt idx="30">
                  <c:v>46001</c:v>
                </c:pt>
                <c:pt idx="31">
                  <c:v>46002</c:v>
                </c:pt>
                <c:pt idx="32">
                  <c:v>46003</c:v>
                </c:pt>
                <c:pt idx="33">
                  <c:v>46004</c:v>
                </c:pt>
                <c:pt idx="34">
                  <c:v>46005</c:v>
                </c:pt>
                <c:pt idx="35">
                  <c:v>46006</c:v>
                </c:pt>
                <c:pt idx="36">
                  <c:v>46007</c:v>
                </c:pt>
                <c:pt idx="37">
                  <c:v>46008</c:v>
                </c:pt>
                <c:pt idx="38">
                  <c:v>46009</c:v>
                </c:pt>
                <c:pt idx="39">
                  <c:v>46010</c:v>
                </c:pt>
                <c:pt idx="40">
                  <c:v>46011</c:v>
                </c:pt>
                <c:pt idx="41">
                  <c:v>46012</c:v>
                </c:pt>
                <c:pt idx="42">
                  <c:v>46013</c:v>
                </c:pt>
                <c:pt idx="43">
                  <c:v>46014</c:v>
                </c:pt>
                <c:pt idx="44">
                  <c:v>46015</c:v>
                </c:pt>
                <c:pt idx="45">
                  <c:v>46016</c:v>
                </c:pt>
                <c:pt idx="46">
                  <c:v>46017</c:v>
                </c:pt>
                <c:pt idx="47">
                  <c:v>46018</c:v>
                </c:pt>
                <c:pt idx="48">
                  <c:v>46019</c:v>
                </c:pt>
                <c:pt idx="49">
                  <c:v>46020</c:v>
                </c:pt>
                <c:pt idx="50">
                  <c:v>46021</c:v>
                </c:pt>
                <c:pt idx="51">
                  <c:v>46022</c:v>
                </c:pt>
                <c:pt idx="52">
                  <c:v>46023</c:v>
                </c:pt>
                <c:pt idx="53">
                  <c:v>46024</c:v>
                </c:pt>
                <c:pt idx="54">
                  <c:v>46025</c:v>
                </c:pt>
                <c:pt idx="55">
                  <c:v>46026</c:v>
                </c:pt>
                <c:pt idx="56">
                  <c:v>46027</c:v>
                </c:pt>
                <c:pt idx="57">
                  <c:v>46028</c:v>
                </c:pt>
                <c:pt idx="58">
                  <c:v>46029</c:v>
                </c:pt>
                <c:pt idx="59">
                  <c:v>46030</c:v>
                </c:pt>
                <c:pt idx="60">
                  <c:v>46031</c:v>
                </c:pt>
                <c:pt idx="61">
                  <c:v>46032</c:v>
                </c:pt>
                <c:pt idx="62">
                  <c:v>46033</c:v>
                </c:pt>
                <c:pt idx="63">
                  <c:v>46034</c:v>
                </c:pt>
                <c:pt idx="64">
                  <c:v>46035</c:v>
                </c:pt>
                <c:pt idx="65">
                  <c:v>46036</c:v>
                </c:pt>
                <c:pt idx="66">
                  <c:v>46037</c:v>
                </c:pt>
                <c:pt idx="67">
                  <c:v>46038</c:v>
                </c:pt>
                <c:pt idx="68">
                  <c:v>46039</c:v>
                </c:pt>
                <c:pt idx="69">
                  <c:v>46040</c:v>
                </c:pt>
                <c:pt idx="70">
                  <c:v>46041</c:v>
                </c:pt>
                <c:pt idx="71">
                  <c:v>46042</c:v>
                </c:pt>
                <c:pt idx="72">
                  <c:v>46043</c:v>
                </c:pt>
                <c:pt idx="73">
                  <c:v>46044</c:v>
                </c:pt>
                <c:pt idx="74">
                  <c:v>46045</c:v>
                </c:pt>
                <c:pt idx="75">
                  <c:v>46046</c:v>
                </c:pt>
                <c:pt idx="76">
                  <c:v>46047</c:v>
                </c:pt>
                <c:pt idx="77">
                  <c:v>46048</c:v>
                </c:pt>
                <c:pt idx="78">
                  <c:v>46049</c:v>
                </c:pt>
                <c:pt idx="79">
                  <c:v>46050</c:v>
                </c:pt>
                <c:pt idx="80">
                  <c:v>46051</c:v>
                </c:pt>
                <c:pt idx="81">
                  <c:v>46052</c:v>
                </c:pt>
                <c:pt idx="82">
                  <c:v>46053</c:v>
                </c:pt>
                <c:pt idx="83">
                  <c:v>46054</c:v>
                </c:pt>
                <c:pt idx="84">
                  <c:v>46055</c:v>
                </c:pt>
                <c:pt idx="85">
                  <c:v>46056</c:v>
                </c:pt>
                <c:pt idx="86">
                  <c:v>46057</c:v>
                </c:pt>
                <c:pt idx="87">
                  <c:v>46058</c:v>
                </c:pt>
                <c:pt idx="88">
                  <c:v>46059</c:v>
                </c:pt>
                <c:pt idx="89">
                  <c:v>46060</c:v>
                </c:pt>
                <c:pt idx="90">
                  <c:v>46061</c:v>
                </c:pt>
                <c:pt idx="91">
                  <c:v>46062</c:v>
                </c:pt>
                <c:pt idx="92">
                  <c:v>46063</c:v>
                </c:pt>
                <c:pt idx="93">
                  <c:v>46064</c:v>
                </c:pt>
                <c:pt idx="94">
                  <c:v>46065</c:v>
                </c:pt>
                <c:pt idx="95">
                  <c:v>46066</c:v>
                </c:pt>
                <c:pt idx="96">
                  <c:v>46067</c:v>
                </c:pt>
                <c:pt idx="97">
                  <c:v>46068</c:v>
                </c:pt>
                <c:pt idx="98">
                  <c:v>46069</c:v>
                </c:pt>
                <c:pt idx="99">
                  <c:v>46070</c:v>
                </c:pt>
                <c:pt idx="100">
                  <c:v>46071</c:v>
                </c:pt>
                <c:pt idx="101">
                  <c:v>46072</c:v>
                </c:pt>
                <c:pt idx="102">
                  <c:v>46073</c:v>
                </c:pt>
                <c:pt idx="103">
                  <c:v>46074</c:v>
                </c:pt>
                <c:pt idx="104">
                  <c:v>46075</c:v>
                </c:pt>
                <c:pt idx="105">
                  <c:v>46076</c:v>
                </c:pt>
                <c:pt idx="106">
                  <c:v>46077</c:v>
                </c:pt>
                <c:pt idx="107">
                  <c:v>46078</c:v>
                </c:pt>
                <c:pt idx="108">
                  <c:v>46079</c:v>
                </c:pt>
                <c:pt idx="109">
                  <c:v>46080</c:v>
                </c:pt>
              </c:numCache>
            </c:numRef>
          </c:xVal>
          <c:yVal>
            <c:numRef>
              <c:f>'Baseline 2 - Good, 16hr'!$AG$3:$AG$112</c:f>
              <c:numCache>
                <c:formatCode>General</c:formatCode>
                <c:ptCount val="110"/>
                <c:pt idx="0">
                  <c:v>-624</c:v>
                </c:pt>
                <c:pt idx="1">
                  <c:v>-624</c:v>
                </c:pt>
                <c:pt idx="2">
                  <c:v>-624</c:v>
                </c:pt>
                <c:pt idx="3">
                  <c:v>-624</c:v>
                </c:pt>
                <c:pt idx="4">
                  <c:v>-624</c:v>
                </c:pt>
                <c:pt idx="5">
                  <c:v>-624</c:v>
                </c:pt>
                <c:pt idx="6">
                  <c:v>-624</c:v>
                </c:pt>
                <c:pt idx="7">
                  <c:v>-624</c:v>
                </c:pt>
                <c:pt idx="8">
                  <c:v>-624</c:v>
                </c:pt>
                <c:pt idx="9">
                  <c:v>-624</c:v>
                </c:pt>
                <c:pt idx="10">
                  <c:v>-624</c:v>
                </c:pt>
                <c:pt idx="11">
                  <c:v>-624</c:v>
                </c:pt>
                <c:pt idx="12">
                  <c:v>-624</c:v>
                </c:pt>
                <c:pt idx="13">
                  <c:v>-624</c:v>
                </c:pt>
                <c:pt idx="14">
                  <c:v>-624</c:v>
                </c:pt>
                <c:pt idx="15">
                  <c:v>-624</c:v>
                </c:pt>
                <c:pt idx="16">
                  <c:v>-624</c:v>
                </c:pt>
                <c:pt idx="17">
                  <c:v>-624</c:v>
                </c:pt>
                <c:pt idx="18">
                  <c:v>-624</c:v>
                </c:pt>
                <c:pt idx="19">
                  <c:v>-624</c:v>
                </c:pt>
                <c:pt idx="20">
                  <c:v>-624</c:v>
                </c:pt>
                <c:pt idx="21">
                  <c:v>-624</c:v>
                </c:pt>
                <c:pt idx="22">
                  <c:v>-624</c:v>
                </c:pt>
                <c:pt idx="23">
                  <c:v>-624</c:v>
                </c:pt>
                <c:pt idx="24">
                  <c:v>-624</c:v>
                </c:pt>
                <c:pt idx="25">
                  <c:v>-624</c:v>
                </c:pt>
                <c:pt idx="26">
                  <c:v>-624</c:v>
                </c:pt>
                <c:pt idx="27">
                  <c:v>-624</c:v>
                </c:pt>
                <c:pt idx="28">
                  <c:v>-624</c:v>
                </c:pt>
                <c:pt idx="29">
                  <c:v>-624</c:v>
                </c:pt>
                <c:pt idx="30">
                  <c:v>-624</c:v>
                </c:pt>
                <c:pt idx="31">
                  <c:v>-624</c:v>
                </c:pt>
                <c:pt idx="32">
                  <c:v>-624</c:v>
                </c:pt>
                <c:pt idx="33">
                  <c:v>-624</c:v>
                </c:pt>
                <c:pt idx="34">
                  <c:v>-624</c:v>
                </c:pt>
                <c:pt idx="35">
                  <c:v>-624</c:v>
                </c:pt>
                <c:pt idx="36">
                  <c:v>-624</c:v>
                </c:pt>
                <c:pt idx="37">
                  <c:v>-624</c:v>
                </c:pt>
                <c:pt idx="38">
                  <c:v>-624</c:v>
                </c:pt>
                <c:pt idx="39">
                  <c:v>-624</c:v>
                </c:pt>
                <c:pt idx="40">
                  <c:v>-624</c:v>
                </c:pt>
                <c:pt idx="41">
                  <c:v>-624</c:v>
                </c:pt>
                <c:pt idx="42">
                  <c:v>-624</c:v>
                </c:pt>
                <c:pt idx="43">
                  <c:v>-624</c:v>
                </c:pt>
                <c:pt idx="44">
                  <c:v>-624</c:v>
                </c:pt>
                <c:pt idx="45">
                  <c:v>-624</c:v>
                </c:pt>
                <c:pt idx="46">
                  <c:v>-624</c:v>
                </c:pt>
                <c:pt idx="47">
                  <c:v>-624</c:v>
                </c:pt>
                <c:pt idx="48">
                  <c:v>-624</c:v>
                </c:pt>
                <c:pt idx="49">
                  <c:v>-624</c:v>
                </c:pt>
                <c:pt idx="50">
                  <c:v>-624</c:v>
                </c:pt>
                <c:pt idx="51">
                  <c:v>-624</c:v>
                </c:pt>
                <c:pt idx="52">
                  <c:v>-624</c:v>
                </c:pt>
                <c:pt idx="53">
                  <c:v>-624</c:v>
                </c:pt>
                <c:pt idx="54">
                  <c:v>-624</c:v>
                </c:pt>
                <c:pt idx="55">
                  <c:v>-624</c:v>
                </c:pt>
                <c:pt idx="56">
                  <c:v>-624</c:v>
                </c:pt>
                <c:pt idx="57">
                  <c:v>-624</c:v>
                </c:pt>
                <c:pt idx="58">
                  <c:v>-624</c:v>
                </c:pt>
                <c:pt idx="59">
                  <c:v>-624</c:v>
                </c:pt>
                <c:pt idx="60">
                  <c:v>-624</c:v>
                </c:pt>
                <c:pt idx="61">
                  <c:v>-624</c:v>
                </c:pt>
                <c:pt idx="62">
                  <c:v>-624</c:v>
                </c:pt>
                <c:pt idx="63">
                  <c:v>-624</c:v>
                </c:pt>
                <c:pt idx="64">
                  <c:v>-624</c:v>
                </c:pt>
                <c:pt idx="65">
                  <c:v>-624</c:v>
                </c:pt>
                <c:pt idx="66">
                  <c:v>-624</c:v>
                </c:pt>
                <c:pt idx="67">
                  <c:v>-624</c:v>
                </c:pt>
                <c:pt idx="68">
                  <c:v>-624</c:v>
                </c:pt>
                <c:pt idx="69">
                  <c:v>-624</c:v>
                </c:pt>
                <c:pt idx="70">
                  <c:v>-624</c:v>
                </c:pt>
                <c:pt idx="71">
                  <c:v>-624</c:v>
                </c:pt>
                <c:pt idx="72">
                  <c:v>-624</c:v>
                </c:pt>
                <c:pt idx="73">
                  <c:v>-624</c:v>
                </c:pt>
                <c:pt idx="74">
                  <c:v>-624</c:v>
                </c:pt>
                <c:pt idx="75">
                  <c:v>-624</c:v>
                </c:pt>
                <c:pt idx="76">
                  <c:v>-624</c:v>
                </c:pt>
                <c:pt idx="77">
                  <c:v>-624</c:v>
                </c:pt>
                <c:pt idx="78">
                  <c:v>-624</c:v>
                </c:pt>
                <c:pt idx="79">
                  <c:v>-624</c:v>
                </c:pt>
                <c:pt idx="80">
                  <c:v>-624</c:v>
                </c:pt>
                <c:pt idx="81">
                  <c:v>-624</c:v>
                </c:pt>
                <c:pt idx="82">
                  <c:v>-624</c:v>
                </c:pt>
                <c:pt idx="83">
                  <c:v>-624</c:v>
                </c:pt>
                <c:pt idx="84">
                  <c:v>-624</c:v>
                </c:pt>
                <c:pt idx="85">
                  <c:v>-624</c:v>
                </c:pt>
                <c:pt idx="86">
                  <c:v>-624</c:v>
                </c:pt>
                <c:pt idx="87">
                  <c:v>-624</c:v>
                </c:pt>
                <c:pt idx="88">
                  <c:v>-624</c:v>
                </c:pt>
                <c:pt idx="89">
                  <c:v>-624</c:v>
                </c:pt>
                <c:pt idx="90">
                  <c:v>-624</c:v>
                </c:pt>
                <c:pt idx="91">
                  <c:v>-624</c:v>
                </c:pt>
                <c:pt idx="92">
                  <c:v>-624</c:v>
                </c:pt>
                <c:pt idx="93">
                  <c:v>-624</c:v>
                </c:pt>
                <c:pt idx="94">
                  <c:v>-624</c:v>
                </c:pt>
                <c:pt idx="95">
                  <c:v>-624</c:v>
                </c:pt>
                <c:pt idx="96">
                  <c:v>-624</c:v>
                </c:pt>
                <c:pt idx="97">
                  <c:v>-624</c:v>
                </c:pt>
                <c:pt idx="98">
                  <c:v>-624</c:v>
                </c:pt>
                <c:pt idx="99">
                  <c:v>-624</c:v>
                </c:pt>
                <c:pt idx="100">
                  <c:v>-624</c:v>
                </c:pt>
                <c:pt idx="101">
                  <c:v>-624</c:v>
                </c:pt>
                <c:pt idx="102">
                  <c:v>-624</c:v>
                </c:pt>
                <c:pt idx="103">
                  <c:v>-624</c:v>
                </c:pt>
                <c:pt idx="104">
                  <c:v>-624</c:v>
                </c:pt>
                <c:pt idx="105">
                  <c:v>-624</c:v>
                </c:pt>
                <c:pt idx="106">
                  <c:v>-624</c:v>
                </c:pt>
                <c:pt idx="107">
                  <c:v>-624</c:v>
                </c:pt>
                <c:pt idx="108">
                  <c:v>-624</c:v>
                </c:pt>
                <c:pt idx="109">
                  <c:v>-624</c:v>
                </c:pt>
              </c:numCache>
            </c:numRef>
          </c:yVal>
          <c:smooth val="0"/>
          <c:extLst>
            <c:ext xmlns:c16="http://schemas.microsoft.com/office/drawing/2014/chart" uri="{C3380CC4-5D6E-409C-BE32-E72D297353CC}">
              <c16:uniqueId val="{00000004-B76A-4460-A243-A0C97C153438}"/>
            </c:ext>
          </c:extLst>
        </c:ser>
        <c:ser>
          <c:idx val="3"/>
          <c:order val="4"/>
          <c:tx>
            <c:strRef>
              <c:f>'Baseline 2 - Good, 16hr'!$AH$1</c:f>
              <c:strCache>
                <c:ptCount val="1"/>
                <c:pt idx="0">
                  <c:v>10,000YBP Max</c:v>
                </c:pt>
              </c:strCache>
            </c:strRef>
          </c:tx>
          <c:spPr>
            <a:ln w="19050" cap="rnd">
              <a:solidFill>
                <a:srgbClr val="FF0000"/>
              </a:solidFill>
              <a:prstDash val="sysDot"/>
              <a:round/>
            </a:ln>
            <a:effectLst/>
          </c:spPr>
          <c:marker>
            <c:symbol val="none"/>
          </c:marker>
          <c:xVal>
            <c:numRef>
              <c:f>'Baseline 2 - Good, 16hr'!$B$3:$B$112</c:f>
              <c:numCache>
                <c:formatCode>m/d/yyyy</c:formatCode>
                <c:ptCount val="110"/>
                <c:pt idx="0">
                  <c:v>45971</c:v>
                </c:pt>
                <c:pt idx="1">
                  <c:v>45972</c:v>
                </c:pt>
                <c:pt idx="2">
                  <c:v>45973</c:v>
                </c:pt>
                <c:pt idx="3">
                  <c:v>45974</c:v>
                </c:pt>
                <c:pt idx="4">
                  <c:v>45975</c:v>
                </c:pt>
                <c:pt idx="5">
                  <c:v>45976</c:v>
                </c:pt>
                <c:pt idx="6">
                  <c:v>45977</c:v>
                </c:pt>
                <c:pt idx="7">
                  <c:v>45978</c:v>
                </c:pt>
                <c:pt idx="8">
                  <c:v>45979</c:v>
                </c:pt>
                <c:pt idx="9">
                  <c:v>45980</c:v>
                </c:pt>
                <c:pt idx="10">
                  <c:v>45981</c:v>
                </c:pt>
                <c:pt idx="11">
                  <c:v>45982</c:v>
                </c:pt>
                <c:pt idx="12">
                  <c:v>45983</c:v>
                </c:pt>
                <c:pt idx="13">
                  <c:v>45984</c:v>
                </c:pt>
                <c:pt idx="14">
                  <c:v>45985</c:v>
                </c:pt>
                <c:pt idx="15">
                  <c:v>45986</c:v>
                </c:pt>
                <c:pt idx="16">
                  <c:v>45987</c:v>
                </c:pt>
                <c:pt idx="17">
                  <c:v>45988</c:v>
                </c:pt>
                <c:pt idx="18">
                  <c:v>45989</c:v>
                </c:pt>
                <c:pt idx="19">
                  <c:v>45990</c:v>
                </c:pt>
                <c:pt idx="20">
                  <c:v>45991</c:v>
                </c:pt>
                <c:pt idx="21">
                  <c:v>45992</c:v>
                </c:pt>
                <c:pt idx="22">
                  <c:v>45993</c:v>
                </c:pt>
                <c:pt idx="23">
                  <c:v>45994</c:v>
                </c:pt>
                <c:pt idx="24">
                  <c:v>45995</c:v>
                </c:pt>
                <c:pt idx="25">
                  <c:v>45996</c:v>
                </c:pt>
                <c:pt idx="26">
                  <c:v>45997</c:v>
                </c:pt>
                <c:pt idx="27">
                  <c:v>45998</c:v>
                </c:pt>
                <c:pt idx="28">
                  <c:v>45999</c:v>
                </c:pt>
                <c:pt idx="29">
                  <c:v>46000</c:v>
                </c:pt>
                <c:pt idx="30">
                  <c:v>46001</c:v>
                </c:pt>
                <c:pt idx="31">
                  <c:v>46002</c:v>
                </c:pt>
                <c:pt idx="32">
                  <c:v>46003</c:v>
                </c:pt>
                <c:pt idx="33">
                  <c:v>46004</c:v>
                </c:pt>
                <c:pt idx="34">
                  <c:v>46005</c:v>
                </c:pt>
                <c:pt idx="35">
                  <c:v>46006</c:v>
                </c:pt>
                <c:pt idx="36">
                  <c:v>46007</c:v>
                </c:pt>
                <c:pt idx="37">
                  <c:v>46008</c:v>
                </c:pt>
                <c:pt idx="38">
                  <c:v>46009</c:v>
                </c:pt>
                <c:pt idx="39">
                  <c:v>46010</c:v>
                </c:pt>
                <c:pt idx="40">
                  <c:v>46011</c:v>
                </c:pt>
                <c:pt idx="41">
                  <c:v>46012</c:v>
                </c:pt>
                <c:pt idx="42">
                  <c:v>46013</c:v>
                </c:pt>
                <c:pt idx="43">
                  <c:v>46014</c:v>
                </c:pt>
                <c:pt idx="44">
                  <c:v>46015</c:v>
                </c:pt>
                <c:pt idx="45">
                  <c:v>46016</c:v>
                </c:pt>
                <c:pt idx="46">
                  <c:v>46017</c:v>
                </c:pt>
                <c:pt idx="47">
                  <c:v>46018</c:v>
                </c:pt>
                <c:pt idx="48">
                  <c:v>46019</c:v>
                </c:pt>
                <c:pt idx="49">
                  <c:v>46020</c:v>
                </c:pt>
                <c:pt idx="50">
                  <c:v>46021</c:v>
                </c:pt>
                <c:pt idx="51">
                  <c:v>46022</c:v>
                </c:pt>
                <c:pt idx="52">
                  <c:v>46023</c:v>
                </c:pt>
                <c:pt idx="53">
                  <c:v>46024</c:v>
                </c:pt>
                <c:pt idx="54">
                  <c:v>46025</c:v>
                </c:pt>
                <c:pt idx="55">
                  <c:v>46026</c:v>
                </c:pt>
                <c:pt idx="56">
                  <c:v>46027</c:v>
                </c:pt>
                <c:pt idx="57">
                  <c:v>46028</c:v>
                </c:pt>
                <c:pt idx="58">
                  <c:v>46029</c:v>
                </c:pt>
                <c:pt idx="59">
                  <c:v>46030</c:v>
                </c:pt>
                <c:pt idx="60">
                  <c:v>46031</c:v>
                </c:pt>
                <c:pt idx="61">
                  <c:v>46032</c:v>
                </c:pt>
                <c:pt idx="62">
                  <c:v>46033</c:v>
                </c:pt>
                <c:pt idx="63">
                  <c:v>46034</c:v>
                </c:pt>
                <c:pt idx="64">
                  <c:v>46035</c:v>
                </c:pt>
                <c:pt idx="65">
                  <c:v>46036</c:v>
                </c:pt>
                <c:pt idx="66">
                  <c:v>46037</c:v>
                </c:pt>
                <c:pt idx="67">
                  <c:v>46038</c:v>
                </c:pt>
                <c:pt idx="68">
                  <c:v>46039</c:v>
                </c:pt>
                <c:pt idx="69">
                  <c:v>46040</c:v>
                </c:pt>
                <c:pt idx="70">
                  <c:v>46041</c:v>
                </c:pt>
                <c:pt idx="71">
                  <c:v>46042</c:v>
                </c:pt>
                <c:pt idx="72">
                  <c:v>46043</c:v>
                </c:pt>
                <c:pt idx="73">
                  <c:v>46044</c:v>
                </c:pt>
                <c:pt idx="74">
                  <c:v>46045</c:v>
                </c:pt>
                <c:pt idx="75">
                  <c:v>46046</c:v>
                </c:pt>
                <c:pt idx="76">
                  <c:v>46047</c:v>
                </c:pt>
                <c:pt idx="77">
                  <c:v>46048</c:v>
                </c:pt>
                <c:pt idx="78">
                  <c:v>46049</c:v>
                </c:pt>
                <c:pt idx="79">
                  <c:v>46050</c:v>
                </c:pt>
                <c:pt idx="80">
                  <c:v>46051</c:v>
                </c:pt>
                <c:pt idx="81">
                  <c:v>46052</c:v>
                </c:pt>
                <c:pt idx="82">
                  <c:v>46053</c:v>
                </c:pt>
                <c:pt idx="83">
                  <c:v>46054</c:v>
                </c:pt>
                <c:pt idx="84">
                  <c:v>46055</c:v>
                </c:pt>
                <c:pt idx="85">
                  <c:v>46056</c:v>
                </c:pt>
                <c:pt idx="86">
                  <c:v>46057</c:v>
                </c:pt>
                <c:pt idx="87">
                  <c:v>46058</c:v>
                </c:pt>
                <c:pt idx="88">
                  <c:v>46059</c:v>
                </c:pt>
                <c:pt idx="89">
                  <c:v>46060</c:v>
                </c:pt>
                <c:pt idx="90">
                  <c:v>46061</c:v>
                </c:pt>
                <c:pt idx="91">
                  <c:v>46062</c:v>
                </c:pt>
                <c:pt idx="92">
                  <c:v>46063</c:v>
                </c:pt>
                <c:pt idx="93">
                  <c:v>46064</c:v>
                </c:pt>
                <c:pt idx="94">
                  <c:v>46065</c:v>
                </c:pt>
                <c:pt idx="95">
                  <c:v>46066</c:v>
                </c:pt>
                <c:pt idx="96">
                  <c:v>46067</c:v>
                </c:pt>
                <c:pt idx="97">
                  <c:v>46068</c:v>
                </c:pt>
                <c:pt idx="98">
                  <c:v>46069</c:v>
                </c:pt>
                <c:pt idx="99">
                  <c:v>46070</c:v>
                </c:pt>
                <c:pt idx="100">
                  <c:v>46071</c:v>
                </c:pt>
                <c:pt idx="101">
                  <c:v>46072</c:v>
                </c:pt>
                <c:pt idx="102">
                  <c:v>46073</c:v>
                </c:pt>
                <c:pt idx="103">
                  <c:v>46074</c:v>
                </c:pt>
                <c:pt idx="104">
                  <c:v>46075</c:v>
                </c:pt>
                <c:pt idx="105">
                  <c:v>46076</c:v>
                </c:pt>
                <c:pt idx="106">
                  <c:v>46077</c:v>
                </c:pt>
                <c:pt idx="107">
                  <c:v>46078</c:v>
                </c:pt>
                <c:pt idx="108">
                  <c:v>46079</c:v>
                </c:pt>
                <c:pt idx="109">
                  <c:v>46080</c:v>
                </c:pt>
              </c:numCache>
            </c:numRef>
          </c:xVal>
          <c:yVal>
            <c:numRef>
              <c:f>'Baseline 2 - Good, 16hr'!$AH$3:$AH$112</c:f>
              <c:numCache>
                <c:formatCode>General</c:formatCode>
                <c:ptCount val="110"/>
                <c:pt idx="0">
                  <c:v>-688</c:v>
                </c:pt>
                <c:pt idx="1">
                  <c:v>-688</c:v>
                </c:pt>
                <c:pt idx="2">
                  <c:v>-688</c:v>
                </c:pt>
                <c:pt idx="3">
                  <c:v>-688</c:v>
                </c:pt>
                <c:pt idx="4">
                  <c:v>-688</c:v>
                </c:pt>
                <c:pt idx="5">
                  <c:v>-688</c:v>
                </c:pt>
                <c:pt idx="6">
                  <c:v>-688</c:v>
                </c:pt>
                <c:pt idx="7">
                  <c:v>-688</c:v>
                </c:pt>
                <c:pt idx="8">
                  <c:v>-688</c:v>
                </c:pt>
                <c:pt idx="9">
                  <c:v>-688</c:v>
                </c:pt>
                <c:pt idx="10">
                  <c:v>-688</c:v>
                </c:pt>
                <c:pt idx="11">
                  <c:v>-688</c:v>
                </c:pt>
                <c:pt idx="12">
                  <c:v>-688</c:v>
                </c:pt>
                <c:pt idx="13">
                  <c:v>-688</c:v>
                </c:pt>
                <c:pt idx="14">
                  <c:v>-688</c:v>
                </c:pt>
                <c:pt idx="15">
                  <c:v>-688</c:v>
                </c:pt>
                <c:pt idx="16">
                  <c:v>-688</c:v>
                </c:pt>
                <c:pt idx="17">
                  <c:v>-688</c:v>
                </c:pt>
                <c:pt idx="18">
                  <c:v>-688</c:v>
                </c:pt>
                <c:pt idx="19">
                  <c:v>-688</c:v>
                </c:pt>
                <c:pt idx="20">
                  <c:v>-688</c:v>
                </c:pt>
                <c:pt idx="21">
                  <c:v>-688</c:v>
                </c:pt>
                <c:pt idx="22">
                  <c:v>-688</c:v>
                </c:pt>
                <c:pt idx="23">
                  <c:v>-688</c:v>
                </c:pt>
                <c:pt idx="24">
                  <c:v>-688</c:v>
                </c:pt>
                <c:pt idx="25">
                  <c:v>-688</c:v>
                </c:pt>
                <c:pt idx="26">
                  <c:v>-688</c:v>
                </c:pt>
                <c:pt idx="27">
                  <c:v>-688</c:v>
                </c:pt>
                <c:pt idx="28">
                  <c:v>-688</c:v>
                </c:pt>
                <c:pt idx="29">
                  <c:v>-688</c:v>
                </c:pt>
                <c:pt idx="30">
                  <c:v>-688</c:v>
                </c:pt>
                <c:pt idx="31">
                  <c:v>-688</c:v>
                </c:pt>
                <c:pt idx="32">
                  <c:v>-688</c:v>
                </c:pt>
                <c:pt idx="33">
                  <c:v>-688</c:v>
                </c:pt>
                <c:pt idx="34">
                  <c:v>-688</c:v>
                </c:pt>
                <c:pt idx="35">
                  <c:v>-688</c:v>
                </c:pt>
                <c:pt idx="36">
                  <c:v>-688</c:v>
                </c:pt>
                <c:pt idx="37">
                  <c:v>-688</c:v>
                </c:pt>
                <c:pt idx="38">
                  <c:v>-688</c:v>
                </c:pt>
                <c:pt idx="39">
                  <c:v>-688</c:v>
                </c:pt>
                <c:pt idx="40">
                  <c:v>-688</c:v>
                </c:pt>
                <c:pt idx="41">
                  <c:v>-688</c:v>
                </c:pt>
                <c:pt idx="42">
                  <c:v>-688</c:v>
                </c:pt>
                <c:pt idx="43">
                  <c:v>-688</c:v>
                </c:pt>
                <c:pt idx="44">
                  <c:v>-688</c:v>
                </c:pt>
                <c:pt idx="45">
                  <c:v>-688</c:v>
                </c:pt>
                <c:pt idx="46">
                  <c:v>-688</c:v>
                </c:pt>
                <c:pt idx="47">
                  <c:v>-688</c:v>
                </c:pt>
                <c:pt idx="48">
                  <c:v>-688</c:v>
                </c:pt>
                <c:pt idx="49">
                  <c:v>-688</c:v>
                </c:pt>
                <c:pt idx="50">
                  <c:v>-688</c:v>
                </c:pt>
                <c:pt idx="51">
                  <c:v>-688</c:v>
                </c:pt>
                <c:pt idx="52">
                  <c:v>-688</c:v>
                </c:pt>
                <c:pt idx="53">
                  <c:v>-688</c:v>
                </c:pt>
                <c:pt idx="54">
                  <c:v>-688</c:v>
                </c:pt>
                <c:pt idx="55">
                  <c:v>-688</c:v>
                </c:pt>
                <c:pt idx="56">
                  <c:v>-688</c:v>
                </c:pt>
                <c:pt idx="57">
                  <c:v>-688</c:v>
                </c:pt>
                <c:pt idx="58">
                  <c:v>-688</c:v>
                </c:pt>
                <c:pt idx="59">
                  <c:v>-688</c:v>
                </c:pt>
                <c:pt idx="60">
                  <c:v>-688</c:v>
                </c:pt>
                <c:pt idx="61">
                  <c:v>-688</c:v>
                </c:pt>
                <c:pt idx="62">
                  <c:v>-688</c:v>
                </c:pt>
                <c:pt idx="63">
                  <c:v>-688</c:v>
                </c:pt>
                <c:pt idx="64">
                  <c:v>-688</c:v>
                </c:pt>
                <c:pt idx="65">
                  <c:v>-688</c:v>
                </c:pt>
                <c:pt idx="66">
                  <c:v>-688</c:v>
                </c:pt>
                <c:pt idx="67">
                  <c:v>-688</c:v>
                </c:pt>
                <c:pt idx="68">
                  <c:v>-688</c:v>
                </c:pt>
                <c:pt idx="69">
                  <c:v>-688</c:v>
                </c:pt>
                <c:pt idx="70">
                  <c:v>-688</c:v>
                </c:pt>
                <c:pt idx="71">
                  <c:v>-688</c:v>
                </c:pt>
                <c:pt idx="72">
                  <c:v>-688</c:v>
                </c:pt>
                <c:pt idx="73">
                  <c:v>-688</c:v>
                </c:pt>
                <c:pt idx="74">
                  <c:v>-688</c:v>
                </c:pt>
                <c:pt idx="75">
                  <c:v>-688</c:v>
                </c:pt>
                <c:pt idx="76">
                  <c:v>-688</c:v>
                </c:pt>
                <c:pt idx="77">
                  <c:v>-688</c:v>
                </c:pt>
                <c:pt idx="78">
                  <c:v>-688</c:v>
                </c:pt>
                <c:pt idx="79">
                  <c:v>-688</c:v>
                </c:pt>
                <c:pt idx="80">
                  <c:v>-688</c:v>
                </c:pt>
                <c:pt idx="81">
                  <c:v>-688</c:v>
                </c:pt>
                <c:pt idx="82">
                  <c:v>-688</c:v>
                </c:pt>
                <c:pt idx="83">
                  <c:v>-688</c:v>
                </c:pt>
                <c:pt idx="84">
                  <c:v>-688</c:v>
                </c:pt>
                <c:pt idx="85">
                  <c:v>-688</c:v>
                </c:pt>
                <c:pt idx="86">
                  <c:v>-688</c:v>
                </c:pt>
                <c:pt idx="87">
                  <c:v>-688</c:v>
                </c:pt>
                <c:pt idx="88">
                  <c:v>-688</c:v>
                </c:pt>
                <c:pt idx="89">
                  <c:v>-688</c:v>
                </c:pt>
                <c:pt idx="90">
                  <c:v>-688</c:v>
                </c:pt>
                <c:pt idx="91">
                  <c:v>-688</c:v>
                </c:pt>
                <c:pt idx="92">
                  <c:v>-688</c:v>
                </c:pt>
                <c:pt idx="93">
                  <c:v>-688</c:v>
                </c:pt>
                <c:pt idx="94">
                  <c:v>-688</c:v>
                </c:pt>
                <c:pt idx="95">
                  <c:v>-688</c:v>
                </c:pt>
                <c:pt idx="96">
                  <c:v>-688</c:v>
                </c:pt>
                <c:pt idx="97">
                  <c:v>-688</c:v>
                </c:pt>
                <c:pt idx="98">
                  <c:v>-688</c:v>
                </c:pt>
                <c:pt idx="99">
                  <c:v>-688</c:v>
                </c:pt>
                <c:pt idx="100">
                  <c:v>-688</c:v>
                </c:pt>
                <c:pt idx="101">
                  <c:v>-688</c:v>
                </c:pt>
                <c:pt idx="102">
                  <c:v>-688</c:v>
                </c:pt>
                <c:pt idx="103">
                  <c:v>-688</c:v>
                </c:pt>
                <c:pt idx="104">
                  <c:v>-688</c:v>
                </c:pt>
                <c:pt idx="105">
                  <c:v>-688</c:v>
                </c:pt>
                <c:pt idx="106">
                  <c:v>-688</c:v>
                </c:pt>
                <c:pt idx="107">
                  <c:v>-688</c:v>
                </c:pt>
                <c:pt idx="108">
                  <c:v>-688</c:v>
                </c:pt>
                <c:pt idx="109">
                  <c:v>-688</c:v>
                </c:pt>
              </c:numCache>
            </c:numRef>
          </c:yVal>
          <c:smooth val="0"/>
          <c:extLst>
            <c:ext xmlns:c16="http://schemas.microsoft.com/office/drawing/2014/chart" uri="{C3380CC4-5D6E-409C-BE32-E72D297353CC}">
              <c16:uniqueId val="{00000005-B76A-4460-A243-A0C97C153438}"/>
            </c:ext>
          </c:extLst>
        </c:ser>
        <c:ser>
          <c:idx val="4"/>
          <c:order val="5"/>
          <c:tx>
            <c:strRef>
              <c:f>'Baseline 2 - Good, 16hr'!$AC$1</c:f>
              <c:strCache>
                <c:ptCount val="1"/>
                <c:pt idx="0">
                  <c:v>Input</c:v>
                </c:pt>
              </c:strCache>
            </c:strRef>
          </c:tx>
          <c:spPr>
            <a:ln w="19050" cap="rnd">
              <a:solidFill>
                <a:schemeClr val="accent5"/>
              </a:solidFill>
              <a:round/>
            </a:ln>
            <a:effectLst/>
          </c:spPr>
          <c:marker>
            <c:symbol val="circle"/>
            <c:size val="12"/>
            <c:spPr>
              <a:solidFill>
                <a:srgbClr val="7030A0"/>
              </a:solidFill>
              <a:ln w="9525">
                <a:solidFill>
                  <a:srgbClr val="7030A0"/>
                </a:solidFill>
              </a:ln>
              <a:effectLst/>
            </c:spPr>
          </c:marker>
          <c:dPt>
            <c:idx val="0"/>
            <c:marker>
              <c:symbol val="triangle"/>
              <c:size val="12"/>
              <c:spPr>
                <a:solidFill>
                  <a:srgbClr val="7030A0"/>
                </a:solidFill>
                <a:ln w="9525">
                  <a:solidFill>
                    <a:srgbClr val="7030A0"/>
                  </a:solidFill>
                </a:ln>
                <a:effectLst/>
              </c:spPr>
            </c:marker>
            <c:bubble3D val="0"/>
            <c:extLst>
              <c:ext xmlns:c16="http://schemas.microsoft.com/office/drawing/2014/chart" uri="{C3380CC4-5D6E-409C-BE32-E72D297353CC}">
                <c16:uniqueId val="{00000006-B76A-4460-A243-A0C97C153438}"/>
              </c:ext>
            </c:extLst>
          </c:dPt>
          <c:xVal>
            <c:numRef>
              <c:f>'Baseline 2 - Good, 16hr'!$B$3</c:f>
              <c:numCache>
                <c:formatCode>m/d/yyyy</c:formatCode>
                <c:ptCount val="1"/>
                <c:pt idx="0">
                  <c:v>45971</c:v>
                </c:pt>
              </c:numCache>
            </c:numRef>
          </c:xVal>
          <c:yVal>
            <c:numRef>
              <c:f>'Baseline 2 - Good, 16hr'!$AC$3</c:f>
              <c:numCache>
                <c:formatCode>General</c:formatCode>
                <c:ptCount val="1"/>
                <c:pt idx="0">
                  <c:v>0</c:v>
                </c:pt>
              </c:numCache>
            </c:numRef>
          </c:yVal>
          <c:smooth val="0"/>
          <c:extLst>
            <c:ext xmlns:c16="http://schemas.microsoft.com/office/drawing/2014/chart" uri="{C3380CC4-5D6E-409C-BE32-E72D297353CC}">
              <c16:uniqueId val="{00000007-B76A-4460-A243-A0C97C153438}"/>
            </c:ext>
          </c:extLst>
        </c:ser>
        <c:ser>
          <c:idx val="5"/>
          <c:order val="6"/>
          <c:tx>
            <c:strRef>
              <c:f>'Baseline 2 - Good, 16hr'!$AI$1</c:f>
              <c:strCache>
                <c:ptCount val="1"/>
                <c:pt idx="0">
                  <c:v>Able to Output</c:v>
                </c:pt>
              </c:strCache>
            </c:strRef>
          </c:tx>
          <c:spPr>
            <a:ln w="19050" cap="rnd">
              <a:solidFill>
                <a:schemeClr val="accent6"/>
              </a:solidFill>
              <a:round/>
            </a:ln>
            <a:effectLst/>
          </c:spPr>
          <c:marker>
            <c:symbol val="circle"/>
            <c:size val="12"/>
            <c:spPr>
              <a:solidFill>
                <a:srgbClr val="7030A0"/>
              </a:solidFill>
              <a:ln w="9525">
                <a:solidFill>
                  <a:srgbClr val="7030A0"/>
                </a:solidFill>
              </a:ln>
              <a:effectLst/>
            </c:spPr>
          </c:marker>
          <c:xVal>
            <c:numRef>
              <c:f>'Baseline 2 - Good, 16hr'!$B$3:$B$112</c:f>
              <c:numCache>
                <c:formatCode>m/d/yyyy</c:formatCode>
                <c:ptCount val="110"/>
                <c:pt idx="0">
                  <c:v>45971</c:v>
                </c:pt>
                <c:pt idx="1">
                  <c:v>45972</c:v>
                </c:pt>
                <c:pt idx="2">
                  <c:v>45973</c:v>
                </c:pt>
                <c:pt idx="3">
                  <c:v>45974</c:v>
                </c:pt>
                <c:pt idx="4">
                  <c:v>45975</c:v>
                </c:pt>
                <c:pt idx="5">
                  <c:v>45976</c:v>
                </c:pt>
                <c:pt idx="6">
                  <c:v>45977</c:v>
                </c:pt>
                <c:pt idx="7">
                  <c:v>45978</c:v>
                </c:pt>
                <c:pt idx="8">
                  <c:v>45979</c:v>
                </c:pt>
                <c:pt idx="9">
                  <c:v>45980</c:v>
                </c:pt>
                <c:pt idx="10">
                  <c:v>45981</c:v>
                </c:pt>
                <c:pt idx="11">
                  <c:v>45982</c:v>
                </c:pt>
                <c:pt idx="12">
                  <c:v>45983</c:v>
                </c:pt>
                <c:pt idx="13">
                  <c:v>45984</c:v>
                </c:pt>
                <c:pt idx="14">
                  <c:v>45985</c:v>
                </c:pt>
                <c:pt idx="15">
                  <c:v>45986</c:v>
                </c:pt>
                <c:pt idx="16">
                  <c:v>45987</c:v>
                </c:pt>
                <c:pt idx="17">
                  <c:v>45988</c:v>
                </c:pt>
                <c:pt idx="18">
                  <c:v>45989</c:v>
                </c:pt>
                <c:pt idx="19">
                  <c:v>45990</c:v>
                </c:pt>
                <c:pt idx="20">
                  <c:v>45991</c:v>
                </c:pt>
                <c:pt idx="21">
                  <c:v>45992</c:v>
                </c:pt>
                <c:pt idx="22">
                  <c:v>45993</c:v>
                </c:pt>
                <c:pt idx="23">
                  <c:v>45994</c:v>
                </c:pt>
                <c:pt idx="24">
                  <c:v>45995</c:v>
                </c:pt>
                <c:pt idx="25">
                  <c:v>45996</c:v>
                </c:pt>
                <c:pt idx="26">
                  <c:v>45997</c:v>
                </c:pt>
                <c:pt idx="27">
                  <c:v>45998</c:v>
                </c:pt>
                <c:pt idx="28">
                  <c:v>45999</c:v>
                </c:pt>
                <c:pt idx="29">
                  <c:v>46000</c:v>
                </c:pt>
                <c:pt idx="30">
                  <c:v>46001</c:v>
                </c:pt>
                <c:pt idx="31">
                  <c:v>46002</c:v>
                </c:pt>
                <c:pt idx="32">
                  <c:v>46003</c:v>
                </c:pt>
                <c:pt idx="33">
                  <c:v>46004</c:v>
                </c:pt>
                <c:pt idx="34">
                  <c:v>46005</c:v>
                </c:pt>
                <c:pt idx="35">
                  <c:v>46006</c:v>
                </c:pt>
                <c:pt idx="36">
                  <c:v>46007</c:v>
                </c:pt>
                <c:pt idx="37">
                  <c:v>46008</c:v>
                </c:pt>
                <c:pt idx="38">
                  <c:v>46009</c:v>
                </c:pt>
                <c:pt idx="39">
                  <c:v>46010</c:v>
                </c:pt>
                <c:pt idx="40">
                  <c:v>46011</c:v>
                </c:pt>
                <c:pt idx="41">
                  <c:v>46012</c:v>
                </c:pt>
                <c:pt idx="42">
                  <c:v>46013</c:v>
                </c:pt>
                <c:pt idx="43">
                  <c:v>46014</c:v>
                </c:pt>
                <c:pt idx="44">
                  <c:v>46015</c:v>
                </c:pt>
                <c:pt idx="45">
                  <c:v>46016</c:v>
                </c:pt>
                <c:pt idx="46">
                  <c:v>46017</c:v>
                </c:pt>
                <c:pt idx="47">
                  <c:v>46018</c:v>
                </c:pt>
                <c:pt idx="48">
                  <c:v>46019</c:v>
                </c:pt>
                <c:pt idx="49">
                  <c:v>46020</c:v>
                </c:pt>
                <c:pt idx="50">
                  <c:v>46021</c:v>
                </c:pt>
                <c:pt idx="51">
                  <c:v>46022</c:v>
                </c:pt>
                <c:pt idx="52">
                  <c:v>46023</c:v>
                </c:pt>
                <c:pt idx="53">
                  <c:v>46024</c:v>
                </c:pt>
                <c:pt idx="54">
                  <c:v>46025</c:v>
                </c:pt>
                <c:pt idx="55">
                  <c:v>46026</c:v>
                </c:pt>
                <c:pt idx="56">
                  <c:v>46027</c:v>
                </c:pt>
                <c:pt idx="57">
                  <c:v>46028</c:v>
                </c:pt>
                <c:pt idx="58">
                  <c:v>46029</c:v>
                </c:pt>
                <c:pt idx="59">
                  <c:v>46030</c:v>
                </c:pt>
                <c:pt idx="60">
                  <c:v>46031</c:v>
                </c:pt>
                <c:pt idx="61">
                  <c:v>46032</c:v>
                </c:pt>
                <c:pt idx="62">
                  <c:v>46033</c:v>
                </c:pt>
                <c:pt idx="63">
                  <c:v>46034</c:v>
                </c:pt>
                <c:pt idx="64">
                  <c:v>46035</c:v>
                </c:pt>
                <c:pt idx="65">
                  <c:v>46036</c:v>
                </c:pt>
                <c:pt idx="66">
                  <c:v>46037</c:v>
                </c:pt>
                <c:pt idx="67">
                  <c:v>46038</c:v>
                </c:pt>
                <c:pt idx="68">
                  <c:v>46039</c:v>
                </c:pt>
                <c:pt idx="69">
                  <c:v>46040</c:v>
                </c:pt>
                <c:pt idx="70">
                  <c:v>46041</c:v>
                </c:pt>
                <c:pt idx="71">
                  <c:v>46042</c:v>
                </c:pt>
                <c:pt idx="72">
                  <c:v>46043</c:v>
                </c:pt>
                <c:pt idx="73">
                  <c:v>46044</c:v>
                </c:pt>
                <c:pt idx="74">
                  <c:v>46045</c:v>
                </c:pt>
                <c:pt idx="75">
                  <c:v>46046</c:v>
                </c:pt>
                <c:pt idx="76">
                  <c:v>46047</c:v>
                </c:pt>
                <c:pt idx="77">
                  <c:v>46048</c:v>
                </c:pt>
                <c:pt idx="78">
                  <c:v>46049</c:v>
                </c:pt>
                <c:pt idx="79">
                  <c:v>46050</c:v>
                </c:pt>
                <c:pt idx="80">
                  <c:v>46051</c:v>
                </c:pt>
                <c:pt idx="81">
                  <c:v>46052</c:v>
                </c:pt>
                <c:pt idx="82">
                  <c:v>46053</c:v>
                </c:pt>
                <c:pt idx="83">
                  <c:v>46054</c:v>
                </c:pt>
                <c:pt idx="84">
                  <c:v>46055</c:v>
                </c:pt>
                <c:pt idx="85">
                  <c:v>46056</c:v>
                </c:pt>
                <c:pt idx="86">
                  <c:v>46057</c:v>
                </c:pt>
                <c:pt idx="87">
                  <c:v>46058</c:v>
                </c:pt>
                <c:pt idx="88">
                  <c:v>46059</c:v>
                </c:pt>
                <c:pt idx="89">
                  <c:v>46060</c:v>
                </c:pt>
                <c:pt idx="90">
                  <c:v>46061</c:v>
                </c:pt>
                <c:pt idx="91">
                  <c:v>46062</c:v>
                </c:pt>
                <c:pt idx="92">
                  <c:v>46063</c:v>
                </c:pt>
                <c:pt idx="93">
                  <c:v>46064</c:v>
                </c:pt>
                <c:pt idx="94">
                  <c:v>46065</c:v>
                </c:pt>
                <c:pt idx="95">
                  <c:v>46066</c:v>
                </c:pt>
                <c:pt idx="96">
                  <c:v>46067</c:v>
                </c:pt>
                <c:pt idx="97">
                  <c:v>46068</c:v>
                </c:pt>
                <c:pt idx="98">
                  <c:v>46069</c:v>
                </c:pt>
                <c:pt idx="99">
                  <c:v>46070</c:v>
                </c:pt>
                <c:pt idx="100">
                  <c:v>46071</c:v>
                </c:pt>
                <c:pt idx="101">
                  <c:v>46072</c:v>
                </c:pt>
                <c:pt idx="102">
                  <c:v>46073</c:v>
                </c:pt>
                <c:pt idx="103">
                  <c:v>46074</c:v>
                </c:pt>
                <c:pt idx="104">
                  <c:v>46075</c:v>
                </c:pt>
                <c:pt idx="105">
                  <c:v>46076</c:v>
                </c:pt>
                <c:pt idx="106">
                  <c:v>46077</c:v>
                </c:pt>
                <c:pt idx="107">
                  <c:v>46078</c:v>
                </c:pt>
                <c:pt idx="108">
                  <c:v>46079</c:v>
                </c:pt>
                <c:pt idx="109">
                  <c:v>46080</c:v>
                </c:pt>
              </c:numCache>
            </c:numRef>
          </c:xVal>
          <c:yVal>
            <c:numRef>
              <c:f>'Baseline 2 - Good, 16hr'!$AI$3:$AI$112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0</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6="http://schemas.microsoft.com/office/drawing/2014/chart" uri="{C3380CC4-5D6E-409C-BE32-E72D297353CC}">
              <c16:uniqueId val="{00000008-B76A-4460-A243-A0C97C153438}"/>
            </c:ext>
          </c:extLst>
        </c:ser>
        <c:ser>
          <c:idx val="7"/>
          <c:order val="7"/>
          <c:tx>
            <c:strRef>
              <c:f>'Drilling Spec'!$A$40</c:f>
              <c:strCache>
                <c:ptCount val="1"/>
              </c:strCache>
            </c:strRef>
          </c:tx>
          <c:spPr>
            <a:ln w="19050" cap="rnd">
              <a:solidFill>
                <a:schemeClr val="accent2">
                  <a:lumMod val="60000"/>
                </a:schemeClr>
              </a:solidFill>
              <a:round/>
            </a:ln>
            <a:effectLst/>
          </c:spPr>
          <c:marker>
            <c:symbol val="x"/>
            <c:size val="18"/>
            <c:spPr>
              <a:noFill/>
              <a:ln w="57150">
                <a:solidFill>
                  <a:srgbClr val="FF0000"/>
                </a:solidFill>
              </a:ln>
              <a:effectLst/>
            </c:spPr>
          </c:marker>
          <c:xVal>
            <c:numRef>
              <c:f>'04-07-25-Scen3-Good,24-16hr'!$BF$5</c:f>
              <c:numCache>
                <c:formatCode>m/d/yyyy</c:formatCode>
                <c:ptCount val="1"/>
                <c:pt idx="0">
                  <c:v>46055</c:v>
                </c:pt>
              </c:numCache>
            </c:numRef>
          </c:xVal>
          <c:yVal>
            <c:numLit>
              <c:formatCode>General</c:formatCode>
              <c:ptCount val="1"/>
              <c:pt idx="0">
                <c:v>0</c:v>
              </c:pt>
            </c:numLit>
          </c:yVal>
          <c:smooth val="0"/>
          <c:extLst>
            <c:ext xmlns:c16="http://schemas.microsoft.com/office/drawing/2014/chart" uri="{C3380CC4-5D6E-409C-BE32-E72D297353CC}">
              <c16:uniqueId val="{00000009-B76A-4460-A243-A0C97C153438}"/>
            </c:ext>
          </c:extLst>
        </c:ser>
        <c:ser>
          <c:idx val="8"/>
          <c:order val="8"/>
          <c:tx>
            <c:strRef>
              <c:f>'Baseline 2 - Good, 16hr'!$AK$1</c:f>
              <c:strCache>
                <c:ptCount val="1"/>
                <c:pt idx="0">
                  <c:v>Drill Fluid Still Needed In</c:v>
                </c:pt>
              </c:strCache>
            </c:strRef>
          </c:tx>
          <c:spPr>
            <a:ln w="19050" cap="rnd">
              <a:solidFill>
                <a:schemeClr val="accent3">
                  <a:lumMod val="60000"/>
                </a:schemeClr>
              </a:solidFill>
              <a:round/>
            </a:ln>
            <a:effectLst/>
          </c:spPr>
          <c:marker>
            <c:symbol val="x"/>
            <c:size val="10"/>
            <c:spPr>
              <a:solidFill>
                <a:schemeClr val="bg1"/>
              </a:solidFill>
              <a:ln w="31750">
                <a:solidFill>
                  <a:schemeClr val="tx2">
                    <a:lumMod val="50000"/>
                    <a:lumOff val="50000"/>
                  </a:schemeClr>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B76A-4460-A243-A0C97C153438}"/>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B76A-4460-A243-A0C97C153438}"/>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B76A-4460-A243-A0C97C153438}"/>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B76A-4460-A243-A0C97C153438}"/>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B76A-4460-A243-A0C97C153438}"/>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B76A-4460-A243-A0C97C153438}"/>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B76A-4460-A243-A0C97C153438}"/>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B76A-4460-A243-A0C97C153438}"/>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B76A-4460-A243-A0C97C153438}"/>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B76A-4460-A243-A0C97C153438}"/>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B76A-4460-A243-A0C97C153438}"/>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B76A-4460-A243-A0C97C153438}"/>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B76A-4460-A243-A0C97C153438}"/>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B76A-4460-A243-A0C97C153438}"/>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B76A-4460-A243-A0C97C153438}"/>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B76A-4460-A243-A0C97C153438}"/>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B76A-4460-A243-A0C97C153438}"/>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B76A-4460-A243-A0C97C153438}"/>
                </c:ext>
              </c:extLst>
            </c:dLbl>
            <c:dLbl>
              <c:idx val="18"/>
              <c:tx>
                <c:rich>
                  <a:bodyPr/>
                  <a:lstStyle/>
                  <a:p>
                    <a:fld id="{09155F3C-3932-4960-9AE7-576DA3C80B1F}"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B76A-4460-A243-A0C97C153438}"/>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B76A-4460-A243-A0C97C153438}"/>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B76A-4460-A243-A0C97C153438}"/>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B76A-4460-A243-A0C97C153438}"/>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B76A-4460-A243-A0C97C153438}"/>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B76A-4460-A243-A0C97C153438}"/>
                </c:ext>
              </c:extLst>
            </c:dLbl>
            <c:dLbl>
              <c:idx val="24"/>
              <c:tx>
                <c:rich>
                  <a:bodyPr/>
                  <a:lstStyle/>
                  <a:p>
                    <a:fld id="{5835B595-B337-43E1-9696-8BB0460AD181}"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B76A-4460-A243-A0C97C153438}"/>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B76A-4460-A243-A0C97C153438}"/>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B76A-4460-A243-A0C97C153438}"/>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B76A-4460-A243-A0C97C153438}"/>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B76A-4460-A243-A0C97C153438}"/>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B76A-4460-A243-A0C97C153438}"/>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B76A-4460-A243-A0C97C153438}"/>
                </c:ext>
              </c:extLst>
            </c:dLbl>
            <c:dLbl>
              <c:idx val="31"/>
              <c:tx>
                <c:rich>
                  <a:bodyPr/>
                  <a:lstStyle/>
                  <a:p>
                    <a:fld id="{1BA12E92-AAEA-4559-8441-8CB5412905DB}"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C-B76A-4460-A243-A0C97C153438}"/>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B76A-4460-A243-A0C97C153438}"/>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B76A-4460-A243-A0C97C153438}"/>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B76A-4460-A243-A0C97C153438}"/>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B76A-4460-A243-A0C97C153438}"/>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B76A-4460-A243-A0C97C153438}"/>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B76A-4460-A243-A0C97C153438}"/>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B76A-4460-A243-A0C97C153438}"/>
                </c:ext>
              </c:extLst>
            </c:dLbl>
            <c:dLbl>
              <c:idx val="39"/>
              <c:tx>
                <c:rich>
                  <a:bodyPr/>
                  <a:lstStyle/>
                  <a:p>
                    <a:fld id="{A267CA47-8CE0-4C59-B179-F1AB4236299C}"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4-B76A-4460-A243-A0C97C153438}"/>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B76A-4460-A243-A0C97C153438}"/>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B76A-4460-A243-A0C97C153438}"/>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B76A-4460-A243-A0C97C153438}"/>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B76A-4460-A243-A0C97C153438}"/>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B76A-4460-A243-A0C97C153438}"/>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B76A-4460-A243-A0C97C153438}"/>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B76A-4460-A243-A0C97C153438}"/>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B76A-4460-A243-A0C97C153438}"/>
                </c:ext>
              </c:extLst>
            </c:dLbl>
            <c:dLbl>
              <c:idx val="48"/>
              <c:tx>
                <c:rich>
                  <a:bodyPr/>
                  <a:lstStyle/>
                  <a:p>
                    <a:fld id="{4F3D5152-4283-49C5-B8FF-846631251447}"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D-B76A-4460-A243-A0C97C153438}"/>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B76A-4460-A243-A0C97C153438}"/>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B76A-4460-A243-A0C97C153438}"/>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B76A-4460-A243-A0C97C153438}"/>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B76A-4460-A243-A0C97C153438}"/>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B76A-4460-A243-A0C97C153438}"/>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B76A-4460-A243-A0C97C153438}"/>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B76A-4460-A243-A0C97C153438}"/>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B76A-4460-A243-A0C97C153438}"/>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B76A-4460-A243-A0C97C153438}"/>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7-B76A-4460-A243-A0C97C153438}"/>
                </c:ext>
              </c:extLst>
            </c:dLbl>
            <c:dLbl>
              <c:idx val="59"/>
              <c:tx>
                <c:rich>
                  <a:bodyPr/>
                  <a:lstStyle/>
                  <a:p>
                    <a:fld id="{0E628A7F-A0A7-43D3-AE4A-8B7E513DE78B}"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8-B76A-4460-A243-A0C97C153438}"/>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B76A-4460-A243-A0C97C153438}"/>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B76A-4460-A243-A0C97C153438}"/>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B76A-4460-A243-A0C97C153438}"/>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B76A-4460-A243-A0C97C153438}"/>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B76A-4460-A243-A0C97C153438}"/>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B76A-4460-A243-A0C97C153438}"/>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B76A-4460-A243-A0C97C153438}"/>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B76A-4460-A243-A0C97C153438}"/>
                </c:ext>
              </c:extLst>
            </c:dLbl>
            <c:dLbl>
              <c:idx val="68"/>
              <c:tx>
                <c:rich>
                  <a:bodyPr/>
                  <a:lstStyle/>
                  <a:p>
                    <a:fld id="{ABEEA8CF-1F6E-4754-A55B-47C61E70CD0D}"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51-B76A-4460-A243-A0C97C153438}"/>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B76A-4460-A243-A0C97C153438}"/>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B76A-4460-A243-A0C97C153438}"/>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B76A-4460-A243-A0C97C153438}"/>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B76A-4460-A243-A0C97C153438}"/>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B76A-4460-A243-A0C97C153438}"/>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B76A-4460-A243-A0C97C153438}"/>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B76A-4460-A243-A0C97C153438}"/>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B76A-4460-A243-A0C97C153438}"/>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B76A-4460-A243-A0C97C153438}"/>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B76A-4460-A243-A0C97C153438}"/>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B76A-4460-A243-A0C97C153438}"/>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B76A-4460-A243-A0C97C153438}"/>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B76A-4460-A243-A0C97C153438}"/>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F-B76A-4460-A243-A0C97C153438}"/>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0-B76A-4460-A243-A0C97C153438}"/>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1-B76A-4460-A243-A0C97C153438}"/>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2-B76A-4460-A243-A0C97C153438}"/>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3-B76A-4460-A243-A0C97C153438}"/>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4-B76A-4460-A243-A0C97C153438}"/>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5-B76A-4460-A243-A0C97C153438}"/>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6-B76A-4460-A243-A0C97C153438}"/>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7-B76A-4460-A243-A0C97C153438}"/>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8-B76A-4460-A243-A0C97C153438}"/>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9-B76A-4460-A243-A0C97C153438}"/>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A-B76A-4460-A243-A0C97C153438}"/>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B-B76A-4460-A243-A0C97C153438}"/>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C-B76A-4460-A243-A0C97C153438}"/>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D-B76A-4460-A243-A0C97C153438}"/>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E-B76A-4460-A243-A0C97C153438}"/>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F-B76A-4460-A243-A0C97C153438}"/>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0-B76A-4460-A243-A0C97C153438}"/>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1-B76A-4460-A243-A0C97C153438}"/>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2-B76A-4460-A243-A0C97C153438}"/>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3-B76A-4460-A243-A0C97C153438}"/>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4-B76A-4460-A243-A0C97C153438}"/>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5-B76A-4460-A243-A0C97C153438}"/>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6-B76A-4460-A243-A0C97C153438}"/>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7-B76A-4460-A243-A0C97C153438}"/>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8-B76A-4460-A243-A0C97C153438}"/>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9-B76A-4460-A243-A0C97C153438}"/>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A-B76A-4460-A243-A0C97C15343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2">
                          <a:lumMod val="50000"/>
                          <a:lumOff val="50000"/>
                        </a:schemeClr>
                      </a:solidFill>
                    </a:ln>
                    <a:solidFill>
                      <a:schemeClr val="tx2">
                        <a:lumMod val="50000"/>
                        <a:lumOff val="50000"/>
                      </a:schemeClr>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'Baseline 2 - Good, 16hr'!$B$3:$B$112</c:f>
              <c:numCache>
                <c:formatCode>m/d/yyyy</c:formatCode>
                <c:ptCount val="110"/>
                <c:pt idx="0">
                  <c:v>45971</c:v>
                </c:pt>
                <c:pt idx="1">
                  <c:v>45972</c:v>
                </c:pt>
                <c:pt idx="2">
                  <c:v>45973</c:v>
                </c:pt>
                <c:pt idx="3">
                  <c:v>45974</c:v>
                </c:pt>
                <c:pt idx="4">
                  <c:v>45975</c:v>
                </c:pt>
                <c:pt idx="5">
                  <c:v>45976</c:v>
                </c:pt>
                <c:pt idx="6">
                  <c:v>45977</c:v>
                </c:pt>
                <c:pt idx="7">
                  <c:v>45978</c:v>
                </c:pt>
                <c:pt idx="8">
                  <c:v>45979</c:v>
                </c:pt>
                <c:pt idx="9">
                  <c:v>45980</c:v>
                </c:pt>
                <c:pt idx="10">
                  <c:v>45981</c:v>
                </c:pt>
                <c:pt idx="11">
                  <c:v>45982</c:v>
                </c:pt>
                <c:pt idx="12">
                  <c:v>45983</c:v>
                </c:pt>
                <c:pt idx="13">
                  <c:v>45984</c:v>
                </c:pt>
                <c:pt idx="14">
                  <c:v>45985</c:v>
                </c:pt>
                <c:pt idx="15">
                  <c:v>45986</c:v>
                </c:pt>
                <c:pt idx="16">
                  <c:v>45987</c:v>
                </c:pt>
                <c:pt idx="17">
                  <c:v>45988</c:v>
                </c:pt>
                <c:pt idx="18">
                  <c:v>45989</c:v>
                </c:pt>
                <c:pt idx="19">
                  <c:v>45990</c:v>
                </c:pt>
                <c:pt idx="20">
                  <c:v>45991</c:v>
                </c:pt>
                <c:pt idx="21">
                  <c:v>45992</c:v>
                </c:pt>
                <c:pt idx="22">
                  <c:v>45993</c:v>
                </c:pt>
                <c:pt idx="23">
                  <c:v>45994</c:v>
                </c:pt>
                <c:pt idx="24">
                  <c:v>45995</c:v>
                </c:pt>
                <c:pt idx="25">
                  <c:v>45996</c:v>
                </c:pt>
                <c:pt idx="26">
                  <c:v>45997</c:v>
                </c:pt>
                <c:pt idx="27">
                  <c:v>45998</c:v>
                </c:pt>
                <c:pt idx="28">
                  <c:v>45999</c:v>
                </c:pt>
                <c:pt idx="29">
                  <c:v>46000</c:v>
                </c:pt>
                <c:pt idx="30">
                  <c:v>46001</c:v>
                </c:pt>
                <c:pt idx="31">
                  <c:v>46002</c:v>
                </c:pt>
                <c:pt idx="32">
                  <c:v>46003</c:v>
                </c:pt>
                <c:pt idx="33">
                  <c:v>46004</c:v>
                </c:pt>
                <c:pt idx="34">
                  <c:v>46005</c:v>
                </c:pt>
                <c:pt idx="35">
                  <c:v>46006</c:v>
                </c:pt>
                <c:pt idx="36">
                  <c:v>46007</c:v>
                </c:pt>
                <c:pt idx="37">
                  <c:v>46008</c:v>
                </c:pt>
                <c:pt idx="38">
                  <c:v>46009</c:v>
                </c:pt>
                <c:pt idx="39">
                  <c:v>46010</c:v>
                </c:pt>
                <c:pt idx="40">
                  <c:v>46011</c:v>
                </c:pt>
                <c:pt idx="41">
                  <c:v>46012</c:v>
                </c:pt>
                <c:pt idx="42">
                  <c:v>46013</c:v>
                </c:pt>
                <c:pt idx="43">
                  <c:v>46014</c:v>
                </c:pt>
                <c:pt idx="44">
                  <c:v>46015</c:v>
                </c:pt>
                <c:pt idx="45">
                  <c:v>46016</c:v>
                </c:pt>
                <c:pt idx="46">
                  <c:v>46017</c:v>
                </c:pt>
                <c:pt idx="47">
                  <c:v>46018</c:v>
                </c:pt>
                <c:pt idx="48">
                  <c:v>46019</c:v>
                </c:pt>
                <c:pt idx="49">
                  <c:v>46020</c:v>
                </c:pt>
                <c:pt idx="50">
                  <c:v>46021</c:v>
                </c:pt>
                <c:pt idx="51">
                  <c:v>46022</c:v>
                </c:pt>
                <c:pt idx="52">
                  <c:v>46023</c:v>
                </c:pt>
                <c:pt idx="53">
                  <c:v>46024</c:v>
                </c:pt>
                <c:pt idx="54">
                  <c:v>46025</c:v>
                </c:pt>
                <c:pt idx="55">
                  <c:v>46026</c:v>
                </c:pt>
                <c:pt idx="56">
                  <c:v>46027</c:v>
                </c:pt>
                <c:pt idx="57">
                  <c:v>46028</c:v>
                </c:pt>
                <c:pt idx="58">
                  <c:v>46029</c:v>
                </c:pt>
                <c:pt idx="59">
                  <c:v>46030</c:v>
                </c:pt>
                <c:pt idx="60">
                  <c:v>46031</c:v>
                </c:pt>
                <c:pt idx="61">
                  <c:v>46032</c:v>
                </c:pt>
                <c:pt idx="62">
                  <c:v>46033</c:v>
                </c:pt>
                <c:pt idx="63">
                  <c:v>46034</c:v>
                </c:pt>
                <c:pt idx="64">
                  <c:v>46035</c:v>
                </c:pt>
                <c:pt idx="65">
                  <c:v>46036</c:v>
                </c:pt>
                <c:pt idx="66">
                  <c:v>46037</c:v>
                </c:pt>
                <c:pt idx="67">
                  <c:v>46038</c:v>
                </c:pt>
                <c:pt idx="68">
                  <c:v>46039</c:v>
                </c:pt>
                <c:pt idx="69">
                  <c:v>46040</c:v>
                </c:pt>
                <c:pt idx="70">
                  <c:v>46041</c:v>
                </c:pt>
                <c:pt idx="71">
                  <c:v>46042</c:v>
                </c:pt>
                <c:pt idx="72">
                  <c:v>46043</c:v>
                </c:pt>
                <c:pt idx="73">
                  <c:v>46044</c:v>
                </c:pt>
                <c:pt idx="74">
                  <c:v>46045</c:v>
                </c:pt>
                <c:pt idx="75">
                  <c:v>46046</c:v>
                </c:pt>
                <c:pt idx="76">
                  <c:v>46047</c:v>
                </c:pt>
                <c:pt idx="77">
                  <c:v>46048</c:v>
                </c:pt>
                <c:pt idx="78">
                  <c:v>46049</c:v>
                </c:pt>
                <c:pt idx="79">
                  <c:v>46050</c:v>
                </c:pt>
                <c:pt idx="80">
                  <c:v>46051</c:v>
                </c:pt>
                <c:pt idx="81">
                  <c:v>46052</c:v>
                </c:pt>
                <c:pt idx="82">
                  <c:v>46053</c:v>
                </c:pt>
                <c:pt idx="83">
                  <c:v>46054</c:v>
                </c:pt>
                <c:pt idx="84">
                  <c:v>46055</c:v>
                </c:pt>
                <c:pt idx="85">
                  <c:v>46056</c:v>
                </c:pt>
                <c:pt idx="86">
                  <c:v>46057</c:v>
                </c:pt>
                <c:pt idx="87">
                  <c:v>46058</c:v>
                </c:pt>
                <c:pt idx="88">
                  <c:v>46059</c:v>
                </c:pt>
                <c:pt idx="89">
                  <c:v>46060</c:v>
                </c:pt>
                <c:pt idx="90">
                  <c:v>46061</c:v>
                </c:pt>
                <c:pt idx="91">
                  <c:v>46062</c:v>
                </c:pt>
                <c:pt idx="92">
                  <c:v>46063</c:v>
                </c:pt>
                <c:pt idx="93">
                  <c:v>46064</c:v>
                </c:pt>
                <c:pt idx="94">
                  <c:v>46065</c:v>
                </c:pt>
                <c:pt idx="95">
                  <c:v>46066</c:v>
                </c:pt>
                <c:pt idx="96">
                  <c:v>46067</c:v>
                </c:pt>
                <c:pt idx="97">
                  <c:v>46068</c:v>
                </c:pt>
                <c:pt idx="98">
                  <c:v>46069</c:v>
                </c:pt>
                <c:pt idx="99">
                  <c:v>46070</c:v>
                </c:pt>
                <c:pt idx="100">
                  <c:v>46071</c:v>
                </c:pt>
                <c:pt idx="101">
                  <c:v>46072</c:v>
                </c:pt>
                <c:pt idx="102">
                  <c:v>46073</c:v>
                </c:pt>
                <c:pt idx="103">
                  <c:v>46074</c:v>
                </c:pt>
                <c:pt idx="104">
                  <c:v>46075</c:v>
                </c:pt>
                <c:pt idx="105">
                  <c:v>46076</c:v>
                </c:pt>
                <c:pt idx="106">
                  <c:v>46077</c:v>
                </c:pt>
                <c:pt idx="107">
                  <c:v>46078</c:v>
                </c:pt>
                <c:pt idx="108">
                  <c:v>46079</c:v>
                </c:pt>
                <c:pt idx="109">
                  <c:v>46080</c:v>
                </c:pt>
              </c:numCache>
            </c:numRef>
          </c:xVal>
          <c:yVal>
            <c:numRef>
              <c:f>'Baseline 2 - Good, 16hr'!$AK$3:$AK$112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-35</c:v>
                </c:pt>
                <c:pt idx="19">
                  <c:v>#N/A</c:v>
                </c:pt>
                <c:pt idx="20">
                  <c:v>#N/A</c:v>
                </c:pt>
                <c:pt idx="21">
                  <c:v>#N/A</c:v>
                </c:pt>
                <c:pt idx="22">
                  <c:v>#N/A</c:v>
                </c:pt>
                <c:pt idx="23">
                  <c:v>#N/A</c:v>
                </c:pt>
                <c:pt idx="24">
                  <c:v>-35</c:v>
                </c:pt>
                <c:pt idx="25">
                  <c:v>#N/A</c:v>
                </c:pt>
                <c:pt idx="26">
                  <c:v>#N/A</c:v>
                </c:pt>
                <c:pt idx="27">
                  <c:v>#N/A</c:v>
                </c:pt>
                <c:pt idx="28">
                  <c:v>#N/A</c:v>
                </c:pt>
                <c:pt idx="29">
                  <c:v>#N/A</c:v>
                </c:pt>
                <c:pt idx="30">
                  <c:v>#N/A</c:v>
                </c:pt>
                <c:pt idx="31">
                  <c:v>-35</c:v>
                </c:pt>
                <c:pt idx="32">
                  <c:v>#N/A</c:v>
                </c:pt>
                <c:pt idx="33">
                  <c:v>#N/A</c:v>
                </c:pt>
                <c:pt idx="34">
                  <c:v>#N/A</c:v>
                </c:pt>
                <c:pt idx="35">
                  <c:v>#N/A</c:v>
                </c:pt>
                <c:pt idx="36">
                  <c:v>#N/A</c:v>
                </c:pt>
                <c:pt idx="37">
                  <c:v>#N/A</c:v>
                </c:pt>
                <c:pt idx="38">
                  <c:v>#N/A</c:v>
                </c:pt>
                <c:pt idx="39">
                  <c:v>-35</c:v>
                </c:pt>
                <c:pt idx="40">
                  <c:v>#N/A</c:v>
                </c:pt>
                <c:pt idx="41">
                  <c:v>#N/A</c:v>
                </c:pt>
                <c:pt idx="42">
                  <c:v>#N/A</c:v>
                </c:pt>
                <c:pt idx="43">
                  <c:v>#N/A</c:v>
                </c:pt>
                <c:pt idx="44">
                  <c:v>#N/A</c:v>
                </c:pt>
                <c:pt idx="45">
                  <c:v>#N/A</c:v>
                </c:pt>
                <c:pt idx="46">
                  <c:v>#N/A</c:v>
                </c:pt>
                <c:pt idx="47">
                  <c:v>#N/A</c:v>
                </c:pt>
                <c:pt idx="48">
                  <c:v>-35</c:v>
                </c:pt>
                <c:pt idx="49">
                  <c:v>#N/A</c:v>
                </c:pt>
                <c:pt idx="50">
                  <c:v>#N/A</c:v>
                </c:pt>
                <c:pt idx="51">
                  <c:v>#N/A</c:v>
                </c:pt>
                <c:pt idx="52">
                  <c:v>#N/A</c:v>
                </c:pt>
                <c:pt idx="53">
                  <c:v>#N/A</c:v>
                </c:pt>
                <c:pt idx="54">
                  <c:v>#N/A</c:v>
                </c:pt>
                <c:pt idx="55">
                  <c:v>#N/A</c:v>
                </c:pt>
                <c:pt idx="56">
                  <c:v>#N/A</c:v>
                </c:pt>
                <c:pt idx="57">
                  <c:v>#N/A</c:v>
                </c:pt>
                <c:pt idx="58">
                  <c:v>#N/A</c:v>
                </c:pt>
                <c:pt idx="59">
                  <c:v>-35</c:v>
                </c:pt>
                <c:pt idx="60">
                  <c:v>#N/A</c:v>
                </c:pt>
                <c:pt idx="61">
                  <c:v>#N/A</c:v>
                </c:pt>
                <c:pt idx="62">
                  <c:v>#N/A</c:v>
                </c:pt>
                <c:pt idx="63">
                  <c:v>#N/A</c:v>
                </c:pt>
                <c:pt idx="64">
                  <c:v>#N/A</c:v>
                </c:pt>
                <c:pt idx="65">
                  <c:v>#N/A</c:v>
                </c:pt>
                <c:pt idx="66">
                  <c:v>#N/A</c:v>
                </c:pt>
                <c:pt idx="67">
                  <c:v>#N/A</c:v>
                </c:pt>
                <c:pt idx="68">
                  <c:v>-35</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'Baseline 2 - Good, 16hr'!$U$3:$U$112</c15:f>
                <c15:dlblRangeCache>
                  <c:ptCount val="11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6</c:v>
                  </c:pt>
                  <c:pt idx="19">
                    <c:v>0</c:v>
                  </c:pt>
                  <c:pt idx="20">
                    <c:v>0</c:v>
                  </c:pt>
                  <c:pt idx="21">
                    <c:v>0</c:v>
                  </c:pt>
                  <c:pt idx="22">
                    <c:v>0</c:v>
                  </c:pt>
                  <c:pt idx="23">
                    <c:v>0</c:v>
                  </c:pt>
                  <c:pt idx="24">
                    <c:v>6</c:v>
                  </c:pt>
                  <c:pt idx="25">
                    <c:v>0</c:v>
                  </c:pt>
                  <c:pt idx="26">
                    <c:v>0</c:v>
                  </c:pt>
                  <c:pt idx="27">
                    <c:v>0</c:v>
                  </c:pt>
                  <c:pt idx="28">
                    <c:v>0</c:v>
                  </c:pt>
                  <c:pt idx="29">
                    <c:v>0</c:v>
                  </c:pt>
                  <c:pt idx="30">
                    <c:v>0</c:v>
                  </c:pt>
                  <c:pt idx="31">
                    <c:v>6</c:v>
                  </c:pt>
                  <c:pt idx="32">
                    <c:v>0</c:v>
                  </c:pt>
                  <c:pt idx="33">
                    <c:v>0</c:v>
                  </c:pt>
                  <c:pt idx="34">
                    <c:v>0</c:v>
                  </c:pt>
                  <c:pt idx="35">
                    <c:v>0</c:v>
                  </c:pt>
                  <c:pt idx="36">
                    <c:v>0</c:v>
                  </c:pt>
                  <c:pt idx="37">
                    <c:v>0</c:v>
                  </c:pt>
                  <c:pt idx="38">
                    <c:v>0</c:v>
                  </c:pt>
                  <c:pt idx="39">
                    <c:v>6</c:v>
                  </c:pt>
                  <c:pt idx="40">
                    <c:v>0</c:v>
                  </c:pt>
                  <c:pt idx="41">
                    <c:v>0</c:v>
                  </c:pt>
                  <c:pt idx="42">
                    <c:v>0</c:v>
                  </c:pt>
                  <c:pt idx="43">
                    <c:v>0</c:v>
                  </c:pt>
                  <c:pt idx="44">
                    <c:v>0</c:v>
                  </c:pt>
                  <c:pt idx="45">
                    <c:v>0</c:v>
                  </c:pt>
                  <c:pt idx="46">
                    <c:v>0</c:v>
                  </c:pt>
                  <c:pt idx="47">
                    <c:v>0</c:v>
                  </c:pt>
                  <c:pt idx="48">
                    <c:v>6</c:v>
                  </c:pt>
                  <c:pt idx="49">
                    <c:v>0</c:v>
                  </c:pt>
                  <c:pt idx="50">
                    <c:v>0</c:v>
                  </c:pt>
                  <c:pt idx="51">
                    <c:v>0</c:v>
                  </c:pt>
                  <c:pt idx="52">
                    <c:v>0</c:v>
                  </c:pt>
                  <c:pt idx="53">
                    <c:v>0</c:v>
                  </c:pt>
                  <c:pt idx="54">
                    <c:v>0</c:v>
                  </c:pt>
                  <c:pt idx="55">
                    <c:v>0</c:v>
                  </c:pt>
                  <c:pt idx="56">
                    <c:v>0</c:v>
                  </c:pt>
                  <c:pt idx="57">
                    <c:v>0</c:v>
                  </c:pt>
                  <c:pt idx="58">
                    <c:v>0</c:v>
                  </c:pt>
                  <c:pt idx="59">
                    <c:v>6</c:v>
                  </c:pt>
                  <c:pt idx="60">
                    <c:v>0</c:v>
                  </c:pt>
                  <c:pt idx="61">
                    <c:v>0</c:v>
                  </c:pt>
                  <c:pt idx="62">
                    <c:v>0</c:v>
                  </c:pt>
                  <c:pt idx="63">
                    <c:v>0</c:v>
                  </c:pt>
                  <c:pt idx="64">
                    <c:v>0</c:v>
                  </c:pt>
                  <c:pt idx="65">
                    <c:v>0</c:v>
                  </c:pt>
                  <c:pt idx="66">
                    <c:v>0</c:v>
                  </c:pt>
                  <c:pt idx="67">
                    <c:v>0</c:v>
                  </c:pt>
                  <c:pt idx="68">
                    <c:v>6</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15:dlblRangeCache>
              </c15:datalabelsRange>
            </c:ext>
            <c:ext xmlns:c16="http://schemas.microsoft.com/office/drawing/2014/chart" uri="{C3380CC4-5D6E-409C-BE32-E72D297353CC}">
              <c16:uniqueId val="{0000000A-B76A-4460-A243-A0C97C153438}"/>
            </c:ext>
          </c:extLst>
        </c:ser>
        <c:ser>
          <c:idx val="9"/>
          <c:order val="9"/>
          <c:tx>
            <c:strRef>
              <c:f>'Baseline 2 - Good, 16hr'!$AJ$1</c:f>
              <c:strCache>
                <c:ptCount val="1"/>
                <c:pt idx="0">
                  <c:v>Drill Fluid Planned In</c:v>
                </c:pt>
              </c:strCache>
            </c:strRef>
          </c:tx>
          <c:spPr>
            <a:ln w="19050" cap="rnd">
              <a:solidFill>
                <a:schemeClr val="tx2">
                  <a:lumMod val="50000"/>
                  <a:lumOff val="50000"/>
                </a:schemeClr>
              </a:solidFill>
              <a:round/>
            </a:ln>
            <a:effectLst/>
          </c:spPr>
          <c:marker>
            <c:symbol val="circle"/>
            <c:size val="10"/>
            <c:spPr>
              <a:solidFill>
                <a:schemeClr val="bg1"/>
              </a:solidFill>
              <a:ln w="31750">
                <a:solidFill>
                  <a:schemeClr val="tx2">
                    <a:lumMod val="50000"/>
                    <a:lumOff val="50000"/>
                  </a:schemeClr>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C-B76A-4460-A243-A0C97C153438}"/>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D-B76A-4460-A243-A0C97C153438}"/>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E-B76A-4460-A243-A0C97C153438}"/>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F-B76A-4460-A243-A0C97C153438}"/>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0-B76A-4460-A243-A0C97C153438}"/>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1-B76A-4460-A243-A0C97C153438}"/>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2-B76A-4460-A243-A0C97C153438}"/>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B-B76A-4460-A243-A0C97C153438}"/>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3-B76A-4460-A243-A0C97C153438}"/>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4-B76A-4460-A243-A0C97C153438}"/>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5-B76A-4460-A243-A0C97C153438}"/>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6-B76A-4460-A243-A0C97C153438}"/>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7-B76A-4460-A243-A0C97C153438}"/>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8-B76A-4460-A243-A0C97C153438}"/>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B76A-4460-A243-A0C97C153438}"/>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9-B76A-4460-A243-A0C97C153438}"/>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A-B76A-4460-A243-A0C97C153438}"/>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B-B76A-4460-A243-A0C97C153438}"/>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C-B76A-4460-A243-A0C97C153438}"/>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D-B76A-4460-A243-A0C97C153438}"/>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E-B76A-4460-A243-A0C97C153438}"/>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F-B76A-4460-A243-A0C97C153438}"/>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0-B76A-4460-A243-A0C97C153438}"/>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1-B76A-4460-A243-A0C97C153438}"/>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2-B76A-4460-A243-A0C97C153438}"/>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3-B76A-4460-A243-A0C97C153438}"/>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4-B76A-4460-A243-A0C97C153438}"/>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5-B76A-4460-A243-A0C97C153438}"/>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6-B76A-4460-A243-A0C97C153438}"/>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7-B76A-4460-A243-A0C97C153438}"/>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8-B76A-4460-A243-A0C97C153438}"/>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9-B76A-4460-A243-A0C97C153438}"/>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A-B76A-4460-A243-A0C97C153438}"/>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B-B76A-4460-A243-A0C97C153438}"/>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C-B76A-4460-A243-A0C97C153438}"/>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D-B76A-4460-A243-A0C97C153438}"/>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E-B76A-4460-A243-A0C97C153438}"/>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F-B76A-4460-A243-A0C97C153438}"/>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0-B76A-4460-A243-A0C97C153438}"/>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1-B76A-4460-A243-A0C97C153438}"/>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2-B76A-4460-A243-A0C97C153438}"/>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3-B76A-4460-A243-A0C97C153438}"/>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4-B76A-4460-A243-A0C97C153438}"/>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5-B76A-4460-A243-A0C97C153438}"/>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6-B76A-4460-A243-A0C97C153438}"/>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7-B76A-4460-A243-A0C97C153438}"/>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8-B76A-4460-A243-A0C97C153438}"/>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9-B76A-4460-A243-A0C97C153438}"/>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A-B76A-4460-A243-A0C97C153438}"/>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B-B76A-4460-A243-A0C97C153438}"/>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C-B76A-4460-A243-A0C97C153438}"/>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D-B76A-4460-A243-A0C97C153438}"/>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E-B76A-4460-A243-A0C97C153438}"/>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F-B76A-4460-A243-A0C97C153438}"/>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0-B76A-4460-A243-A0C97C153438}"/>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1-B76A-4460-A243-A0C97C153438}"/>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2-B76A-4460-A243-A0C97C153438}"/>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3-B76A-4460-A243-A0C97C153438}"/>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4-B76A-4460-A243-A0C97C153438}"/>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5-B76A-4460-A243-A0C97C153438}"/>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6-B76A-4460-A243-A0C97C153438}"/>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7-B76A-4460-A243-A0C97C153438}"/>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8-B76A-4460-A243-A0C97C153438}"/>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9-B76A-4460-A243-A0C97C153438}"/>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A-B76A-4460-A243-A0C97C153438}"/>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B-B76A-4460-A243-A0C97C153438}"/>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C-B76A-4460-A243-A0C97C153438}"/>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D-B76A-4460-A243-A0C97C153438}"/>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E-B76A-4460-A243-A0C97C153438}"/>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F-B76A-4460-A243-A0C97C153438}"/>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0-B76A-4460-A243-A0C97C153438}"/>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1-B76A-4460-A243-A0C97C153438}"/>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2-B76A-4460-A243-A0C97C153438}"/>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3-B76A-4460-A243-A0C97C153438}"/>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4-B76A-4460-A243-A0C97C153438}"/>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5-B76A-4460-A243-A0C97C153438}"/>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6-B76A-4460-A243-A0C97C153438}"/>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7-B76A-4460-A243-A0C97C153438}"/>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8-B76A-4460-A243-A0C97C153438}"/>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9-B76A-4460-A243-A0C97C153438}"/>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A-B76A-4460-A243-A0C97C153438}"/>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B-B76A-4460-A243-A0C97C153438}"/>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C-B76A-4460-A243-A0C97C153438}"/>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D-B76A-4460-A243-A0C97C153438}"/>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E-B76A-4460-A243-A0C97C153438}"/>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F-B76A-4460-A243-A0C97C153438}"/>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0-B76A-4460-A243-A0C97C153438}"/>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1-B76A-4460-A243-A0C97C153438}"/>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2-B76A-4460-A243-A0C97C153438}"/>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3-B76A-4460-A243-A0C97C153438}"/>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4-B76A-4460-A243-A0C97C153438}"/>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5-B76A-4460-A243-A0C97C153438}"/>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6-B76A-4460-A243-A0C97C153438}"/>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7-B76A-4460-A243-A0C97C153438}"/>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8-B76A-4460-A243-A0C97C153438}"/>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9-B76A-4460-A243-A0C97C153438}"/>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A-B76A-4460-A243-A0C97C153438}"/>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B-B76A-4460-A243-A0C97C153438}"/>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C-B76A-4460-A243-A0C97C153438}"/>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D-B76A-4460-A243-A0C97C153438}"/>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E-B76A-4460-A243-A0C97C153438}"/>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F-B76A-4460-A243-A0C97C153438}"/>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0-B76A-4460-A243-A0C97C153438}"/>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1-B76A-4460-A243-A0C97C153438}"/>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2-B76A-4460-A243-A0C97C153438}"/>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3-B76A-4460-A243-A0C97C153438}"/>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4-B76A-4460-A243-A0C97C153438}"/>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5-B76A-4460-A243-A0C97C153438}"/>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6-B76A-4460-A243-A0C97C153438}"/>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7-B76A-4460-A243-A0C97C15343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2">
                          <a:lumMod val="50000"/>
                          <a:lumOff val="50000"/>
                        </a:schemeClr>
                      </a:solidFill>
                    </a:ln>
                    <a:solidFill>
                      <a:schemeClr val="tx2">
                        <a:lumMod val="50000"/>
                        <a:lumOff val="50000"/>
                      </a:schemeClr>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'Baseline 2 - Good, 16hr'!$B$3:$B$112</c:f>
              <c:numCache>
                <c:formatCode>m/d/yyyy</c:formatCode>
                <c:ptCount val="110"/>
                <c:pt idx="0">
                  <c:v>45971</c:v>
                </c:pt>
                <c:pt idx="1">
                  <c:v>45972</c:v>
                </c:pt>
                <c:pt idx="2">
                  <c:v>45973</c:v>
                </c:pt>
                <c:pt idx="3">
                  <c:v>45974</c:v>
                </c:pt>
                <c:pt idx="4">
                  <c:v>45975</c:v>
                </c:pt>
                <c:pt idx="5">
                  <c:v>45976</c:v>
                </c:pt>
                <c:pt idx="6">
                  <c:v>45977</c:v>
                </c:pt>
                <c:pt idx="7">
                  <c:v>45978</c:v>
                </c:pt>
                <c:pt idx="8">
                  <c:v>45979</c:v>
                </c:pt>
                <c:pt idx="9">
                  <c:v>45980</c:v>
                </c:pt>
                <c:pt idx="10">
                  <c:v>45981</c:v>
                </c:pt>
                <c:pt idx="11">
                  <c:v>45982</c:v>
                </c:pt>
                <c:pt idx="12">
                  <c:v>45983</c:v>
                </c:pt>
                <c:pt idx="13">
                  <c:v>45984</c:v>
                </c:pt>
                <c:pt idx="14">
                  <c:v>45985</c:v>
                </c:pt>
                <c:pt idx="15">
                  <c:v>45986</c:v>
                </c:pt>
                <c:pt idx="16">
                  <c:v>45987</c:v>
                </c:pt>
                <c:pt idx="17">
                  <c:v>45988</c:v>
                </c:pt>
                <c:pt idx="18">
                  <c:v>45989</c:v>
                </c:pt>
                <c:pt idx="19">
                  <c:v>45990</c:v>
                </c:pt>
                <c:pt idx="20">
                  <c:v>45991</c:v>
                </c:pt>
                <c:pt idx="21">
                  <c:v>45992</c:v>
                </c:pt>
                <c:pt idx="22">
                  <c:v>45993</c:v>
                </c:pt>
                <c:pt idx="23">
                  <c:v>45994</c:v>
                </c:pt>
                <c:pt idx="24">
                  <c:v>45995</c:v>
                </c:pt>
                <c:pt idx="25">
                  <c:v>45996</c:v>
                </c:pt>
                <c:pt idx="26">
                  <c:v>45997</c:v>
                </c:pt>
                <c:pt idx="27">
                  <c:v>45998</c:v>
                </c:pt>
                <c:pt idx="28">
                  <c:v>45999</c:v>
                </c:pt>
                <c:pt idx="29">
                  <c:v>46000</c:v>
                </c:pt>
                <c:pt idx="30">
                  <c:v>46001</c:v>
                </c:pt>
                <c:pt idx="31">
                  <c:v>46002</c:v>
                </c:pt>
                <c:pt idx="32">
                  <c:v>46003</c:v>
                </c:pt>
                <c:pt idx="33">
                  <c:v>46004</c:v>
                </c:pt>
                <c:pt idx="34">
                  <c:v>46005</c:v>
                </c:pt>
                <c:pt idx="35">
                  <c:v>46006</c:v>
                </c:pt>
                <c:pt idx="36">
                  <c:v>46007</c:v>
                </c:pt>
                <c:pt idx="37">
                  <c:v>46008</c:v>
                </c:pt>
                <c:pt idx="38">
                  <c:v>46009</c:v>
                </c:pt>
                <c:pt idx="39">
                  <c:v>46010</c:v>
                </c:pt>
                <c:pt idx="40">
                  <c:v>46011</c:v>
                </c:pt>
                <c:pt idx="41">
                  <c:v>46012</c:v>
                </c:pt>
                <c:pt idx="42">
                  <c:v>46013</c:v>
                </c:pt>
                <c:pt idx="43">
                  <c:v>46014</c:v>
                </c:pt>
                <c:pt idx="44">
                  <c:v>46015</c:v>
                </c:pt>
                <c:pt idx="45">
                  <c:v>46016</c:v>
                </c:pt>
                <c:pt idx="46">
                  <c:v>46017</c:v>
                </c:pt>
                <c:pt idx="47">
                  <c:v>46018</c:v>
                </c:pt>
                <c:pt idx="48">
                  <c:v>46019</c:v>
                </c:pt>
                <c:pt idx="49">
                  <c:v>46020</c:v>
                </c:pt>
                <c:pt idx="50">
                  <c:v>46021</c:v>
                </c:pt>
                <c:pt idx="51">
                  <c:v>46022</c:v>
                </c:pt>
                <c:pt idx="52">
                  <c:v>46023</c:v>
                </c:pt>
                <c:pt idx="53">
                  <c:v>46024</c:v>
                </c:pt>
                <c:pt idx="54">
                  <c:v>46025</c:v>
                </c:pt>
                <c:pt idx="55">
                  <c:v>46026</c:v>
                </c:pt>
                <c:pt idx="56">
                  <c:v>46027</c:v>
                </c:pt>
                <c:pt idx="57">
                  <c:v>46028</c:v>
                </c:pt>
                <c:pt idx="58">
                  <c:v>46029</c:v>
                </c:pt>
                <c:pt idx="59">
                  <c:v>46030</c:v>
                </c:pt>
                <c:pt idx="60">
                  <c:v>46031</c:v>
                </c:pt>
                <c:pt idx="61">
                  <c:v>46032</c:v>
                </c:pt>
                <c:pt idx="62">
                  <c:v>46033</c:v>
                </c:pt>
                <c:pt idx="63">
                  <c:v>46034</c:v>
                </c:pt>
                <c:pt idx="64">
                  <c:v>46035</c:v>
                </c:pt>
                <c:pt idx="65">
                  <c:v>46036</c:v>
                </c:pt>
                <c:pt idx="66">
                  <c:v>46037</c:v>
                </c:pt>
                <c:pt idx="67">
                  <c:v>46038</c:v>
                </c:pt>
                <c:pt idx="68">
                  <c:v>46039</c:v>
                </c:pt>
                <c:pt idx="69">
                  <c:v>46040</c:v>
                </c:pt>
                <c:pt idx="70">
                  <c:v>46041</c:v>
                </c:pt>
                <c:pt idx="71">
                  <c:v>46042</c:v>
                </c:pt>
                <c:pt idx="72">
                  <c:v>46043</c:v>
                </c:pt>
                <c:pt idx="73">
                  <c:v>46044</c:v>
                </c:pt>
                <c:pt idx="74">
                  <c:v>46045</c:v>
                </c:pt>
                <c:pt idx="75">
                  <c:v>46046</c:v>
                </c:pt>
                <c:pt idx="76">
                  <c:v>46047</c:v>
                </c:pt>
                <c:pt idx="77">
                  <c:v>46048</c:v>
                </c:pt>
                <c:pt idx="78">
                  <c:v>46049</c:v>
                </c:pt>
                <c:pt idx="79">
                  <c:v>46050</c:v>
                </c:pt>
                <c:pt idx="80">
                  <c:v>46051</c:v>
                </c:pt>
                <c:pt idx="81">
                  <c:v>46052</c:v>
                </c:pt>
                <c:pt idx="82">
                  <c:v>46053</c:v>
                </c:pt>
                <c:pt idx="83">
                  <c:v>46054</c:v>
                </c:pt>
                <c:pt idx="84">
                  <c:v>46055</c:v>
                </c:pt>
                <c:pt idx="85">
                  <c:v>46056</c:v>
                </c:pt>
                <c:pt idx="86">
                  <c:v>46057</c:v>
                </c:pt>
                <c:pt idx="87">
                  <c:v>46058</c:v>
                </c:pt>
                <c:pt idx="88">
                  <c:v>46059</c:v>
                </c:pt>
                <c:pt idx="89">
                  <c:v>46060</c:v>
                </c:pt>
                <c:pt idx="90">
                  <c:v>46061</c:v>
                </c:pt>
                <c:pt idx="91">
                  <c:v>46062</c:v>
                </c:pt>
                <c:pt idx="92">
                  <c:v>46063</c:v>
                </c:pt>
                <c:pt idx="93">
                  <c:v>46064</c:v>
                </c:pt>
                <c:pt idx="94">
                  <c:v>46065</c:v>
                </c:pt>
                <c:pt idx="95">
                  <c:v>46066</c:v>
                </c:pt>
                <c:pt idx="96">
                  <c:v>46067</c:v>
                </c:pt>
                <c:pt idx="97">
                  <c:v>46068</c:v>
                </c:pt>
                <c:pt idx="98">
                  <c:v>46069</c:v>
                </c:pt>
                <c:pt idx="99">
                  <c:v>46070</c:v>
                </c:pt>
                <c:pt idx="100">
                  <c:v>46071</c:v>
                </c:pt>
                <c:pt idx="101">
                  <c:v>46072</c:v>
                </c:pt>
                <c:pt idx="102">
                  <c:v>46073</c:v>
                </c:pt>
                <c:pt idx="103">
                  <c:v>46074</c:v>
                </c:pt>
                <c:pt idx="104">
                  <c:v>46075</c:v>
                </c:pt>
                <c:pt idx="105">
                  <c:v>46076</c:v>
                </c:pt>
                <c:pt idx="106">
                  <c:v>46077</c:v>
                </c:pt>
                <c:pt idx="107">
                  <c:v>46078</c:v>
                </c:pt>
                <c:pt idx="108">
                  <c:v>46079</c:v>
                </c:pt>
                <c:pt idx="109">
                  <c:v>46080</c:v>
                </c:pt>
              </c:numCache>
            </c:numRef>
          </c:xVal>
          <c:yVal>
            <c:numRef>
              <c:f>'Baseline 2 - Good, 16hr'!$AJ$3:$AJ$112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'Baseline 2 - Good, 16hr'!$T$3:$T$112</c15:f>
                <c15:dlblRangeCache>
                  <c:ptCount val="110"/>
                </c15:dlblRangeCache>
              </c15:datalabelsRange>
            </c:ext>
            <c:ext xmlns:c16="http://schemas.microsoft.com/office/drawing/2014/chart" uri="{C3380CC4-5D6E-409C-BE32-E72D297353CC}">
              <c16:uniqueId val="{0000000B-B76A-4460-A243-A0C97C153438}"/>
            </c:ext>
          </c:extLst>
        </c:ser>
        <c:ser>
          <c:idx val="10"/>
          <c:order val="10"/>
          <c:tx>
            <c:strRef>
              <c:f>'Baseline 2 - Good, 16hr'!$AL$1</c:f>
              <c:strCache>
                <c:ptCount val="1"/>
                <c:pt idx="0">
                  <c:v>Ice Core Boxes Planned OUT</c:v>
                </c:pt>
              </c:strCache>
            </c:strRef>
          </c:tx>
          <c:spPr>
            <a:ln w="19050" cap="rnd">
              <a:solidFill>
                <a:schemeClr val="accent5">
                  <a:lumMod val="60000"/>
                </a:schemeClr>
              </a:solidFill>
              <a:round/>
            </a:ln>
            <a:effectLst/>
          </c:spPr>
          <c:marker>
            <c:symbol val="circle"/>
            <c:size val="10"/>
            <c:spPr>
              <a:solidFill>
                <a:schemeClr val="bg1"/>
              </a:solidFill>
              <a:ln w="31750">
                <a:solidFill>
                  <a:srgbClr val="00B050"/>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B-B76A-4460-A243-A0C97C153438}"/>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C-B76A-4460-A243-A0C97C153438}"/>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D-B76A-4460-A243-A0C97C153438}"/>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E-B76A-4460-A243-A0C97C153438}"/>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F-B76A-4460-A243-A0C97C153438}"/>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0-B76A-4460-A243-A0C97C153438}"/>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1-B76A-4460-A243-A0C97C153438}"/>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2-B76A-4460-A243-A0C97C153438}"/>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3-B76A-4460-A243-A0C97C153438}"/>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4-B76A-4460-A243-A0C97C153438}"/>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5-B76A-4460-A243-A0C97C153438}"/>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6-B76A-4460-A243-A0C97C153438}"/>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7-B76A-4460-A243-A0C97C153438}"/>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8-B76A-4460-A243-A0C97C153438}"/>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9-B76A-4460-A243-A0C97C153438}"/>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A-B76A-4460-A243-A0C97C153438}"/>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B-B76A-4460-A243-A0C97C153438}"/>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C-B76A-4460-A243-A0C97C153438}"/>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D-B76A-4460-A243-A0C97C153438}"/>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E-B76A-4460-A243-A0C97C153438}"/>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F-B76A-4460-A243-A0C97C153438}"/>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A-B76A-4460-A243-A0C97C153438}"/>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0-B76A-4460-A243-A0C97C153438}"/>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1-B76A-4460-A243-A0C97C153438}"/>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2-B76A-4460-A243-A0C97C153438}"/>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3-B76A-4460-A243-A0C97C153438}"/>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4-B76A-4460-A243-A0C97C153438}"/>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5-B76A-4460-A243-A0C97C153438}"/>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6-B76A-4460-A243-A0C97C153438}"/>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7-B76A-4460-A243-A0C97C153438}"/>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8-B76A-4460-A243-A0C97C153438}"/>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9-B76A-4460-A243-A0C97C153438}"/>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A-B76A-4460-A243-A0C97C153438}"/>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B-B76A-4460-A243-A0C97C153438}"/>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C-B76A-4460-A243-A0C97C153438}"/>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D-B76A-4460-A243-A0C97C153438}"/>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E-B76A-4460-A243-A0C97C153438}"/>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F-B76A-4460-A243-A0C97C153438}"/>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0-B76A-4460-A243-A0C97C153438}"/>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1-B76A-4460-A243-A0C97C153438}"/>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2-B76A-4460-A243-A0C97C153438}"/>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3-B76A-4460-A243-A0C97C153438}"/>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4-B76A-4460-A243-A0C97C153438}"/>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5-B76A-4460-A243-A0C97C153438}"/>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6-B76A-4460-A243-A0C97C153438}"/>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7-B76A-4460-A243-A0C97C153438}"/>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8-B76A-4460-A243-A0C97C153438}"/>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9-B76A-4460-A243-A0C97C153438}"/>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A-B76A-4460-A243-A0C97C153438}"/>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B-B76A-4460-A243-A0C97C153438}"/>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C-B76A-4460-A243-A0C97C153438}"/>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D-B76A-4460-A243-A0C97C153438}"/>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E-B76A-4460-A243-A0C97C153438}"/>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F-B76A-4460-A243-A0C97C153438}"/>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0-B76A-4460-A243-A0C97C153438}"/>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1-B76A-4460-A243-A0C97C153438}"/>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2-B76A-4460-A243-A0C97C153438}"/>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3-B76A-4460-A243-A0C97C153438}"/>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4-B76A-4460-A243-A0C97C153438}"/>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5-B76A-4460-A243-A0C97C153438}"/>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6-B76A-4460-A243-A0C97C153438}"/>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7-B76A-4460-A243-A0C97C153438}"/>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8-B76A-4460-A243-A0C97C153438}"/>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9-B76A-4460-A243-A0C97C153438}"/>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A-B76A-4460-A243-A0C97C153438}"/>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B-B76A-4460-A243-A0C97C153438}"/>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C-B76A-4460-A243-A0C97C153438}"/>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D-B76A-4460-A243-A0C97C153438}"/>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E-B76A-4460-A243-A0C97C153438}"/>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F-B76A-4460-A243-A0C97C153438}"/>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0-B76A-4460-A243-A0C97C153438}"/>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1-B76A-4460-A243-A0C97C153438}"/>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2-B76A-4460-A243-A0C97C153438}"/>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3-B76A-4460-A243-A0C97C153438}"/>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4-B76A-4460-A243-A0C97C153438}"/>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5-B76A-4460-A243-A0C97C153438}"/>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6-B76A-4460-A243-A0C97C153438}"/>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7-B76A-4460-A243-A0C97C153438}"/>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8-B76A-4460-A243-A0C97C153438}"/>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9-B76A-4460-A243-A0C97C153438}"/>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A-B76A-4460-A243-A0C97C153438}"/>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B-B76A-4460-A243-A0C97C153438}"/>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C-B76A-4460-A243-A0C97C153438}"/>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D-B76A-4460-A243-A0C97C153438}"/>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E-B76A-4460-A243-A0C97C153438}"/>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F-B76A-4460-A243-A0C97C153438}"/>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0-B76A-4460-A243-A0C97C153438}"/>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1-B76A-4460-A243-A0C97C153438}"/>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2-B76A-4460-A243-A0C97C153438}"/>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3-B76A-4460-A243-A0C97C153438}"/>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4-B76A-4460-A243-A0C97C153438}"/>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5-B76A-4460-A243-A0C97C153438}"/>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6-B76A-4460-A243-A0C97C153438}"/>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7-B76A-4460-A243-A0C97C153438}"/>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8-B76A-4460-A243-A0C97C153438}"/>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9-B76A-4460-A243-A0C97C153438}"/>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A-B76A-4460-A243-A0C97C153438}"/>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B-B76A-4460-A243-A0C97C153438}"/>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C-B76A-4460-A243-A0C97C153438}"/>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D-B76A-4460-A243-A0C97C153438}"/>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E-B76A-4460-A243-A0C97C153438}"/>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F-B76A-4460-A243-A0C97C153438}"/>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0-B76A-4460-A243-A0C97C153438}"/>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1-B76A-4460-A243-A0C97C153438}"/>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2-B76A-4460-A243-A0C97C153438}"/>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3-B76A-4460-A243-A0C97C153438}"/>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4-B76A-4460-A243-A0C97C153438}"/>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5-B76A-4460-A243-A0C97C153438}"/>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6-B76A-4460-A243-A0C97C153438}"/>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7-B76A-4460-A243-A0C97C15343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B050"/>
                      </a:solidFill>
                    </a:ln>
                    <a:solidFill>
                      <a:srgbClr val="00B05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'Baseline 2 - Good, 16hr'!$B$3:$B$112</c:f>
              <c:numCache>
                <c:formatCode>m/d/yyyy</c:formatCode>
                <c:ptCount val="110"/>
                <c:pt idx="0">
                  <c:v>45971</c:v>
                </c:pt>
                <c:pt idx="1">
                  <c:v>45972</c:v>
                </c:pt>
                <c:pt idx="2">
                  <c:v>45973</c:v>
                </c:pt>
                <c:pt idx="3">
                  <c:v>45974</c:v>
                </c:pt>
                <c:pt idx="4">
                  <c:v>45975</c:v>
                </c:pt>
                <c:pt idx="5">
                  <c:v>45976</c:v>
                </c:pt>
                <c:pt idx="6">
                  <c:v>45977</c:v>
                </c:pt>
                <c:pt idx="7">
                  <c:v>45978</c:v>
                </c:pt>
                <c:pt idx="8">
                  <c:v>45979</c:v>
                </c:pt>
                <c:pt idx="9">
                  <c:v>45980</c:v>
                </c:pt>
                <c:pt idx="10">
                  <c:v>45981</c:v>
                </c:pt>
                <c:pt idx="11">
                  <c:v>45982</c:v>
                </c:pt>
                <c:pt idx="12">
                  <c:v>45983</c:v>
                </c:pt>
                <c:pt idx="13">
                  <c:v>45984</c:v>
                </c:pt>
                <c:pt idx="14">
                  <c:v>45985</c:v>
                </c:pt>
                <c:pt idx="15">
                  <c:v>45986</c:v>
                </c:pt>
                <c:pt idx="16">
                  <c:v>45987</c:v>
                </c:pt>
                <c:pt idx="17">
                  <c:v>45988</c:v>
                </c:pt>
                <c:pt idx="18">
                  <c:v>45989</c:v>
                </c:pt>
                <c:pt idx="19">
                  <c:v>45990</c:v>
                </c:pt>
                <c:pt idx="20">
                  <c:v>45991</c:v>
                </c:pt>
                <c:pt idx="21">
                  <c:v>45992</c:v>
                </c:pt>
                <c:pt idx="22">
                  <c:v>45993</c:v>
                </c:pt>
                <c:pt idx="23">
                  <c:v>45994</c:v>
                </c:pt>
                <c:pt idx="24">
                  <c:v>45995</c:v>
                </c:pt>
                <c:pt idx="25">
                  <c:v>45996</c:v>
                </c:pt>
                <c:pt idx="26">
                  <c:v>45997</c:v>
                </c:pt>
                <c:pt idx="27">
                  <c:v>45998</c:v>
                </c:pt>
                <c:pt idx="28">
                  <c:v>45999</c:v>
                </c:pt>
                <c:pt idx="29">
                  <c:v>46000</c:v>
                </c:pt>
                <c:pt idx="30">
                  <c:v>46001</c:v>
                </c:pt>
                <c:pt idx="31">
                  <c:v>46002</c:v>
                </c:pt>
                <c:pt idx="32">
                  <c:v>46003</c:v>
                </c:pt>
                <c:pt idx="33">
                  <c:v>46004</c:v>
                </c:pt>
                <c:pt idx="34">
                  <c:v>46005</c:v>
                </c:pt>
                <c:pt idx="35">
                  <c:v>46006</c:v>
                </c:pt>
                <c:pt idx="36">
                  <c:v>46007</c:v>
                </c:pt>
                <c:pt idx="37">
                  <c:v>46008</c:v>
                </c:pt>
                <c:pt idx="38">
                  <c:v>46009</c:v>
                </c:pt>
                <c:pt idx="39">
                  <c:v>46010</c:v>
                </c:pt>
                <c:pt idx="40">
                  <c:v>46011</c:v>
                </c:pt>
                <c:pt idx="41">
                  <c:v>46012</c:v>
                </c:pt>
                <c:pt idx="42">
                  <c:v>46013</c:v>
                </c:pt>
                <c:pt idx="43">
                  <c:v>46014</c:v>
                </c:pt>
                <c:pt idx="44">
                  <c:v>46015</c:v>
                </c:pt>
                <c:pt idx="45">
                  <c:v>46016</c:v>
                </c:pt>
                <c:pt idx="46">
                  <c:v>46017</c:v>
                </c:pt>
                <c:pt idx="47">
                  <c:v>46018</c:v>
                </c:pt>
                <c:pt idx="48">
                  <c:v>46019</c:v>
                </c:pt>
                <c:pt idx="49">
                  <c:v>46020</c:v>
                </c:pt>
                <c:pt idx="50">
                  <c:v>46021</c:v>
                </c:pt>
                <c:pt idx="51">
                  <c:v>46022</c:v>
                </c:pt>
                <c:pt idx="52">
                  <c:v>46023</c:v>
                </c:pt>
                <c:pt idx="53">
                  <c:v>46024</c:v>
                </c:pt>
                <c:pt idx="54">
                  <c:v>46025</c:v>
                </c:pt>
                <c:pt idx="55">
                  <c:v>46026</c:v>
                </c:pt>
                <c:pt idx="56">
                  <c:v>46027</c:v>
                </c:pt>
                <c:pt idx="57">
                  <c:v>46028</c:v>
                </c:pt>
                <c:pt idx="58">
                  <c:v>46029</c:v>
                </c:pt>
                <c:pt idx="59">
                  <c:v>46030</c:v>
                </c:pt>
                <c:pt idx="60">
                  <c:v>46031</c:v>
                </c:pt>
                <c:pt idx="61">
                  <c:v>46032</c:v>
                </c:pt>
                <c:pt idx="62">
                  <c:v>46033</c:v>
                </c:pt>
                <c:pt idx="63">
                  <c:v>46034</c:v>
                </c:pt>
                <c:pt idx="64">
                  <c:v>46035</c:v>
                </c:pt>
                <c:pt idx="65">
                  <c:v>46036</c:v>
                </c:pt>
                <c:pt idx="66">
                  <c:v>46037</c:v>
                </c:pt>
                <c:pt idx="67">
                  <c:v>46038</c:v>
                </c:pt>
                <c:pt idx="68">
                  <c:v>46039</c:v>
                </c:pt>
                <c:pt idx="69">
                  <c:v>46040</c:v>
                </c:pt>
                <c:pt idx="70">
                  <c:v>46041</c:v>
                </c:pt>
                <c:pt idx="71">
                  <c:v>46042</c:v>
                </c:pt>
                <c:pt idx="72">
                  <c:v>46043</c:v>
                </c:pt>
                <c:pt idx="73">
                  <c:v>46044</c:v>
                </c:pt>
                <c:pt idx="74">
                  <c:v>46045</c:v>
                </c:pt>
                <c:pt idx="75">
                  <c:v>46046</c:v>
                </c:pt>
                <c:pt idx="76">
                  <c:v>46047</c:v>
                </c:pt>
                <c:pt idx="77">
                  <c:v>46048</c:v>
                </c:pt>
                <c:pt idx="78">
                  <c:v>46049</c:v>
                </c:pt>
                <c:pt idx="79">
                  <c:v>46050</c:v>
                </c:pt>
                <c:pt idx="80">
                  <c:v>46051</c:v>
                </c:pt>
                <c:pt idx="81">
                  <c:v>46052</c:v>
                </c:pt>
                <c:pt idx="82">
                  <c:v>46053</c:v>
                </c:pt>
                <c:pt idx="83">
                  <c:v>46054</c:v>
                </c:pt>
                <c:pt idx="84">
                  <c:v>46055</c:v>
                </c:pt>
                <c:pt idx="85">
                  <c:v>46056</c:v>
                </c:pt>
                <c:pt idx="86">
                  <c:v>46057</c:v>
                </c:pt>
                <c:pt idx="87">
                  <c:v>46058</c:v>
                </c:pt>
                <c:pt idx="88">
                  <c:v>46059</c:v>
                </c:pt>
                <c:pt idx="89">
                  <c:v>46060</c:v>
                </c:pt>
                <c:pt idx="90">
                  <c:v>46061</c:v>
                </c:pt>
                <c:pt idx="91">
                  <c:v>46062</c:v>
                </c:pt>
                <c:pt idx="92">
                  <c:v>46063</c:v>
                </c:pt>
                <c:pt idx="93">
                  <c:v>46064</c:v>
                </c:pt>
                <c:pt idx="94">
                  <c:v>46065</c:v>
                </c:pt>
                <c:pt idx="95">
                  <c:v>46066</c:v>
                </c:pt>
                <c:pt idx="96">
                  <c:v>46067</c:v>
                </c:pt>
                <c:pt idx="97">
                  <c:v>46068</c:v>
                </c:pt>
                <c:pt idx="98">
                  <c:v>46069</c:v>
                </c:pt>
                <c:pt idx="99">
                  <c:v>46070</c:v>
                </c:pt>
                <c:pt idx="100">
                  <c:v>46071</c:v>
                </c:pt>
                <c:pt idx="101">
                  <c:v>46072</c:v>
                </c:pt>
                <c:pt idx="102">
                  <c:v>46073</c:v>
                </c:pt>
                <c:pt idx="103">
                  <c:v>46074</c:v>
                </c:pt>
                <c:pt idx="104">
                  <c:v>46075</c:v>
                </c:pt>
                <c:pt idx="105">
                  <c:v>46076</c:v>
                </c:pt>
                <c:pt idx="106">
                  <c:v>46077</c:v>
                </c:pt>
                <c:pt idx="107">
                  <c:v>46078</c:v>
                </c:pt>
                <c:pt idx="108">
                  <c:v>46079</c:v>
                </c:pt>
                <c:pt idx="109">
                  <c:v>46080</c:v>
                </c:pt>
              </c:numCache>
            </c:numRef>
          </c:xVal>
          <c:yVal>
            <c:numRef>
              <c:f>'Baseline 2 - Good, 16hr'!$AL$3:$AL$112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'Baseline 2 - Good, 16hr'!$Z$3:$Z$112</c15:f>
                <c15:dlblRangeCache>
                  <c:ptCount val="110"/>
                </c15:dlblRangeCache>
              </c15:datalabelsRange>
            </c:ext>
            <c:ext xmlns:c16="http://schemas.microsoft.com/office/drawing/2014/chart" uri="{C3380CC4-5D6E-409C-BE32-E72D297353CC}">
              <c16:uniqueId val="{000000E8-B76A-4460-A243-A0C97C153438}"/>
            </c:ext>
          </c:extLst>
        </c:ser>
        <c:ser>
          <c:idx val="11"/>
          <c:order val="11"/>
          <c:tx>
            <c:strRef>
              <c:f>'Baseline 2 - Good, 16hr'!$AM$1</c:f>
              <c:strCache>
                <c:ptCount val="1"/>
                <c:pt idx="0">
                  <c:v>Ice Core Boxes Still Needed OUT</c:v>
                </c:pt>
              </c:strCache>
            </c:strRef>
          </c:tx>
          <c:spPr>
            <a:ln w="19050" cap="rnd">
              <a:solidFill>
                <a:schemeClr val="accent6">
                  <a:lumMod val="60000"/>
                </a:schemeClr>
              </a:solidFill>
              <a:round/>
            </a:ln>
            <a:effectLst/>
          </c:spPr>
          <c:marker>
            <c:symbol val="x"/>
            <c:size val="10"/>
            <c:spPr>
              <a:noFill/>
              <a:ln w="31750">
                <a:solidFill>
                  <a:srgbClr val="00B050"/>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8-B76A-4460-A243-A0C97C153438}"/>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9-B76A-4460-A243-A0C97C153438}"/>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A-B76A-4460-A243-A0C97C153438}"/>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B-B76A-4460-A243-A0C97C153438}"/>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C-B76A-4460-A243-A0C97C153438}"/>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D-B76A-4460-A243-A0C97C153438}"/>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E-B76A-4460-A243-A0C97C153438}"/>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F-B76A-4460-A243-A0C97C153438}"/>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0-B76A-4460-A243-A0C97C153438}"/>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1-B76A-4460-A243-A0C97C153438}"/>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2-B76A-4460-A243-A0C97C153438}"/>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3-B76A-4460-A243-A0C97C153438}"/>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4-B76A-4460-A243-A0C97C153438}"/>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5-B76A-4460-A243-A0C97C153438}"/>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6-B76A-4460-A243-A0C97C153438}"/>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7-B76A-4460-A243-A0C97C153438}"/>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8-B76A-4460-A243-A0C97C153438}"/>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9-B76A-4460-A243-A0C97C153438}"/>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A-B76A-4460-A243-A0C97C153438}"/>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B-B76A-4460-A243-A0C97C153438}"/>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C-B76A-4460-A243-A0C97C153438}"/>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D-B76A-4460-A243-A0C97C153438}"/>
                </c:ext>
              </c:extLst>
            </c:dLbl>
            <c:dLbl>
              <c:idx val="22"/>
              <c:tx>
                <c:rich>
                  <a:bodyPr/>
                  <a:lstStyle/>
                  <a:p>
                    <a:fld id="{6E381266-06FB-4F33-AF4A-93E2376CC1C8}"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E-B76A-4460-A243-A0C97C153438}"/>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F-B76A-4460-A243-A0C97C153438}"/>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0-B76A-4460-A243-A0C97C153438}"/>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1-B76A-4460-A243-A0C97C153438}"/>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2-B76A-4460-A243-A0C97C153438}"/>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3-B76A-4460-A243-A0C97C153438}"/>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4-B76A-4460-A243-A0C97C153438}"/>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5-B76A-4460-A243-A0C97C153438}"/>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6-B76A-4460-A243-A0C97C153438}"/>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7-B76A-4460-A243-A0C97C153438}"/>
                </c:ext>
              </c:extLst>
            </c:dLbl>
            <c:dLbl>
              <c:idx val="32"/>
              <c:tx>
                <c:rich>
                  <a:bodyPr/>
                  <a:lstStyle/>
                  <a:p>
                    <a:fld id="{5109851D-1CBE-47EA-8C5D-A68A0BB56129}"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8-B76A-4460-A243-A0C97C153438}"/>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9-B76A-4460-A243-A0C97C153438}"/>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A-B76A-4460-A243-A0C97C153438}"/>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B-B76A-4460-A243-A0C97C153438}"/>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C-B76A-4460-A243-A0C97C153438}"/>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D-B76A-4460-A243-A0C97C153438}"/>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E-B76A-4460-A243-A0C97C153438}"/>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F-B76A-4460-A243-A0C97C153438}"/>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0-B76A-4460-A243-A0C97C153438}"/>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1-B76A-4460-A243-A0C97C153438}"/>
                </c:ext>
              </c:extLst>
            </c:dLbl>
            <c:dLbl>
              <c:idx val="42"/>
              <c:tx>
                <c:rich>
                  <a:bodyPr/>
                  <a:lstStyle/>
                  <a:p>
                    <a:fld id="{E3EA4F90-3993-413C-84CC-7DB7D521B6C3}"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2-B76A-4460-A243-A0C97C153438}"/>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3-B76A-4460-A243-A0C97C153438}"/>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4-B76A-4460-A243-A0C97C153438}"/>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5-B76A-4460-A243-A0C97C153438}"/>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6-B76A-4460-A243-A0C97C153438}"/>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7-B76A-4460-A243-A0C97C153438}"/>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8-B76A-4460-A243-A0C97C153438}"/>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9-B76A-4460-A243-A0C97C153438}"/>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A-B76A-4460-A243-A0C97C153438}"/>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B-B76A-4460-A243-A0C97C153438}"/>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C-B76A-4460-A243-A0C97C153438}"/>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D-B76A-4460-A243-A0C97C153438}"/>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E-B76A-4460-A243-A0C97C153438}"/>
                </c:ext>
              </c:extLst>
            </c:dLbl>
            <c:dLbl>
              <c:idx val="55"/>
              <c:tx>
                <c:rich>
                  <a:bodyPr/>
                  <a:lstStyle/>
                  <a:p>
                    <a:fld id="{0030AAE6-F0FD-444F-877E-681CD3AC334C}"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F-B76A-4460-A243-A0C97C153438}"/>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0-B76A-4460-A243-A0C97C153438}"/>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1-B76A-4460-A243-A0C97C153438}"/>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2-B76A-4460-A243-A0C97C153438}"/>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3-B76A-4460-A243-A0C97C153438}"/>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4-B76A-4460-A243-A0C97C153438}"/>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5-B76A-4460-A243-A0C97C153438}"/>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6-B76A-4460-A243-A0C97C153438}"/>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7-B76A-4460-A243-A0C97C153438}"/>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8-B76A-4460-A243-A0C97C153438}"/>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9-B76A-4460-A243-A0C97C153438}"/>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A-B76A-4460-A243-A0C97C153438}"/>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B-B76A-4460-A243-A0C97C153438}"/>
                </c:ext>
              </c:extLst>
            </c:dLbl>
            <c:dLbl>
              <c:idx val="68"/>
              <c:tx>
                <c:rich>
                  <a:bodyPr/>
                  <a:lstStyle/>
                  <a:p>
                    <a:fld id="{90528763-5B64-4DCE-9D3D-9AF4C67E7215}"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9C-B76A-4460-A243-A0C97C153438}"/>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D-B76A-4460-A243-A0C97C153438}"/>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E-B76A-4460-A243-A0C97C153438}"/>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F-B76A-4460-A243-A0C97C153438}"/>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0-B76A-4460-A243-A0C97C153438}"/>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1-B76A-4460-A243-A0C97C153438}"/>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2-B76A-4460-A243-A0C97C153438}"/>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3-B76A-4460-A243-A0C97C153438}"/>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4-B76A-4460-A243-A0C97C153438}"/>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5-B76A-4460-A243-A0C97C153438}"/>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6-B76A-4460-A243-A0C97C153438}"/>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7-B76A-4460-A243-A0C97C153438}"/>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8-B76A-4460-A243-A0C97C153438}"/>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9-B76A-4460-A243-A0C97C153438}"/>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A-B76A-4460-A243-A0C97C153438}"/>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B-B76A-4460-A243-A0C97C153438}"/>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C-B76A-4460-A243-A0C97C153438}"/>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D-B76A-4460-A243-A0C97C153438}"/>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E-B76A-4460-A243-A0C97C153438}"/>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F-B76A-4460-A243-A0C97C153438}"/>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0-B76A-4460-A243-A0C97C153438}"/>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1-B76A-4460-A243-A0C97C153438}"/>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2-B76A-4460-A243-A0C97C153438}"/>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3-B76A-4460-A243-A0C97C153438}"/>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4-B76A-4460-A243-A0C97C153438}"/>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5-B76A-4460-A243-A0C97C153438}"/>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6-B76A-4460-A243-A0C97C153438}"/>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7-B76A-4460-A243-A0C97C153438}"/>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8-B76A-4460-A243-A0C97C153438}"/>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9-B76A-4460-A243-A0C97C153438}"/>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A-B76A-4460-A243-A0C97C153438}"/>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B-B76A-4460-A243-A0C97C153438}"/>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C-B76A-4460-A243-A0C97C153438}"/>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D-B76A-4460-A243-A0C97C153438}"/>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E-B76A-4460-A243-A0C97C153438}"/>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F-B76A-4460-A243-A0C97C153438}"/>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0-B76A-4460-A243-A0C97C153438}"/>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1-B76A-4460-A243-A0C97C153438}"/>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2-B76A-4460-A243-A0C97C153438}"/>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3-B76A-4460-A243-A0C97C153438}"/>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4-B76A-4460-A243-A0C97C153438}"/>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5-B76A-4460-A243-A0C97C15343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B050"/>
                      </a:solidFill>
                    </a:ln>
                    <a:solidFill>
                      <a:srgbClr val="00B05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'Baseline 2 - Good, 16hr'!$B$3:$B$112</c:f>
              <c:numCache>
                <c:formatCode>m/d/yyyy</c:formatCode>
                <c:ptCount val="110"/>
                <c:pt idx="0">
                  <c:v>45971</c:v>
                </c:pt>
                <c:pt idx="1">
                  <c:v>45972</c:v>
                </c:pt>
                <c:pt idx="2">
                  <c:v>45973</c:v>
                </c:pt>
                <c:pt idx="3">
                  <c:v>45974</c:v>
                </c:pt>
                <c:pt idx="4">
                  <c:v>45975</c:v>
                </c:pt>
                <c:pt idx="5">
                  <c:v>45976</c:v>
                </c:pt>
                <c:pt idx="6">
                  <c:v>45977</c:v>
                </c:pt>
                <c:pt idx="7">
                  <c:v>45978</c:v>
                </c:pt>
                <c:pt idx="8">
                  <c:v>45979</c:v>
                </c:pt>
                <c:pt idx="9">
                  <c:v>45980</c:v>
                </c:pt>
                <c:pt idx="10">
                  <c:v>45981</c:v>
                </c:pt>
                <c:pt idx="11">
                  <c:v>45982</c:v>
                </c:pt>
                <c:pt idx="12">
                  <c:v>45983</c:v>
                </c:pt>
                <c:pt idx="13">
                  <c:v>45984</c:v>
                </c:pt>
                <c:pt idx="14">
                  <c:v>45985</c:v>
                </c:pt>
                <c:pt idx="15">
                  <c:v>45986</c:v>
                </c:pt>
                <c:pt idx="16">
                  <c:v>45987</c:v>
                </c:pt>
                <c:pt idx="17">
                  <c:v>45988</c:v>
                </c:pt>
                <c:pt idx="18">
                  <c:v>45989</c:v>
                </c:pt>
                <c:pt idx="19">
                  <c:v>45990</c:v>
                </c:pt>
                <c:pt idx="20">
                  <c:v>45991</c:v>
                </c:pt>
                <c:pt idx="21">
                  <c:v>45992</c:v>
                </c:pt>
                <c:pt idx="22">
                  <c:v>45993</c:v>
                </c:pt>
                <c:pt idx="23">
                  <c:v>45994</c:v>
                </c:pt>
                <c:pt idx="24">
                  <c:v>45995</c:v>
                </c:pt>
                <c:pt idx="25">
                  <c:v>45996</c:v>
                </c:pt>
                <c:pt idx="26">
                  <c:v>45997</c:v>
                </c:pt>
                <c:pt idx="27">
                  <c:v>45998</c:v>
                </c:pt>
                <c:pt idx="28">
                  <c:v>45999</c:v>
                </c:pt>
                <c:pt idx="29">
                  <c:v>46000</c:v>
                </c:pt>
                <c:pt idx="30">
                  <c:v>46001</c:v>
                </c:pt>
                <c:pt idx="31">
                  <c:v>46002</c:v>
                </c:pt>
                <c:pt idx="32">
                  <c:v>46003</c:v>
                </c:pt>
                <c:pt idx="33">
                  <c:v>46004</c:v>
                </c:pt>
                <c:pt idx="34">
                  <c:v>46005</c:v>
                </c:pt>
                <c:pt idx="35">
                  <c:v>46006</c:v>
                </c:pt>
                <c:pt idx="36">
                  <c:v>46007</c:v>
                </c:pt>
                <c:pt idx="37">
                  <c:v>46008</c:v>
                </c:pt>
                <c:pt idx="38">
                  <c:v>46009</c:v>
                </c:pt>
                <c:pt idx="39">
                  <c:v>46010</c:v>
                </c:pt>
                <c:pt idx="40">
                  <c:v>46011</c:v>
                </c:pt>
                <c:pt idx="41">
                  <c:v>46012</c:v>
                </c:pt>
                <c:pt idx="42">
                  <c:v>46013</c:v>
                </c:pt>
                <c:pt idx="43">
                  <c:v>46014</c:v>
                </c:pt>
                <c:pt idx="44">
                  <c:v>46015</c:v>
                </c:pt>
                <c:pt idx="45">
                  <c:v>46016</c:v>
                </c:pt>
                <c:pt idx="46">
                  <c:v>46017</c:v>
                </c:pt>
                <c:pt idx="47">
                  <c:v>46018</c:v>
                </c:pt>
                <c:pt idx="48">
                  <c:v>46019</c:v>
                </c:pt>
                <c:pt idx="49">
                  <c:v>46020</c:v>
                </c:pt>
                <c:pt idx="50">
                  <c:v>46021</c:v>
                </c:pt>
                <c:pt idx="51">
                  <c:v>46022</c:v>
                </c:pt>
                <c:pt idx="52">
                  <c:v>46023</c:v>
                </c:pt>
                <c:pt idx="53">
                  <c:v>46024</c:v>
                </c:pt>
                <c:pt idx="54">
                  <c:v>46025</c:v>
                </c:pt>
                <c:pt idx="55">
                  <c:v>46026</c:v>
                </c:pt>
                <c:pt idx="56">
                  <c:v>46027</c:v>
                </c:pt>
                <c:pt idx="57">
                  <c:v>46028</c:v>
                </c:pt>
                <c:pt idx="58">
                  <c:v>46029</c:v>
                </c:pt>
                <c:pt idx="59">
                  <c:v>46030</c:v>
                </c:pt>
                <c:pt idx="60">
                  <c:v>46031</c:v>
                </c:pt>
                <c:pt idx="61">
                  <c:v>46032</c:v>
                </c:pt>
                <c:pt idx="62">
                  <c:v>46033</c:v>
                </c:pt>
                <c:pt idx="63">
                  <c:v>46034</c:v>
                </c:pt>
                <c:pt idx="64">
                  <c:v>46035</c:v>
                </c:pt>
                <c:pt idx="65">
                  <c:v>46036</c:v>
                </c:pt>
                <c:pt idx="66">
                  <c:v>46037</c:v>
                </c:pt>
                <c:pt idx="67">
                  <c:v>46038</c:v>
                </c:pt>
                <c:pt idx="68">
                  <c:v>46039</c:v>
                </c:pt>
                <c:pt idx="69">
                  <c:v>46040</c:v>
                </c:pt>
                <c:pt idx="70">
                  <c:v>46041</c:v>
                </c:pt>
                <c:pt idx="71">
                  <c:v>46042</c:v>
                </c:pt>
                <c:pt idx="72">
                  <c:v>46043</c:v>
                </c:pt>
                <c:pt idx="73">
                  <c:v>46044</c:v>
                </c:pt>
                <c:pt idx="74">
                  <c:v>46045</c:v>
                </c:pt>
                <c:pt idx="75">
                  <c:v>46046</c:v>
                </c:pt>
                <c:pt idx="76">
                  <c:v>46047</c:v>
                </c:pt>
                <c:pt idx="77">
                  <c:v>46048</c:v>
                </c:pt>
                <c:pt idx="78">
                  <c:v>46049</c:v>
                </c:pt>
                <c:pt idx="79">
                  <c:v>46050</c:v>
                </c:pt>
                <c:pt idx="80">
                  <c:v>46051</c:v>
                </c:pt>
                <c:pt idx="81">
                  <c:v>46052</c:v>
                </c:pt>
                <c:pt idx="82">
                  <c:v>46053</c:v>
                </c:pt>
                <c:pt idx="83">
                  <c:v>46054</c:v>
                </c:pt>
                <c:pt idx="84">
                  <c:v>46055</c:v>
                </c:pt>
                <c:pt idx="85">
                  <c:v>46056</c:v>
                </c:pt>
                <c:pt idx="86">
                  <c:v>46057</c:v>
                </c:pt>
                <c:pt idx="87">
                  <c:v>46058</c:v>
                </c:pt>
                <c:pt idx="88">
                  <c:v>46059</c:v>
                </c:pt>
                <c:pt idx="89">
                  <c:v>46060</c:v>
                </c:pt>
                <c:pt idx="90">
                  <c:v>46061</c:v>
                </c:pt>
                <c:pt idx="91">
                  <c:v>46062</c:v>
                </c:pt>
                <c:pt idx="92">
                  <c:v>46063</c:v>
                </c:pt>
                <c:pt idx="93">
                  <c:v>46064</c:v>
                </c:pt>
                <c:pt idx="94">
                  <c:v>46065</c:v>
                </c:pt>
                <c:pt idx="95">
                  <c:v>46066</c:v>
                </c:pt>
                <c:pt idx="96">
                  <c:v>46067</c:v>
                </c:pt>
                <c:pt idx="97">
                  <c:v>46068</c:v>
                </c:pt>
                <c:pt idx="98">
                  <c:v>46069</c:v>
                </c:pt>
                <c:pt idx="99">
                  <c:v>46070</c:v>
                </c:pt>
                <c:pt idx="100">
                  <c:v>46071</c:v>
                </c:pt>
                <c:pt idx="101">
                  <c:v>46072</c:v>
                </c:pt>
                <c:pt idx="102">
                  <c:v>46073</c:v>
                </c:pt>
                <c:pt idx="103">
                  <c:v>46074</c:v>
                </c:pt>
                <c:pt idx="104">
                  <c:v>46075</c:v>
                </c:pt>
                <c:pt idx="105">
                  <c:v>46076</c:v>
                </c:pt>
                <c:pt idx="106">
                  <c:v>46077</c:v>
                </c:pt>
                <c:pt idx="107">
                  <c:v>46078</c:v>
                </c:pt>
                <c:pt idx="108">
                  <c:v>46079</c:v>
                </c:pt>
                <c:pt idx="109">
                  <c:v>46080</c:v>
                </c:pt>
              </c:numCache>
            </c:numRef>
          </c:xVal>
          <c:yVal>
            <c:numRef>
              <c:f>'Baseline 2 - Good, 16hr'!$AM$3:$AM$112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-105</c:v>
                </c:pt>
                <c:pt idx="23">
                  <c:v>#N/A</c:v>
                </c:pt>
                <c:pt idx="24">
                  <c:v>#N/A</c:v>
                </c:pt>
                <c:pt idx="25">
                  <c:v>#N/A</c:v>
                </c:pt>
                <c:pt idx="26">
                  <c:v>#N/A</c:v>
                </c:pt>
                <c:pt idx="27">
                  <c:v>#N/A</c:v>
                </c:pt>
                <c:pt idx="28">
                  <c:v>#N/A</c:v>
                </c:pt>
                <c:pt idx="29">
                  <c:v>#N/A</c:v>
                </c:pt>
                <c:pt idx="30">
                  <c:v>#N/A</c:v>
                </c:pt>
                <c:pt idx="31">
                  <c:v>#N/A</c:v>
                </c:pt>
                <c:pt idx="32">
                  <c:v>-105</c:v>
                </c:pt>
                <c:pt idx="33">
                  <c:v>#N/A</c:v>
                </c:pt>
                <c:pt idx="34">
                  <c:v>#N/A</c:v>
                </c:pt>
                <c:pt idx="35">
                  <c:v>#N/A</c:v>
                </c:pt>
                <c:pt idx="36">
                  <c:v>#N/A</c:v>
                </c:pt>
                <c:pt idx="37">
                  <c:v>#N/A</c:v>
                </c:pt>
                <c:pt idx="38">
                  <c:v>#N/A</c:v>
                </c:pt>
                <c:pt idx="39">
                  <c:v>#N/A</c:v>
                </c:pt>
                <c:pt idx="40">
                  <c:v>#N/A</c:v>
                </c:pt>
                <c:pt idx="41">
                  <c:v>#N/A</c:v>
                </c:pt>
                <c:pt idx="42">
                  <c:v>-105</c:v>
                </c:pt>
                <c:pt idx="43">
                  <c:v>#N/A</c:v>
                </c:pt>
                <c:pt idx="44">
                  <c:v>#N/A</c:v>
                </c:pt>
                <c:pt idx="45">
                  <c:v>#N/A</c:v>
                </c:pt>
                <c:pt idx="46">
                  <c:v>#N/A</c:v>
                </c:pt>
                <c:pt idx="47">
                  <c:v>#N/A</c:v>
                </c:pt>
                <c:pt idx="48">
                  <c:v>#N/A</c:v>
                </c:pt>
                <c:pt idx="49">
                  <c:v>#N/A</c:v>
                </c:pt>
                <c:pt idx="50">
                  <c:v>#N/A</c:v>
                </c:pt>
                <c:pt idx="51">
                  <c:v>#N/A</c:v>
                </c:pt>
                <c:pt idx="52">
                  <c:v>#N/A</c:v>
                </c:pt>
                <c:pt idx="53">
                  <c:v>#N/A</c:v>
                </c:pt>
                <c:pt idx="54">
                  <c:v>#N/A</c:v>
                </c:pt>
                <c:pt idx="55">
                  <c:v>-105</c:v>
                </c:pt>
                <c:pt idx="56">
                  <c:v>#N/A</c:v>
                </c:pt>
                <c:pt idx="57">
                  <c:v>#N/A</c:v>
                </c:pt>
                <c:pt idx="58">
                  <c:v>#N/A</c:v>
                </c:pt>
                <c:pt idx="59">
                  <c:v>#N/A</c:v>
                </c:pt>
                <c:pt idx="60">
                  <c:v>#N/A</c:v>
                </c:pt>
                <c:pt idx="61">
                  <c:v>#N/A</c:v>
                </c:pt>
                <c:pt idx="62">
                  <c:v>#N/A</c:v>
                </c:pt>
                <c:pt idx="63">
                  <c:v>#N/A</c:v>
                </c:pt>
                <c:pt idx="64">
                  <c:v>#N/A</c:v>
                </c:pt>
                <c:pt idx="65">
                  <c:v>#N/A</c:v>
                </c:pt>
                <c:pt idx="66">
                  <c:v>#N/A</c:v>
                </c:pt>
                <c:pt idx="67">
                  <c:v>#N/A</c:v>
                </c:pt>
                <c:pt idx="68">
                  <c:v>-105</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'Baseline 2 - Good, 16hr'!$AA$3:$AA$112</c15:f>
                <c15:dlblRangeCache>
                  <c:ptCount val="11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20</c:v>
                  </c:pt>
                  <c:pt idx="23">
                    <c:v>0</c:v>
                  </c:pt>
                  <c:pt idx="24">
                    <c:v>0</c:v>
                  </c:pt>
                  <c:pt idx="25">
                    <c:v>0</c:v>
                  </c:pt>
                  <c:pt idx="26">
                    <c:v>0</c:v>
                  </c:pt>
                  <c:pt idx="27">
                    <c:v>0</c:v>
                  </c:pt>
                  <c:pt idx="28">
                    <c:v>0</c:v>
                  </c:pt>
                  <c:pt idx="29">
                    <c:v>0</c:v>
                  </c:pt>
                  <c:pt idx="30">
                    <c:v>0</c:v>
                  </c:pt>
                  <c:pt idx="31">
                    <c:v>0</c:v>
                  </c:pt>
                  <c:pt idx="32">
                    <c:v>20</c:v>
                  </c:pt>
                  <c:pt idx="33">
                    <c:v>0</c:v>
                  </c:pt>
                  <c:pt idx="34">
                    <c:v>0</c:v>
                  </c:pt>
                  <c:pt idx="35">
                    <c:v>0</c:v>
                  </c:pt>
                  <c:pt idx="36">
                    <c:v>0</c:v>
                  </c:pt>
                  <c:pt idx="37">
                    <c:v>0</c:v>
                  </c:pt>
                  <c:pt idx="38">
                    <c:v>0</c:v>
                  </c:pt>
                  <c:pt idx="39">
                    <c:v>0</c:v>
                  </c:pt>
                  <c:pt idx="40">
                    <c:v>0</c:v>
                  </c:pt>
                  <c:pt idx="41">
                    <c:v>0</c:v>
                  </c:pt>
                  <c:pt idx="42">
                    <c:v>20</c:v>
                  </c:pt>
                  <c:pt idx="43">
                    <c:v>0</c:v>
                  </c:pt>
                  <c:pt idx="44">
                    <c:v>0</c:v>
                  </c:pt>
                  <c:pt idx="45">
                    <c:v>0</c:v>
                  </c:pt>
                  <c:pt idx="46">
                    <c:v>0</c:v>
                  </c:pt>
                  <c:pt idx="47">
                    <c:v>0</c:v>
                  </c:pt>
                  <c:pt idx="48">
                    <c:v>0</c:v>
                  </c:pt>
                  <c:pt idx="49">
                    <c:v>0</c:v>
                  </c:pt>
                  <c:pt idx="50">
                    <c:v>0</c:v>
                  </c:pt>
                  <c:pt idx="51">
                    <c:v>0</c:v>
                  </c:pt>
                  <c:pt idx="52">
                    <c:v>0</c:v>
                  </c:pt>
                  <c:pt idx="53">
                    <c:v>0</c:v>
                  </c:pt>
                  <c:pt idx="54">
                    <c:v>0</c:v>
                  </c:pt>
                  <c:pt idx="55">
                    <c:v>20</c:v>
                  </c:pt>
                  <c:pt idx="56">
                    <c:v>0</c:v>
                  </c:pt>
                  <c:pt idx="57">
                    <c:v>0</c:v>
                  </c:pt>
                  <c:pt idx="58">
                    <c:v>0</c:v>
                  </c:pt>
                  <c:pt idx="59">
                    <c:v>0</c:v>
                  </c:pt>
                  <c:pt idx="60">
                    <c:v>0</c:v>
                  </c:pt>
                  <c:pt idx="61">
                    <c:v>0</c:v>
                  </c:pt>
                  <c:pt idx="62">
                    <c:v>0</c:v>
                  </c:pt>
                  <c:pt idx="63">
                    <c:v>0</c:v>
                  </c:pt>
                  <c:pt idx="64">
                    <c:v>0</c:v>
                  </c:pt>
                  <c:pt idx="65">
                    <c:v>0</c:v>
                  </c:pt>
                  <c:pt idx="66">
                    <c:v>0</c:v>
                  </c:pt>
                  <c:pt idx="67">
                    <c:v>0</c:v>
                  </c:pt>
                  <c:pt idx="68">
                    <c:v>20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15:dlblRangeCache>
              </c15:datalabelsRange>
            </c:ext>
            <c:ext xmlns:c16="http://schemas.microsoft.com/office/drawing/2014/chart" uri="{C3380CC4-5D6E-409C-BE32-E72D297353CC}">
              <c16:uniqueId val="{000000E9-B76A-4460-A243-A0C97C153438}"/>
            </c:ext>
          </c:extLst>
        </c:ser>
        <c:dLbls>
          <c:showLegendKey val="0"/>
          <c:showVal val="0"/>
          <c:showCatName val="0"/>
          <c:showSerName val="0"/>
          <c:showPercent val="0"/>
          <c:showBubbleSize val="0"/>
        </c:dLbls>
        <c:axId val="311442800"/>
        <c:axId val="311442320"/>
      </c:scatterChart>
      <c:valAx>
        <c:axId val="311442800"/>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442320"/>
        <c:crosses val="autoZero"/>
        <c:crossBetween val="midCat"/>
      </c:valAx>
      <c:valAx>
        <c:axId val="3114423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44280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Drilling Progress &amp; Required</a:t>
            </a:r>
            <a:r>
              <a:rPr lang="en-GB" b="1" baseline="0"/>
              <a:t> Inputs</a:t>
            </a:r>
            <a:endParaRPr lang="en-GB" b="1"/>
          </a:p>
        </c:rich>
      </c:tx>
      <c:layout>
        <c:manualLayout>
          <c:xMode val="edge"/>
          <c:yMode val="edge"/>
          <c:x val="0.32371889389769276"/>
          <c:y val="0.89906318088500958"/>
        </c:manualLayout>
      </c:layout>
      <c:overlay val="1"/>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scatterChart>
        <c:scatterStyle val="lineMarker"/>
        <c:varyColors val="0"/>
        <c:ser>
          <c:idx val="0"/>
          <c:order val="0"/>
          <c:tx>
            <c:strRef>
              <c:f>'04-07-25-Scen3-Good,24-16hr'!$AL$1</c:f>
              <c:strCache>
                <c:ptCount val="1"/>
                <c:pt idx="0">
                  <c:v>End of Day Drill Depth</c:v>
                </c:pt>
              </c:strCache>
            </c:strRef>
          </c:tx>
          <c:spPr>
            <a:ln w="19050" cap="rnd">
              <a:solidFill>
                <a:srgbClr val="00B050"/>
              </a:solidFill>
              <a:round/>
            </a:ln>
            <a:effectLst/>
          </c:spPr>
          <c:marker>
            <c:symbol val="none"/>
          </c:marker>
          <c:xVal>
            <c:numRef>
              <c:f>'04-07-25-Scen3-Good,24-16hr'!$A$3:$A$112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'04-07-25-Scen3-Good,24-16hr'!$AL$3:$AL$112</c:f>
              <c:numCache>
                <c:formatCode>0.00</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-70</c:v>
                </c:pt>
                <c:pt idx="14">
                  <c:v>-79.833321918590045</c:v>
                </c:pt>
                <c:pt idx="15">
                  <c:v>-89.510213628273647</c:v>
                </c:pt>
                <c:pt idx="16">
                  <c:v>-99.037911344051594</c:v>
                </c:pt>
                <c:pt idx="17">
                  <c:v>-126.79040696937267</c:v>
                </c:pt>
                <c:pt idx="18">
                  <c:v>-126.79040696937267</c:v>
                </c:pt>
                <c:pt idx="19">
                  <c:v>-153.41443656587367</c:v>
                </c:pt>
                <c:pt idx="20">
                  <c:v>-179.03739374715821</c:v>
                </c:pt>
                <c:pt idx="21">
                  <c:v>-203.76436685764563</c:v>
                </c:pt>
                <c:pt idx="22">
                  <c:v>-227.6832514206119</c:v>
                </c:pt>
                <c:pt idx="23">
                  <c:v>-250.8684479303349</c:v>
                </c:pt>
                <c:pt idx="24">
                  <c:v>-273.38359589594342</c:v>
                </c:pt>
                <c:pt idx="25">
                  <c:v>-273.38359589594342</c:v>
                </c:pt>
                <c:pt idx="26">
                  <c:v>-295.28363443552161</c:v>
                </c:pt>
                <c:pt idx="27">
                  <c:v>-316.6163817101509</c:v>
                </c:pt>
                <c:pt idx="28">
                  <c:v>-337.42376378429032</c:v>
                </c:pt>
                <c:pt idx="29">
                  <c:v>-357.74278357270839</c:v>
                </c:pt>
                <c:pt idx="30">
                  <c:v>-377.60629406387062</c:v>
                </c:pt>
                <c:pt idx="31">
                  <c:v>-397.04362207560342</c:v>
                </c:pt>
                <c:pt idx="32">
                  <c:v>-397.04362207560354</c:v>
                </c:pt>
                <c:pt idx="33">
                  <c:v>-416.08107640916666</c:v>
                </c:pt>
                <c:pt idx="34">
                  <c:v>-434.74236555649435</c:v>
                </c:pt>
                <c:pt idx="35">
                  <c:v>-453.04894389158022</c:v>
                </c:pt>
                <c:pt idx="36">
                  <c:v>-471.02030076512392</c:v>
                </c:pt>
                <c:pt idx="37">
                  <c:v>-488.67420360675374</c:v>
                </c:pt>
                <c:pt idx="38">
                  <c:v>-506.02690367370093</c:v>
                </c:pt>
                <c:pt idx="39">
                  <c:v>-506.02690367370093</c:v>
                </c:pt>
                <c:pt idx="40">
                  <c:v>-523.09331123018524</c:v>
                </c:pt>
                <c:pt idx="41">
                  <c:v>-539.8871455319337</c:v>
                </c:pt>
                <c:pt idx="42">
                  <c:v>-556.42106390803474</c:v>
                </c:pt>
                <c:pt idx="43">
                  <c:v>-556.42106390803474</c:v>
                </c:pt>
                <c:pt idx="44">
                  <c:v>-572.70677339402732</c:v>
                </c:pt>
                <c:pt idx="45">
                  <c:v>-588.75512771525223</c:v>
                </c:pt>
                <c:pt idx="46">
                  <c:v>-599.32717621184452</c:v>
                </c:pt>
                <c:pt idx="47">
                  <c:v>-609.8010439157448</c:v>
                </c:pt>
                <c:pt idx="48">
                  <c:v>-620.17941642361586</c:v>
                </c:pt>
                <c:pt idx="49">
                  <c:v>-620.17941642361586</c:v>
                </c:pt>
                <c:pt idx="50">
                  <c:v>-630.46485908550176</c:v>
                </c:pt>
                <c:pt idx="51">
                  <c:v>-640.65982441009044</c:v>
                </c:pt>
                <c:pt idx="52">
                  <c:v>-650.76665889374931</c:v>
                </c:pt>
                <c:pt idx="53">
                  <c:v>-650.76665889374931</c:v>
                </c:pt>
                <c:pt idx="54">
                  <c:v>-660.78760932720718</c:v>
                </c:pt>
                <c:pt idx="55">
                  <c:v>-670.72482862789957</c:v>
                </c:pt>
                <c:pt idx="56">
                  <c:v>-680.58038124086852</c:v>
                </c:pt>
                <c:pt idx="57">
                  <c:v>-690.35624814659275</c:v>
                </c:pt>
                <c:pt idx="58">
                  <c:v>-700.05433151015961</c:v>
                </c:pt>
                <c:pt idx="59">
                  <c:v>-709.67645900268076</c:v>
                </c:pt>
                <c:pt idx="60">
                  <c:v>-709.67645900268076</c:v>
                </c:pt>
                <c:pt idx="61">
                  <c:v>-719.22438782276038</c:v>
                </c:pt>
                <c:pt idx="62">
                  <c:v>-728.69980844307224</c:v>
                </c:pt>
                <c:pt idx="63">
                  <c:v>-728.69980844307224</c:v>
                </c:pt>
                <c:pt idx="64">
                  <c:v>-728.69980844307224</c:v>
                </c:pt>
                <c:pt idx="65">
                  <c:v>-728.69980844307224</c:v>
                </c:pt>
                <c:pt idx="66">
                  <c:v>-728.69980844307224</c:v>
                </c:pt>
                <c:pt idx="67">
                  <c:v>-728.69980844307224</c:v>
                </c:pt>
                <c:pt idx="68">
                  <c:v>-728.69980844307224</c:v>
                </c:pt>
                <c:pt idx="69">
                  <c:v>-728.69980844307224</c:v>
                </c:pt>
                <c:pt idx="70">
                  <c:v>-728.69980844307224</c:v>
                </c:pt>
                <c:pt idx="71">
                  <c:v>-728.69980844307224</c:v>
                </c:pt>
                <c:pt idx="72">
                  <c:v>-728.69980844307224</c:v>
                </c:pt>
                <c:pt idx="73">
                  <c:v>-728.69980844307224</c:v>
                </c:pt>
                <c:pt idx="74">
                  <c:v>-728.69980844307224</c:v>
                </c:pt>
                <c:pt idx="75">
                  <c:v>-728.69980844307224</c:v>
                </c:pt>
                <c:pt idx="76">
                  <c:v>-728.69980844307224</c:v>
                </c:pt>
                <c:pt idx="77">
                  <c:v>-728.69980844307224</c:v>
                </c:pt>
                <c:pt idx="78">
                  <c:v>-728.69980844307224</c:v>
                </c:pt>
                <c:pt idx="79">
                  <c:v>-728.69980844307224</c:v>
                </c:pt>
                <c:pt idx="80">
                  <c:v>-728.69980844307224</c:v>
                </c:pt>
                <c:pt idx="81">
                  <c:v>-728.69980844307224</c:v>
                </c:pt>
                <c:pt idx="82">
                  <c:v>-728.69980844307224</c:v>
                </c:pt>
                <c:pt idx="83">
                  <c:v>-728.69980844307224</c:v>
                </c:pt>
                <c:pt idx="84">
                  <c:v>-728.69980844307224</c:v>
                </c:pt>
                <c:pt idx="85">
                  <c:v>-728.69980844307224</c:v>
                </c:pt>
                <c:pt idx="86">
                  <c:v>-728.69980844307224</c:v>
                </c:pt>
                <c:pt idx="87">
                  <c:v>-728.69980844307224</c:v>
                </c:pt>
                <c:pt idx="88">
                  <c:v>-728.69980844307224</c:v>
                </c:pt>
                <c:pt idx="89">
                  <c:v>-728.69980844307224</c:v>
                </c:pt>
                <c:pt idx="90">
                  <c:v>-728.69980844307224</c:v>
                </c:pt>
                <c:pt idx="91">
                  <c:v>-728.69980844307224</c:v>
                </c:pt>
                <c:pt idx="92">
                  <c:v>-728.69980844307224</c:v>
                </c:pt>
                <c:pt idx="93">
                  <c:v>-728.69980844307224</c:v>
                </c:pt>
                <c:pt idx="94">
                  <c:v>-728.69980844307224</c:v>
                </c:pt>
                <c:pt idx="95">
                  <c:v>-728.69980844307224</c:v>
                </c:pt>
                <c:pt idx="96">
                  <c:v>-728.69980844307224</c:v>
                </c:pt>
                <c:pt idx="97">
                  <c:v>-728.69980844307224</c:v>
                </c:pt>
                <c:pt idx="98">
                  <c:v>-728.69980844307224</c:v>
                </c:pt>
                <c:pt idx="99">
                  <c:v>-728.69980844307224</c:v>
                </c:pt>
                <c:pt idx="100">
                  <c:v>-728.69980844307224</c:v>
                </c:pt>
                <c:pt idx="101">
                  <c:v>-728.69980844307224</c:v>
                </c:pt>
                <c:pt idx="102">
                  <c:v>-728.69980844307224</c:v>
                </c:pt>
                <c:pt idx="103">
                  <c:v>-728.69980844307224</c:v>
                </c:pt>
                <c:pt idx="104">
                  <c:v>-728.69980844307224</c:v>
                </c:pt>
                <c:pt idx="105">
                  <c:v>-728.69980844307224</c:v>
                </c:pt>
                <c:pt idx="106">
                  <c:v>-728.69980844307224</c:v>
                </c:pt>
                <c:pt idx="107">
                  <c:v>-728.69980844307224</c:v>
                </c:pt>
                <c:pt idx="108">
                  <c:v>-728.69980844307224</c:v>
                </c:pt>
                <c:pt idx="109">
                  <c:v>-728.69980844307224</c:v>
                </c:pt>
              </c:numCache>
            </c:numRef>
          </c:yVal>
          <c:smooth val="0"/>
          <c:extLst>
            <c:ext xmlns:c16="http://schemas.microsoft.com/office/drawing/2014/chart" uri="{C3380CC4-5D6E-409C-BE32-E72D297353CC}">
              <c16:uniqueId val="{00000000-2279-477A-ACF6-F5E796CEBEA6}"/>
            </c:ext>
          </c:extLst>
        </c:ser>
        <c:ser>
          <c:idx val="6"/>
          <c:order val="1"/>
          <c:tx>
            <c:strRef>
              <c:f>'04-07-25-Scen3-Good,24-16hr'!$AM$1</c:f>
              <c:strCache>
                <c:ptCount val="1"/>
                <c:pt idx="0">
                  <c:v>End of Day Bailing Depth</c:v>
                </c:pt>
              </c:strCache>
            </c:strRef>
          </c:tx>
          <c:spPr>
            <a:ln w="19050" cap="rnd">
              <a:solidFill>
                <a:schemeClr val="tx2">
                  <a:lumMod val="50000"/>
                  <a:lumOff val="50000"/>
                </a:schemeClr>
              </a:solidFill>
              <a:round/>
            </a:ln>
            <a:effectLst/>
          </c:spPr>
          <c:marker>
            <c:symbol val="none"/>
          </c:marker>
          <c:xVal>
            <c:numRef>
              <c:f>'04-07-25-Scen3-Good,24-16hr'!$A$3:$A$112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'04-07-25-Scen3-Good,24-16hr'!$AM$3:$AM$112</c:f>
              <c:numCache>
                <c:formatCode>0.00</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-80</c:v>
                </c:pt>
                <c:pt idx="63">
                  <c:v>-259.40331160292249</c:v>
                </c:pt>
                <c:pt idx="64">
                  <c:v>-400.47129457899786</c:v>
                </c:pt>
                <c:pt idx="65">
                  <c:v>-510.1938307186208</c:v>
                </c:pt>
                <c:pt idx="66">
                  <c:v>-603.20853687666511</c:v>
                </c:pt>
                <c:pt idx="67">
                  <c:v>-685.40606744913521</c:v>
                </c:pt>
                <c:pt idx="68">
                  <c:v>-723.46681615545504</c:v>
                </c:pt>
                <c:pt idx="69">
                  <c:v>-723.46681615545504</c:v>
                </c:pt>
                <c:pt idx="70">
                  <c:v>-723.46681615545504</c:v>
                </c:pt>
                <c:pt idx="71">
                  <c:v>-723.46681615545504</c:v>
                </c:pt>
                <c:pt idx="72">
                  <c:v>-723.46681615545504</c:v>
                </c:pt>
                <c:pt idx="73">
                  <c:v>-723.46681615545504</c:v>
                </c:pt>
                <c:pt idx="74">
                  <c:v>-723.46681615545504</c:v>
                </c:pt>
                <c:pt idx="75">
                  <c:v>-723.46681615545504</c:v>
                </c:pt>
                <c:pt idx="76">
                  <c:v>-723.46681615545504</c:v>
                </c:pt>
                <c:pt idx="77">
                  <c:v>-723.46681615545504</c:v>
                </c:pt>
                <c:pt idx="78">
                  <c:v>-723.46681615545504</c:v>
                </c:pt>
                <c:pt idx="79">
                  <c:v>-723.46681615545504</c:v>
                </c:pt>
                <c:pt idx="80">
                  <c:v>-723.46681615545504</c:v>
                </c:pt>
                <c:pt idx="81">
                  <c:v>-723.46681615545504</c:v>
                </c:pt>
                <c:pt idx="82">
                  <c:v>-723.46681615545504</c:v>
                </c:pt>
                <c:pt idx="83">
                  <c:v>-723.46681615545504</c:v>
                </c:pt>
                <c:pt idx="84">
                  <c:v>-723.46681615545504</c:v>
                </c:pt>
                <c:pt idx="85">
                  <c:v>-723.46681615545504</c:v>
                </c:pt>
                <c:pt idx="86">
                  <c:v>-723.46681615545504</c:v>
                </c:pt>
                <c:pt idx="87">
                  <c:v>-723.46681615545504</c:v>
                </c:pt>
                <c:pt idx="88">
                  <c:v>-723.46681615545504</c:v>
                </c:pt>
                <c:pt idx="89">
                  <c:v>-723.46681615545504</c:v>
                </c:pt>
                <c:pt idx="90">
                  <c:v>-723.46681615545504</c:v>
                </c:pt>
                <c:pt idx="91">
                  <c:v>-723.46681615545504</c:v>
                </c:pt>
                <c:pt idx="92">
                  <c:v>-723.46681615545504</c:v>
                </c:pt>
                <c:pt idx="93">
                  <c:v>-723.46681615545504</c:v>
                </c:pt>
                <c:pt idx="94">
                  <c:v>-723.46681615545504</c:v>
                </c:pt>
                <c:pt idx="95">
                  <c:v>-723.46681615545504</c:v>
                </c:pt>
                <c:pt idx="96">
                  <c:v>-723.46681615545504</c:v>
                </c:pt>
                <c:pt idx="97">
                  <c:v>-723.46681615545504</c:v>
                </c:pt>
                <c:pt idx="98">
                  <c:v>-723.46681615545504</c:v>
                </c:pt>
                <c:pt idx="99">
                  <c:v>-723.46681615545504</c:v>
                </c:pt>
                <c:pt idx="100">
                  <c:v>-723.46681615545504</c:v>
                </c:pt>
                <c:pt idx="101">
                  <c:v>-723.46681615545504</c:v>
                </c:pt>
                <c:pt idx="102">
                  <c:v>-723.46681615545504</c:v>
                </c:pt>
                <c:pt idx="103">
                  <c:v>-723.46681615545504</c:v>
                </c:pt>
                <c:pt idx="104">
                  <c:v>-723.46681615545504</c:v>
                </c:pt>
                <c:pt idx="105">
                  <c:v>-723.46681615545504</c:v>
                </c:pt>
                <c:pt idx="106">
                  <c:v>-723.46681615545504</c:v>
                </c:pt>
                <c:pt idx="107">
                  <c:v>-723.46681615545504</c:v>
                </c:pt>
                <c:pt idx="108">
                  <c:v>-723.46681615545504</c:v>
                </c:pt>
                <c:pt idx="109">
                  <c:v>-723.46681615545504</c:v>
                </c:pt>
              </c:numCache>
            </c:numRef>
          </c:yVal>
          <c:smooth val="0"/>
          <c:extLst>
            <c:ext xmlns:c16="http://schemas.microsoft.com/office/drawing/2014/chart" uri="{C3380CC4-5D6E-409C-BE32-E72D297353CC}">
              <c16:uniqueId val="{00000001-2279-477A-ACF6-F5E796CEBEA6}"/>
            </c:ext>
          </c:extLst>
        </c:ser>
        <c:ser>
          <c:idx val="1"/>
          <c:order val="2"/>
          <c:tx>
            <c:strRef>
              <c:f>'04-07-25-Scen3-Good,24-16hr'!$AN$1</c:f>
              <c:strCache>
                <c:ptCount val="1"/>
                <c:pt idx="0">
                  <c:v>Bedrock</c:v>
                </c:pt>
              </c:strCache>
            </c:strRef>
          </c:tx>
          <c:spPr>
            <a:ln w="19050" cap="rnd">
              <a:solidFill>
                <a:schemeClr val="tx1"/>
              </a:solidFill>
              <a:round/>
            </a:ln>
            <a:effectLst/>
          </c:spPr>
          <c:marker>
            <c:symbol val="none"/>
          </c:marker>
          <c:dPt>
            <c:idx val="60"/>
            <c:marker>
              <c:symbol val="none"/>
            </c:marker>
            <c:bubble3D val="0"/>
            <c:extLst>
              <c:ext xmlns:c16="http://schemas.microsoft.com/office/drawing/2014/chart" uri="{C3380CC4-5D6E-409C-BE32-E72D297353CC}">
                <c16:uniqueId val="{00000002-2279-477A-ACF6-F5E796CEBEA6}"/>
              </c:ext>
            </c:extLst>
          </c:dPt>
          <c:xVal>
            <c:numRef>
              <c:f>'04-07-25-Scen3-Good,24-16hr'!$A$3:$A$112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'04-07-25-Scen3-Good,24-16hr'!$AN$3:$AN$112</c:f>
              <c:numCache>
                <c:formatCode>General</c:formatCode>
                <c:ptCount val="110"/>
                <c:pt idx="0">
                  <c:v>-720</c:v>
                </c:pt>
                <c:pt idx="1">
                  <c:v>-720</c:v>
                </c:pt>
                <c:pt idx="2">
                  <c:v>-720</c:v>
                </c:pt>
                <c:pt idx="3">
                  <c:v>-720</c:v>
                </c:pt>
                <c:pt idx="4">
                  <c:v>-720</c:v>
                </c:pt>
                <c:pt idx="5">
                  <c:v>-720</c:v>
                </c:pt>
                <c:pt idx="6">
                  <c:v>-720</c:v>
                </c:pt>
                <c:pt idx="7">
                  <c:v>-720</c:v>
                </c:pt>
                <c:pt idx="8">
                  <c:v>-720</c:v>
                </c:pt>
                <c:pt idx="9">
                  <c:v>-720</c:v>
                </c:pt>
                <c:pt idx="10">
                  <c:v>-720</c:v>
                </c:pt>
                <c:pt idx="11">
                  <c:v>-720</c:v>
                </c:pt>
                <c:pt idx="12">
                  <c:v>-720</c:v>
                </c:pt>
                <c:pt idx="13">
                  <c:v>-720</c:v>
                </c:pt>
                <c:pt idx="14">
                  <c:v>-720</c:v>
                </c:pt>
                <c:pt idx="15">
                  <c:v>-720</c:v>
                </c:pt>
                <c:pt idx="16">
                  <c:v>-720</c:v>
                </c:pt>
                <c:pt idx="17">
                  <c:v>-720</c:v>
                </c:pt>
                <c:pt idx="18">
                  <c:v>-720</c:v>
                </c:pt>
                <c:pt idx="19">
                  <c:v>-720</c:v>
                </c:pt>
                <c:pt idx="20">
                  <c:v>-720</c:v>
                </c:pt>
                <c:pt idx="21">
                  <c:v>-720</c:v>
                </c:pt>
                <c:pt idx="22">
                  <c:v>-720</c:v>
                </c:pt>
                <c:pt idx="23">
                  <c:v>-720</c:v>
                </c:pt>
                <c:pt idx="24">
                  <c:v>-720</c:v>
                </c:pt>
                <c:pt idx="25">
                  <c:v>-720</c:v>
                </c:pt>
                <c:pt idx="26">
                  <c:v>-720</c:v>
                </c:pt>
                <c:pt idx="27">
                  <c:v>-720</c:v>
                </c:pt>
                <c:pt idx="28">
                  <c:v>-720</c:v>
                </c:pt>
                <c:pt idx="29">
                  <c:v>-720</c:v>
                </c:pt>
                <c:pt idx="30">
                  <c:v>-720</c:v>
                </c:pt>
                <c:pt idx="31">
                  <c:v>-720</c:v>
                </c:pt>
                <c:pt idx="32">
                  <c:v>-720</c:v>
                </c:pt>
                <c:pt idx="33">
                  <c:v>-720</c:v>
                </c:pt>
                <c:pt idx="34">
                  <c:v>-720</c:v>
                </c:pt>
                <c:pt idx="35">
                  <c:v>-720</c:v>
                </c:pt>
                <c:pt idx="36">
                  <c:v>-720</c:v>
                </c:pt>
                <c:pt idx="37">
                  <c:v>-720</c:v>
                </c:pt>
                <c:pt idx="38">
                  <c:v>-720</c:v>
                </c:pt>
                <c:pt idx="39">
                  <c:v>-720</c:v>
                </c:pt>
                <c:pt idx="40">
                  <c:v>-720</c:v>
                </c:pt>
                <c:pt idx="41">
                  <c:v>-720</c:v>
                </c:pt>
                <c:pt idx="42">
                  <c:v>-720</c:v>
                </c:pt>
                <c:pt idx="43">
                  <c:v>-720</c:v>
                </c:pt>
                <c:pt idx="44">
                  <c:v>-720</c:v>
                </c:pt>
                <c:pt idx="45">
                  <c:v>-720</c:v>
                </c:pt>
                <c:pt idx="46">
                  <c:v>-720</c:v>
                </c:pt>
                <c:pt idx="47">
                  <c:v>-720</c:v>
                </c:pt>
                <c:pt idx="48">
                  <c:v>-720</c:v>
                </c:pt>
                <c:pt idx="49">
                  <c:v>-720</c:v>
                </c:pt>
                <c:pt idx="50">
                  <c:v>-720</c:v>
                </c:pt>
                <c:pt idx="51">
                  <c:v>-720</c:v>
                </c:pt>
                <c:pt idx="52">
                  <c:v>-720</c:v>
                </c:pt>
                <c:pt idx="53">
                  <c:v>-720</c:v>
                </c:pt>
                <c:pt idx="54">
                  <c:v>-720</c:v>
                </c:pt>
                <c:pt idx="55">
                  <c:v>-720</c:v>
                </c:pt>
                <c:pt idx="56">
                  <c:v>-720</c:v>
                </c:pt>
                <c:pt idx="57">
                  <c:v>-720</c:v>
                </c:pt>
                <c:pt idx="58">
                  <c:v>-720</c:v>
                </c:pt>
                <c:pt idx="59">
                  <c:v>-720</c:v>
                </c:pt>
                <c:pt idx="60">
                  <c:v>-720</c:v>
                </c:pt>
                <c:pt idx="61">
                  <c:v>-720</c:v>
                </c:pt>
                <c:pt idx="62">
                  <c:v>-720</c:v>
                </c:pt>
                <c:pt idx="63">
                  <c:v>-720</c:v>
                </c:pt>
                <c:pt idx="64">
                  <c:v>-720</c:v>
                </c:pt>
                <c:pt idx="65">
                  <c:v>-720</c:v>
                </c:pt>
                <c:pt idx="66">
                  <c:v>-720</c:v>
                </c:pt>
                <c:pt idx="67">
                  <c:v>-720</c:v>
                </c:pt>
                <c:pt idx="68">
                  <c:v>-720</c:v>
                </c:pt>
                <c:pt idx="69">
                  <c:v>-720</c:v>
                </c:pt>
                <c:pt idx="70">
                  <c:v>-720</c:v>
                </c:pt>
                <c:pt idx="71">
                  <c:v>-720</c:v>
                </c:pt>
                <c:pt idx="72">
                  <c:v>-720</c:v>
                </c:pt>
                <c:pt idx="73">
                  <c:v>-720</c:v>
                </c:pt>
                <c:pt idx="74">
                  <c:v>-720</c:v>
                </c:pt>
                <c:pt idx="75">
                  <c:v>-720</c:v>
                </c:pt>
                <c:pt idx="76">
                  <c:v>-720</c:v>
                </c:pt>
                <c:pt idx="77">
                  <c:v>-720</c:v>
                </c:pt>
                <c:pt idx="78">
                  <c:v>-720</c:v>
                </c:pt>
                <c:pt idx="79">
                  <c:v>-720</c:v>
                </c:pt>
                <c:pt idx="80">
                  <c:v>-720</c:v>
                </c:pt>
                <c:pt idx="81">
                  <c:v>-720</c:v>
                </c:pt>
                <c:pt idx="82">
                  <c:v>-720</c:v>
                </c:pt>
                <c:pt idx="83">
                  <c:v>-720</c:v>
                </c:pt>
                <c:pt idx="84">
                  <c:v>-720</c:v>
                </c:pt>
                <c:pt idx="85">
                  <c:v>-720</c:v>
                </c:pt>
                <c:pt idx="86">
                  <c:v>-720</c:v>
                </c:pt>
                <c:pt idx="87">
                  <c:v>-720</c:v>
                </c:pt>
                <c:pt idx="88">
                  <c:v>-720</c:v>
                </c:pt>
                <c:pt idx="89">
                  <c:v>-720</c:v>
                </c:pt>
                <c:pt idx="90">
                  <c:v>-720</c:v>
                </c:pt>
                <c:pt idx="91">
                  <c:v>-720</c:v>
                </c:pt>
                <c:pt idx="92">
                  <c:v>-720</c:v>
                </c:pt>
                <c:pt idx="93">
                  <c:v>-720</c:v>
                </c:pt>
                <c:pt idx="94">
                  <c:v>-720</c:v>
                </c:pt>
                <c:pt idx="95">
                  <c:v>-720</c:v>
                </c:pt>
                <c:pt idx="96">
                  <c:v>-720</c:v>
                </c:pt>
                <c:pt idx="97">
                  <c:v>-720</c:v>
                </c:pt>
                <c:pt idx="98">
                  <c:v>-720</c:v>
                </c:pt>
                <c:pt idx="99">
                  <c:v>-720</c:v>
                </c:pt>
                <c:pt idx="100">
                  <c:v>-720</c:v>
                </c:pt>
                <c:pt idx="101">
                  <c:v>-720</c:v>
                </c:pt>
                <c:pt idx="102">
                  <c:v>-720</c:v>
                </c:pt>
                <c:pt idx="103">
                  <c:v>-720</c:v>
                </c:pt>
                <c:pt idx="104">
                  <c:v>-720</c:v>
                </c:pt>
                <c:pt idx="105">
                  <c:v>-720</c:v>
                </c:pt>
                <c:pt idx="106">
                  <c:v>-720</c:v>
                </c:pt>
                <c:pt idx="107">
                  <c:v>-720</c:v>
                </c:pt>
                <c:pt idx="108">
                  <c:v>-720</c:v>
                </c:pt>
                <c:pt idx="109">
                  <c:v>-720</c:v>
                </c:pt>
              </c:numCache>
            </c:numRef>
          </c:yVal>
          <c:smooth val="0"/>
          <c:extLst>
            <c:ext xmlns:c16="http://schemas.microsoft.com/office/drawing/2014/chart" uri="{C3380CC4-5D6E-409C-BE32-E72D297353CC}">
              <c16:uniqueId val="{00000003-2279-477A-ACF6-F5E796CEBEA6}"/>
            </c:ext>
          </c:extLst>
        </c:ser>
        <c:ser>
          <c:idx val="2"/>
          <c:order val="3"/>
          <c:tx>
            <c:strRef>
              <c:f>'04-07-25-Scen3-Good,24-16hr'!$AO$1</c:f>
              <c:strCache>
                <c:ptCount val="1"/>
                <c:pt idx="0">
                  <c:v>10,000YBP Min</c:v>
                </c:pt>
              </c:strCache>
            </c:strRef>
          </c:tx>
          <c:spPr>
            <a:ln w="19050" cap="rnd">
              <a:solidFill>
                <a:srgbClr val="FFC000"/>
              </a:solidFill>
              <a:prstDash val="sysDot"/>
              <a:round/>
            </a:ln>
            <a:effectLst/>
          </c:spPr>
          <c:marker>
            <c:symbol val="none"/>
          </c:marker>
          <c:xVal>
            <c:numRef>
              <c:f>'04-07-25-Scen3-Good,24-16hr'!$A$3:$A$112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'04-07-25-Scen3-Good,24-16hr'!$AO$3:$AO$112</c:f>
              <c:numCache>
                <c:formatCode>General</c:formatCode>
                <c:ptCount val="110"/>
                <c:pt idx="0">
                  <c:v>-624</c:v>
                </c:pt>
                <c:pt idx="1">
                  <c:v>-624</c:v>
                </c:pt>
                <c:pt idx="2">
                  <c:v>-624</c:v>
                </c:pt>
                <c:pt idx="3">
                  <c:v>-624</c:v>
                </c:pt>
                <c:pt idx="4">
                  <c:v>-624</c:v>
                </c:pt>
                <c:pt idx="5">
                  <c:v>-624</c:v>
                </c:pt>
                <c:pt idx="6">
                  <c:v>-624</c:v>
                </c:pt>
                <c:pt idx="7">
                  <c:v>-624</c:v>
                </c:pt>
                <c:pt idx="8">
                  <c:v>-624</c:v>
                </c:pt>
                <c:pt idx="9">
                  <c:v>-624</c:v>
                </c:pt>
                <c:pt idx="10">
                  <c:v>-624</c:v>
                </c:pt>
                <c:pt idx="11">
                  <c:v>-624</c:v>
                </c:pt>
                <c:pt idx="12">
                  <c:v>-624</c:v>
                </c:pt>
                <c:pt idx="13">
                  <c:v>-624</c:v>
                </c:pt>
                <c:pt idx="14">
                  <c:v>-624</c:v>
                </c:pt>
                <c:pt idx="15">
                  <c:v>-624</c:v>
                </c:pt>
                <c:pt idx="16">
                  <c:v>-624</c:v>
                </c:pt>
                <c:pt idx="17">
                  <c:v>-624</c:v>
                </c:pt>
                <c:pt idx="18">
                  <c:v>-624</c:v>
                </c:pt>
                <c:pt idx="19">
                  <c:v>-624</c:v>
                </c:pt>
                <c:pt idx="20">
                  <c:v>-624</c:v>
                </c:pt>
                <c:pt idx="21">
                  <c:v>-624</c:v>
                </c:pt>
                <c:pt idx="22">
                  <c:v>-624</c:v>
                </c:pt>
                <c:pt idx="23">
                  <c:v>-624</c:v>
                </c:pt>
                <c:pt idx="24">
                  <c:v>-624</c:v>
                </c:pt>
                <c:pt idx="25">
                  <c:v>-624</c:v>
                </c:pt>
                <c:pt idx="26">
                  <c:v>-624</c:v>
                </c:pt>
                <c:pt idx="27">
                  <c:v>-624</c:v>
                </c:pt>
                <c:pt idx="28">
                  <c:v>-624</c:v>
                </c:pt>
                <c:pt idx="29">
                  <c:v>-624</c:v>
                </c:pt>
                <c:pt idx="30">
                  <c:v>-624</c:v>
                </c:pt>
                <c:pt idx="31">
                  <c:v>-624</c:v>
                </c:pt>
                <c:pt idx="32">
                  <c:v>-624</c:v>
                </c:pt>
                <c:pt idx="33">
                  <c:v>-624</c:v>
                </c:pt>
                <c:pt idx="34">
                  <c:v>-624</c:v>
                </c:pt>
                <c:pt idx="35">
                  <c:v>-624</c:v>
                </c:pt>
                <c:pt idx="36">
                  <c:v>-624</c:v>
                </c:pt>
                <c:pt idx="37">
                  <c:v>-624</c:v>
                </c:pt>
                <c:pt idx="38">
                  <c:v>-624</c:v>
                </c:pt>
                <c:pt idx="39">
                  <c:v>-624</c:v>
                </c:pt>
                <c:pt idx="40">
                  <c:v>-624</c:v>
                </c:pt>
                <c:pt idx="41">
                  <c:v>-624</c:v>
                </c:pt>
                <c:pt idx="42">
                  <c:v>-624</c:v>
                </c:pt>
                <c:pt idx="43">
                  <c:v>-624</c:v>
                </c:pt>
                <c:pt idx="44">
                  <c:v>-624</c:v>
                </c:pt>
                <c:pt idx="45">
                  <c:v>-624</c:v>
                </c:pt>
                <c:pt idx="46">
                  <c:v>-624</c:v>
                </c:pt>
                <c:pt idx="47">
                  <c:v>-624</c:v>
                </c:pt>
                <c:pt idx="48">
                  <c:v>-624</c:v>
                </c:pt>
                <c:pt idx="49">
                  <c:v>-624</c:v>
                </c:pt>
                <c:pt idx="50">
                  <c:v>-624</c:v>
                </c:pt>
                <c:pt idx="51">
                  <c:v>-624</c:v>
                </c:pt>
                <c:pt idx="52">
                  <c:v>-624</c:v>
                </c:pt>
                <c:pt idx="53">
                  <c:v>-624</c:v>
                </c:pt>
                <c:pt idx="54">
                  <c:v>-624</c:v>
                </c:pt>
                <c:pt idx="55">
                  <c:v>-624</c:v>
                </c:pt>
                <c:pt idx="56">
                  <c:v>-624</c:v>
                </c:pt>
                <c:pt idx="57">
                  <c:v>-624</c:v>
                </c:pt>
                <c:pt idx="58">
                  <c:v>-624</c:v>
                </c:pt>
                <c:pt idx="59">
                  <c:v>-624</c:v>
                </c:pt>
                <c:pt idx="60">
                  <c:v>-624</c:v>
                </c:pt>
                <c:pt idx="61">
                  <c:v>-624</c:v>
                </c:pt>
                <c:pt idx="62">
                  <c:v>-624</c:v>
                </c:pt>
                <c:pt idx="63">
                  <c:v>-624</c:v>
                </c:pt>
                <c:pt idx="64">
                  <c:v>-624</c:v>
                </c:pt>
                <c:pt idx="65">
                  <c:v>-624</c:v>
                </c:pt>
                <c:pt idx="66">
                  <c:v>-624</c:v>
                </c:pt>
                <c:pt idx="67">
                  <c:v>-624</c:v>
                </c:pt>
                <c:pt idx="68">
                  <c:v>-624</c:v>
                </c:pt>
                <c:pt idx="69">
                  <c:v>-624</c:v>
                </c:pt>
                <c:pt idx="70">
                  <c:v>-624</c:v>
                </c:pt>
                <c:pt idx="71">
                  <c:v>-624</c:v>
                </c:pt>
                <c:pt idx="72">
                  <c:v>-624</c:v>
                </c:pt>
                <c:pt idx="73">
                  <c:v>-624</c:v>
                </c:pt>
                <c:pt idx="74">
                  <c:v>-624</c:v>
                </c:pt>
                <c:pt idx="75">
                  <c:v>-624</c:v>
                </c:pt>
                <c:pt idx="76">
                  <c:v>-624</c:v>
                </c:pt>
                <c:pt idx="77">
                  <c:v>-624</c:v>
                </c:pt>
                <c:pt idx="78">
                  <c:v>-624</c:v>
                </c:pt>
                <c:pt idx="79">
                  <c:v>-624</c:v>
                </c:pt>
                <c:pt idx="80">
                  <c:v>-624</c:v>
                </c:pt>
                <c:pt idx="81">
                  <c:v>-624</c:v>
                </c:pt>
                <c:pt idx="82">
                  <c:v>-624</c:v>
                </c:pt>
                <c:pt idx="83">
                  <c:v>-624</c:v>
                </c:pt>
                <c:pt idx="84">
                  <c:v>-624</c:v>
                </c:pt>
                <c:pt idx="85">
                  <c:v>-624</c:v>
                </c:pt>
                <c:pt idx="86">
                  <c:v>-624</c:v>
                </c:pt>
                <c:pt idx="87">
                  <c:v>-624</c:v>
                </c:pt>
                <c:pt idx="88">
                  <c:v>-624</c:v>
                </c:pt>
                <c:pt idx="89">
                  <c:v>-624</c:v>
                </c:pt>
                <c:pt idx="90">
                  <c:v>-624</c:v>
                </c:pt>
                <c:pt idx="91">
                  <c:v>-624</c:v>
                </c:pt>
                <c:pt idx="92">
                  <c:v>-624</c:v>
                </c:pt>
                <c:pt idx="93">
                  <c:v>-624</c:v>
                </c:pt>
                <c:pt idx="94">
                  <c:v>-624</c:v>
                </c:pt>
                <c:pt idx="95">
                  <c:v>-624</c:v>
                </c:pt>
                <c:pt idx="96">
                  <c:v>-624</c:v>
                </c:pt>
                <c:pt idx="97">
                  <c:v>-624</c:v>
                </c:pt>
                <c:pt idx="98">
                  <c:v>-624</c:v>
                </c:pt>
                <c:pt idx="99">
                  <c:v>-624</c:v>
                </c:pt>
                <c:pt idx="100">
                  <c:v>-624</c:v>
                </c:pt>
                <c:pt idx="101">
                  <c:v>-624</c:v>
                </c:pt>
                <c:pt idx="102">
                  <c:v>-624</c:v>
                </c:pt>
                <c:pt idx="103">
                  <c:v>-624</c:v>
                </c:pt>
                <c:pt idx="104">
                  <c:v>-624</c:v>
                </c:pt>
                <c:pt idx="105">
                  <c:v>-624</c:v>
                </c:pt>
                <c:pt idx="106">
                  <c:v>-624</c:v>
                </c:pt>
                <c:pt idx="107">
                  <c:v>-624</c:v>
                </c:pt>
                <c:pt idx="108">
                  <c:v>-624</c:v>
                </c:pt>
                <c:pt idx="109">
                  <c:v>-624</c:v>
                </c:pt>
              </c:numCache>
            </c:numRef>
          </c:yVal>
          <c:smooth val="0"/>
          <c:extLst>
            <c:ext xmlns:c16="http://schemas.microsoft.com/office/drawing/2014/chart" uri="{C3380CC4-5D6E-409C-BE32-E72D297353CC}">
              <c16:uniqueId val="{00000004-2279-477A-ACF6-F5E796CEBEA6}"/>
            </c:ext>
          </c:extLst>
        </c:ser>
        <c:ser>
          <c:idx val="3"/>
          <c:order val="4"/>
          <c:tx>
            <c:strRef>
              <c:f>'04-07-25-Scen3-Good,24-16hr'!$AP$1</c:f>
              <c:strCache>
                <c:ptCount val="1"/>
                <c:pt idx="0">
                  <c:v>10,000YBP Max</c:v>
                </c:pt>
              </c:strCache>
            </c:strRef>
          </c:tx>
          <c:spPr>
            <a:ln w="19050" cap="rnd">
              <a:solidFill>
                <a:srgbClr val="FF0000"/>
              </a:solidFill>
              <a:prstDash val="sysDot"/>
              <a:round/>
            </a:ln>
            <a:effectLst/>
          </c:spPr>
          <c:marker>
            <c:symbol val="none"/>
          </c:marker>
          <c:xVal>
            <c:numRef>
              <c:f>'04-07-25-Scen3-Good,24-16hr'!$A$3:$A$112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'04-07-25-Scen3-Good,24-16hr'!$AP$3:$AP$112</c:f>
              <c:numCache>
                <c:formatCode>General</c:formatCode>
                <c:ptCount val="110"/>
                <c:pt idx="0">
                  <c:v>-688</c:v>
                </c:pt>
                <c:pt idx="1">
                  <c:v>-688</c:v>
                </c:pt>
                <c:pt idx="2">
                  <c:v>-688</c:v>
                </c:pt>
                <c:pt idx="3">
                  <c:v>-688</c:v>
                </c:pt>
                <c:pt idx="4">
                  <c:v>-688</c:v>
                </c:pt>
                <c:pt idx="5">
                  <c:v>-688</c:v>
                </c:pt>
                <c:pt idx="6">
                  <c:v>-688</c:v>
                </c:pt>
                <c:pt idx="7">
                  <c:v>-688</c:v>
                </c:pt>
                <c:pt idx="8">
                  <c:v>-688</c:v>
                </c:pt>
                <c:pt idx="9">
                  <c:v>-688</c:v>
                </c:pt>
                <c:pt idx="10">
                  <c:v>-688</c:v>
                </c:pt>
                <c:pt idx="11">
                  <c:v>-688</c:v>
                </c:pt>
                <c:pt idx="12">
                  <c:v>-688</c:v>
                </c:pt>
                <c:pt idx="13">
                  <c:v>-688</c:v>
                </c:pt>
                <c:pt idx="14">
                  <c:v>-688</c:v>
                </c:pt>
                <c:pt idx="15">
                  <c:v>-688</c:v>
                </c:pt>
                <c:pt idx="16">
                  <c:v>-688</c:v>
                </c:pt>
                <c:pt idx="17">
                  <c:v>-688</c:v>
                </c:pt>
                <c:pt idx="18">
                  <c:v>-688</c:v>
                </c:pt>
                <c:pt idx="19">
                  <c:v>-688</c:v>
                </c:pt>
                <c:pt idx="20">
                  <c:v>-688</c:v>
                </c:pt>
                <c:pt idx="21">
                  <c:v>-688</c:v>
                </c:pt>
                <c:pt idx="22">
                  <c:v>-688</c:v>
                </c:pt>
                <c:pt idx="23">
                  <c:v>-688</c:v>
                </c:pt>
                <c:pt idx="24">
                  <c:v>-688</c:v>
                </c:pt>
                <c:pt idx="25">
                  <c:v>-688</c:v>
                </c:pt>
                <c:pt idx="26">
                  <c:v>-688</c:v>
                </c:pt>
                <c:pt idx="27">
                  <c:v>-688</c:v>
                </c:pt>
                <c:pt idx="28">
                  <c:v>-688</c:v>
                </c:pt>
                <c:pt idx="29">
                  <c:v>-688</c:v>
                </c:pt>
                <c:pt idx="30">
                  <c:v>-688</c:v>
                </c:pt>
                <c:pt idx="31">
                  <c:v>-688</c:v>
                </c:pt>
                <c:pt idx="32">
                  <c:v>-688</c:v>
                </c:pt>
                <c:pt idx="33">
                  <c:v>-688</c:v>
                </c:pt>
                <c:pt idx="34">
                  <c:v>-688</c:v>
                </c:pt>
                <c:pt idx="35">
                  <c:v>-688</c:v>
                </c:pt>
                <c:pt idx="36">
                  <c:v>-688</c:v>
                </c:pt>
                <c:pt idx="37">
                  <c:v>-688</c:v>
                </c:pt>
                <c:pt idx="38">
                  <c:v>-688</c:v>
                </c:pt>
                <c:pt idx="39">
                  <c:v>-688</c:v>
                </c:pt>
                <c:pt idx="40">
                  <c:v>-688</c:v>
                </c:pt>
                <c:pt idx="41">
                  <c:v>-688</c:v>
                </c:pt>
                <c:pt idx="42">
                  <c:v>-688</c:v>
                </c:pt>
                <c:pt idx="43">
                  <c:v>-688</c:v>
                </c:pt>
                <c:pt idx="44">
                  <c:v>-688</c:v>
                </c:pt>
                <c:pt idx="45">
                  <c:v>-688</c:v>
                </c:pt>
                <c:pt idx="46">
                  <c:v>-688</c:v>
                </c:pt>
                <c:pt idx="47">
                  <c:v>-688</c:v>
                </c:pt>
                <c:pt idx="48">
                  <c:v>-688</c:v>
                </c:pt>
                <c:pt idx="49">
                  <c:v>-688</c:v>
                </c:pt>
                <c:pt idx="50">
                  <c:v>-688</c:v>
                </c:pt>
                <c:pt idx="51">
                  <c:v>-688</c:v>
                </c:pt>
                <c:pt idx="52">
                  <c:v>-688</c:v>
                </c:pt>
                <c:pt idx="53">
                  <c:v>-688</c:v>
                </c:pt>
                <c:pt idx="54">
                  <c:v>-688</c:v>
                </c:pt>
                <c:pt idx="55">
                  <c:v>-688</c:v>
                </c:pt>
                <c:pt idx="56">
                  <c:v>-688</c:v>
                </c:pt>
                <c:pt idx="57">
                  <c:v>-688</c:v>
                </c:pt>
                <c:pt idx="58">
                  <c:v>-688</c:v>
                </c:pt>
                <c:pt idx="59">
                  <c:v>-688</c:v>
                </c:pt>
                <c:pt idx="60">
                  <c:v>-688</c:v>
                </c:pt>
                <c:pt idx="61">
                  <c:v>-688</c:v>
                </c:pt>
                <c:pt idx="62">
                  <c:v>-688</c:v>
                </c:pt>
                <c:pt idx="63">
                  <c:v>-688</c:v>
                </c:pt>
                <c:pt idx="64">
                  <c:v>-688</c:v>
                </c:pt>
                <c:pt idx="65">
                  <c:v>-688</c:v>
                </c:pt>
                <c:pt idx="66">
                  <c:v>-688</c:v>
                </c:pt>
                <c:pt idx="67">
                  <c:v>-688</c:v>
                </c:pt>
                <c:pt idx="68">
                  <c:v>-688</c:v>
                </c:pt>
                <c:pt idx="69">
                  <c:v>-688</c:v>
                </c:pt>
                <c:pt idx="70">
                  <c:v>-688</c:v>
                </c:pt>
                <c:pt idx="71">
                  <c:v>-688</c:v>
                </c:pt>
                <c:pt idx="72">
                  <c:v>-688</c:v>
                </c:pt>
                <c:pt idx="73">
                  <c:v>-688</c:v>
                </c:pt>
                <c:pt idx="74">
                  <c:v>-688</c:v>
                </c:pt>
                <c:pt idx="75">
                  <c:v>-688</c:v>
                </c:pt>
                <c:pt idx="76">
                  <c:v>-688</c:v>
                </c:pt>
                <c:pt idx="77">
                  <c:v>-688</c:v>
                </c:pt>
                <c:pt idx="78">
                  <c:v>-688</c:v>
                </c:pt>
                <c:pt idx="79">
                  <c:v>-688</c:v>
                </c:pt>
                <c:pt idx="80">
                  <c:v>-688</c:v>
                </c:pt>
                <c:pt idx="81">
                  <c:v>-688</c:v>
                </c:pt>
                <c:pt idx="82">
                  <c:v>-688</c:v>
                </c:pt>
                <c:pt idx="83">
                  <c:v>-688</c:v>
                </c:pt>
                <c:pt idx="84">
                  <c:v>-688</c:v>
                </c:pt>
                <c:pt idx="85">
                  <c:v>-688</c:v>
                </c:pt>
                <c:pt idx="86">
                  <c:v>-688</c:v>
                </c:pt>
                <c:pt idx="87">
                  <c:v>-688</c:v>
                </c:pt>
                <c:pt idx="88">
                  <c:v>-688</c:v>
                </c:pt>
                <c:pt idx="89">
                  <c:v>-688</c:v>
                </c:pt>
                <c:pt idx="90">
                  <c:v>-688</c:v>
                </c:pt>
                <c:pt idx="91">
                  <c:v>-688</c:v>
                </c:pt>
                <c:pt idx="92">
                  <c:v>-688</c:v>
                </c:pt>
                <c:pt idx="93">
                  <c:v>-688</c:v>
                </c:pt>
                <c:pt idx="94">
                  <c:v>-688</c:v>
                </c:pt>
                <c:pt idx="95">
                  <c:v>-688</c:v>
                </c:pt>
                <c:pt idx="96">
                  <c:v>-688</c:v>
                </c:pt>
                <c:pt idx="97">
                  <c:v>-688</c:v>
                </c:pt>
                <c:pt idx="98">
                  <c:v>-688</c:v>
                </c:pt>
                <c:pt idx="99">
                  <c:v>-688</c:v>
                </c:pt>
                <c:pt idx="100">
                  <c:v>-688</c:v>
                </c:pt>
                <c:pt idx="101">
                  <c:v>-688</c:v>
                </c:pt>
                <c:pt idx="102">
                  <c:v>-688</c:v>
                </c:pt>
                <c:pt idx="103">
                  <c:v>-688</c:v>
                </c:pt>
                <c:pt idx="104">
                  <c:v>-688</c:v>
                </c:pt>
                <c:pt idx="105">
                  <c:v>-688</c:v>
                </c:pt>
                <c:pt idx="106">
                  <c:v>-688</c:v>
                </c:pt>
                <c:pt idx="107">
                  <c:v>-688</c:v>
                </c:pt>
                <c:pt idx="108">
                  <c:v>-688</c:v>
                </c:pt>
                <c:pt idx="109">
                  <c:v>-688</c:v>
                </c:pt>
              </c:numCache>
            </c:numRef>
          </c:yVal>
          <c:smooth val="0"/>
          <c:extLst>
            <c:ext xmlns:c16="http://schemas.microsoft.com/office/drawing/2014/chart" uri="{C3380CC4-5D6E-409C-BE32-E72D297353CC}">
              <c16:uniqueId val="{00000005-2279-477A-ACF6-F5E796CEBEA6}"/>
            </c:ext>
          </c:extLst>
        </c:ser>
        <c:ser>
          <c:idx val="4"/>
          <c:order val="5"/>
          <c:tx>
            <c:strRef>
              <c:f>'04-07-25-Scen3-Good,24-16hr'!$AK$1</c:f>
              <c:strCache>
                <c:ptCount val="1"/>
                <c:pt idx="0">
                  <c:v>Input</c:v>
                </c:pt>
              </c:strCache>
            </c:strRef>
          </c:tx>
          <c:spPr>
            <a:ln w="19050" cap="rnd">
              <a:noFill/>
              <a:round/>
            </a:ln>
            <a:effectLst/>
          </c:spPr>
          <c:marker>
            <c:symbol val="triangle"/>
            <c:size val="12"/>
            <c:spPr>
              <a:solidFill>
                <a:srgbClr val="7030A0"/>
              </a:solidFill>
              <a:ln w="9525">
                <a:solidFill>
                  <a:srgbClr val="7030A0"/>
                </a:solidFill>
              </a:ln>
              <a:effectLst/>
            </c:spPr>
          </c:marker>
          <c:dPt>
            <c:idx val="0"/>
            <c:marker>
              <c:symbol val="triangle"/>
              <c:size val="12"/>
              <c:spPr>
                <a:solidFill>
                  <a:srgbClr val="7030A0"/>
                </a:solidFill>
                <a:ln w="9525">
                  <a:solidFill>
                    <a:srgbClr val="7030A0"/>
                  </a:solidFill>
                </a:ln>
                <a:effectLst/>
              </c:spPr>
            </c:marker>
            <c:bubble3D val="0"/>
            <c:extLst>
              <c:ext xmlns:c16="http://schemas.microsoft.com/office/drawing/2014/chart" uri="{C3380CC4-5D6E-409C-BE32-E72D297353CC}">
                <c16:uniqueId val="{00000006-2279-477A-ACF6-F5E796CEBEA6}"/>
              </c:ext>
            </c:extLst>
          </c:dPt>
          <c:xVal>
            <c:numRef>
              <c:f>'04-07-25-Scen3-Good,24-16hr'!$BB$4:$BB$5</c:f>
              <c:numCache>
                <c:formatCode>m/d/yyyy</c:formatCode>
                <c:ptCount val="2"/>
                <c:pt idx="0">
                  <c:v>45973</c:v>
                </c:pt>
                <c:pt idx="1">
                  <c:v>45978</c:v>
                </c:pt>
              </c:numCache>
            </c:numRef>
          </c:xVal>
          <c:yVal>
            <c:numLit>
              <c:formatCode>General</c:formatCode>
              <c:ptCount val="2"/>
              <c:pt idx="0">
                <c:v>0</c:v>
              </c:pt>
              <c:pt idx="1">
                <c:v>0</c:v>
              </c:pt>
            </c:numLit>
          </c:yVal>
          <c:smooth val="0"/>
          <c:extLst>
            <c:ext xmlns:c16="http://schemas.microsoft.com/office/drawing/2014/chart" uri="{C3380CC4-5D6E-409C-BE32-E72D297353CC}">
              <c16:uniqueId val="{00000007-2279-477A-ACF6-F5E796CEBEA6}"/>
            </c:ext>
          </c:extLst>
        </c:ser>
        <c:ser>
          <c:idx val="5"/>
          <c:order val="6"/>
          <c:tx>
            <c:strRef>
              <c:f>'04-07-25-Scen3-Good,24-16hr'!$AQ$1</c:f>
              <c:strCache>
                <c:ptCount val="1"/>
                <c:pt idx="0">
                  <c:v>Able to Output</c:v>
                </c:pt>
              </c:strCache>
            </c:strRef>
          </c:tx>
          <c:spPr>
            <a:ln w="19050" cap="rnd">
              <a:noFill/>
              <a:round/>
            </a:ln>
            <a:effectLst/>
          </c:spPr>
          <c:marker>
            <c:symbol val="circle"/>
            <c:size val="12"/>
            <c:spPr>
              <a:solidFill>
                <a:srgbClr val="7030A0"/>
              </a:solidFill>
              <a:ln w="9525">
                <a:solidFill>
                  <a:srgbClr val="7030A0"/>
                </a:solidFill>
              </a:ln>
              <a:effectLst/>
            </c:spPr>
          </c:marker>
          <c:xVal>
            <c:numRef>
              <c:f>'04-07-25-Scen3-Good,24-16hr'!$A$3:$A$112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'04-07-25-Scen3-Good,24-16hr'!$AQ$3:$AQ$112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0</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6="http://schemas.microsoft.com/office/drawing/2014/chart" uri="{C3380CC4-5D6E-409C-BE32-E72D297353CC}">
              <c16:uniqueId val="{00000008-2279-477A-ACF6-F5E796CEBEA6}"/>
            </c:ext>
          </c:extLst>
        </c:ser>
        <c:ser>
          <c:idx val="7"/>
          <c:order val="7"/>
          <c:tx>
            <c:v>Output</c:v>
          </c:tx>
          <c:spPr>
            <a:ln w="19050" cap="rnd">
              <a:noFill/>
              <a:round/>
            </a:ln>
            <a:effectLst/>
          </c:spPr>
          <c:marker>
            <c:symbol val="diamond"/>
            <c:size val="18"/>
            <c:spPr>
              <a:noFill/>
              <a:ln w="57150">
                <a:solidFill>
                  <a:srgbClr val="FF0000"/>
                </a:solidFill>
              </a:ln>
              <a:effectLst/>
            </c:spPr>
          </c:marker>
          <c:xVal>
            <c:numRef>
              <c:f>'04-07-25-Scen3-Good,24-16hr'!$BF$4:$BF$5</c:f>
              <c:numCache>
                <c:formatCode>m/d/yyyy</c:formatCode>
                <c:ptCount val="2"/>
                <c:pt idx="0">
                  <c:v>46043</c:v>
                </c:pt>
                <c:pt idx="1">
                  <c:v>46055</c:v>
                </c:pt>
              </c:numCache>
            </c:numRef>
          </c:xVal>
          <c:yVal>
            <c:numLit>
              <c:formatCode>General</c:formatCode>
              <c:ptCount val="2"/>
              <c:pt idx="0">
                <c:v>0</c:v>
              </c:pt>
              <c:pt idx="1">
                <c:v>0</c:v>
              </c:pt>
            </c:numLit>
          </c:yVal>
          <c:smooth val="0"/>
          <c:extLst>
            <c:ext xmlns:c16="http://schemas.microsoft.com/office/drawing/2014/chart" uri="{C3380CC4-5D6E-409C-BE32-E72D297353CC}">
              <c16:uniqueId val="{00000009-2279-477A-ACF6-F5E796CEBEA6}"/>
            </c:ext>
          </c:extLst>
        </c:ser>
        <c:ser>
          <c:idx val="12"/>
          <c:order val="8"/>
          <c:tx>
            <c:strRef>
              <c:f>'04-07-25-Scen3-Good,24-16hr'!$AR$1</c:f>
              <c:strCache>
                <c:ptCount val="1"/>
                <c:pt idx="0">
                  <c:v>Drilling Fuel Planned</c:v>
                </c:pt>
              </c:strCache>
            </c:strRef>
          </c:tx>
          <c:spPr>
            <a:ln w="19050" cap="rnd">
              <a:noFill/>
              <a:round/>
            </a:ln>
            <a:effectLst/>
          </c:spPr>
          <c:marker>
            <c:symbol val="circle"/>
            <c:size val="10"/>
            <c:spPr>
              <a:solidFill>
                <a:schemeClr val="bg1"/>
              </a:solidFill>
              <a:ln w="31750">
                <a:solidFill>
                  <a:srgbClr val="FF0000"/>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5-1258-4364-A7C1-382C7D299119}"/>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6-1258-4364-A7C1-382C7D299119}"/>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1258-4364-A7C1-382C7D299119}"/>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1258-4364-A7C1-382C7D299119}"/>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1258-4364-A7C1-382C7D299119}"/>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1258-4364-A7C1-382C7D299119}"/>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1258-4364-A7C1-382C7D299119}"/>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1258-4364-A7C1-382C7D299119}"/>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1258-4364-A7C1-382C7D299119}"/>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1258-4364-A7C1-382C7D299119}"/>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1258-4364-A7C1-382C7D299119}"/>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1258-4364-A7C1-382C7D299119}"/>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1258-4364-A7C1-382C7D299119}"/>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1258-4364-A7C1-382C7D299119}"/>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1258-4364-A7C1-382C7D299119}"/>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1258-4364-A7C1-382C7D299119}"/>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1258-4364-A7C1-382C7D299119}"/>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1258-4364-A7C1-382C7D299119}"/>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1258-4364-A7C1-382C7D299119}"/>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1258-4364-A7C1-382C7D299119}"/>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1258-4364-A7C1-382C7D299119}"/>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1258-4364-A7C1-382C7D299119}"/>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1258-4364-A7C1-382C7D299119}"/>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1258-4364-A7C1-382C7D299119}"/>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1258-4364-A7C1-382C7D299119}"/>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1258-4364-A7C1-382C7D299119}"/>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1258-4364-A7C1-382C7D299119}"/>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1258-4364-A7C1-382C7D299119}"/>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1258-4364-A7C1-382C7D299119}"/>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1258-4364-A7C1-382C7D299119}"/>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1258-4364-A7C1-382C7D299119}"/>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1258-4364-A7C1-382C7D299119}"/>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1258-4364-A7C1-382C7D299119}"/>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1258-4364-A7C1-382C7D299119}"/>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1258-4364-A7C1-382C7D299119}"/>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1258-4364-A7C1-382C7D299119}"/>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1258-4364-A7C1-382C7D299119}"/>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1258-4364-A7C1-382C7D299119}"/>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1258-4364-A7C1-382C7D299119}"/>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1258-4364-A7C1-382C7D299119}"/>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1258-4364-A7C1-382C7D299119}"/>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1258-4364-A7C1-382C7D299119}"/>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1258-4364-A7C1-382C7D299119}"/>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1258-4364-A7C1-382C7D299119}"/>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1258-4364-A7C1-382C7D299119}"/>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1258-4364-A7C1-382C7D299119}"/>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1258-4364-A7C1-382C7D299119}"/>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1258-4364-A7C1-382C7D299119}"/>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1258-4364-A7C1-382C7D299119}"/>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1258-4364-A7C1-382C7D299119}"/>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1258-4364-A7C1-382C7D299119}"/>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1258-4364-A7C1-382C7D299119}"/>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1258-4364-A7C1-382C7D299119}"/>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1258-4364-A7C1-382C7D299119}"/>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1258-4364-A7C1-382C7D299119}"/>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1258-4364-A7C1-382C7D299119}"/>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1258-4364-A7C1-382C7D299119}"/>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1258-4364-A7C1-382C7D299119}"/>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1258-4364-A7C1-382C7D299119}"/>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1258-4364-A7C1-382C7D299119}"/>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1258-4364-A7C1-382C7D299119}"/>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1258-4364-A7C1-382C7D299119}"/>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1258-4364-A7C1-382C7D299119}"/>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1258-4364-A7C1-382C7D299119}"/>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1258-4364-A7C1-382C7D299119}"/>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1258-4364-A7C1-382C7D299119}"/>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7-1258-4364-A7C1-382C7D299119}"/>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1258-4364-A7C1-382C7D299119}"/>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1258-4364-A7C1-382C7D299119}"/>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1258-4364-A7C1-382C7D299119}"/>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1258-4364-A7C1-382C7D299119}"/>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1258-4364-A7C1-382C7D299119}"/>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1258-4364-A7C1-382C7D299119}"/>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1258-4364-A7C1-382C7D299119}"/>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1258-4364-A7C1-382C7D299119}"/>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1258-4364-A7C1-382C7D299119}"/>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1258-4364-A7C1-382C7D299119}"/>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1258-4364-A7C1-382C7D299119}"/>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1258-4364-A7C1-382C7D299119}"/>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1258-4364-A7C1-382C7D299119}"/>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1258-4364-A7C1-382C7D299119}"/>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1258-4364-A7C1-382C7D299119}"/>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1258-4364-A7C1-382C7D299119}"/>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1258-4364-A7C1-382C7D299119}"/>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1258-4364-A7C1-382C7D299119}"/>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1258-4364-A7C1-382C7D299119}"/>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1258-4364-A7C1-382C7D299119}"/>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1258-4364-A7C1-382C7D299119}"/>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1258-4364-A7C1-382C7D299119}"/>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1258-4364-A7C1-382C7D299119}"/>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F-1258-4364-A7C1-382C7D299119}"/>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0-1258-4364-A7C1-382C7D299119}"/>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1-1258-4364-A7C1-382C7D299119}"/>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2-1258-4364-A7C1-382C7D299119}"/>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3-1258-4364-A7C1-382C7D299119}"/>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4-1258-4364-A7C1-382C7D299119}"/>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5-1258-4364-A7C1-382C7D299119}"/>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6-1258-4364-A7C1-382C7D299119}"/>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7-1258-4364-A7C1-382C7D299119}"/>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8-1258-4364-A7C1-382C7D299119}"/>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9-1258-4364-A7C1-382C7D299119}"/>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A-1258-4364-A7C1-382C7D299119}"/>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B-1258-4364-A7C1-382C7D299119}"/>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C-1258-4364-A7C1-382C7D299119}"/>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D-1258-4364-A7C1-382C7D299119}"/>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E-1258-4364-A7C1-382C7D299119}"/>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F-1258-4364-A7C1-382C7D299119}"/>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0-1258-4364-A7C1-382C7D299119}"/>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1-1258-4364-A7C1-382C7D299119}"/>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2-1258-4364-A7C1-382C7D2991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FF0000"/>
                      </a:solidFill>
                    </a:ln>
                    <a:solidFill>
                      <a:srgbClr val="FF000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'04-07-25-Scen3-Good,24-16hr'!$A$3:$A$112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'04-07-25-Scen3-Good,24-16hr'!$AR$3:$AR$112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'04-07-25-Scen3-Good,24-16hr'!$X$3:$X$112</c15:f>
                <c15:dlblRangeCache>
                  <c:ptCount val="110"/>
                </c15:dlblRangeCache>
              </c15:datalabelsRange>
            </c:ext>
            <c:ext xmlns:c16="http://schemas.microsoft.com/office/drawing/2014/chart" uri="{C3380CC4-5D6E-409C-BE32-E72D297353CC}">
              <c16:uniqueId val="{00000003-1258-4364-A7C1-382C7D299119}"/>
            </c:ext>
          </c:extLst>
        </c:ser>
        <c:ser>
          <c:idx val="13"/>
          <c:order val="9"/>
          <c:tx>
            <c:strRef>
              <c:f>'04-07-25-Scen3-Good,24-16hr'!$AS$1</c:f>
              <c:strCache>
                <c:ptCount val="1"/>
                <c:pt idx="0">
                  <c:v>Drilling Fuel Still Needed</c:v>
                </c:pt>
              </c:strCache>
            </c:strRef>
          </c:tx>
          <c:spPr>
            <a:ln w="19050" cap="rnd">
              <a:noFill/>
              <a:round/>
            </a:ln>
            <a:effectLst/>
          </c:spPr>
          <c:marker>
            <c:symbol val="x"/>
            <c:size val="10"/>
            <c:spPr>
              <a:solidFill>
                <a:schemeClr val="bg1"/>
              </a:solidFill>
              <a:ln w="31750">
                <a:solidFill>
                  <a:srgbClr val="FF0000"/>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3-1258-4364-A7C1-382C7D299119}"/>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4-1258-4364-A7C1-382C7D299119}"/>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5-1258-4364-A7C1-382C7D299119}"/>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6-1258-4364-A7C1-382C7D299119}"/>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7-1258-4364-A7C1-382C7D299119}"/>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8-1258-4364-A7C1-382C7D299119}"/>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9-1258-4364-A7C1-382C7D299119}"/>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A-1258-4364-A7C1-382C7D299119}"/>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B-1258-4364-A7C1-382C7D299119}"/>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C-1258-4364-A7C1-382C7D299119}"/>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D-1258-4364-A7C1-382C7D299119}"/>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E-1258-4364-A7C1-382C7D299119}"/>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F-1258-4364-A7C1-382C7D299119}"/>
                </c:ext>
              </c:extLst>
            </c:dLbl>
            <c:dLbl>
              <c:idx val="13"/>
              <c:tx>
                <c:rich>
                  <a:bodyPr/>
                  <a:lstStyle/>
                  <a:p>
                    <a:fld id="{4736C0BA-627B-4347-AFD4-44AA1C361D3A}"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80-1258-4364-A7C1-382C7D299119}"/>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1-1258-4364-A7C1-382C7D299119}"/>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2-1258-4364-A7C1-382C7D299119}"/>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3-1258-4364-A7C1-382C7D299119}"/>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4-1258-4364-A7C1-382C7D299119}"/>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5-1258-4364-A7C1-382C7D299119}"/>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6-1258-4364-A7C1-382C7D299119}"/>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7-1258-4364-A7C1-382C7D299119}"/>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8-1258-4364-A7C1-382C7D299119}"/>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9-1258-4364-A7C1-382C7D299119}"/>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A-1258-4364-A7C1-382C7D299119}"/>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B-1258-4364-A7C1-382C7D299119}"/>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C-1258-4364-A7C1-382C7D299119}"/>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D-1258-4364-A7C1-382C7D299119}"/>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E-1258-4364-A7C1-382C7D299119}"/>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F-1258-4364-A7C1-382C7D299119}"/>
                </c:ext>
              </c:extLst>
            </c:dLbl>
            <c:dLbl>
              <c:idx val="29"/>
              <c:tx>
                <c:rich>
                  <a:bodyPr/>
                  <a:lstStyle/>
                  <a:p>
                    <a:fld id="{B348AAD0-8F9C-4999-8ED5-7D29CC0A4CDC}"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0-1258-4364-A7C1-382C7D299119}"/>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1-1258-4364-A7C1-382C7D299119}"/>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2-1258-4364-A7C1-382C7D299119}"/>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3-1258-4364-A7C1-382C7D299119}"/>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4-1258-4364-A7C1-382C7D299119}"/>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5-1258-4364-A7C1-382C7D299119}"/>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6-1258-4364-A7C1-382C7D299119}"/>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7-1258-4364-A7C1-382C7D299119}"/>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8-1258-4364-A7C1-382C7D299119}"/>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9-1258-4364-A7C1-382C7D299119}"/>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A-1258-4364-A7C1-382C7D299119}"/>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B-1258-4364-A7C1-382C7D299119}"/>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C-1258-4364-A7C1-382C7D299119}"/>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D-1258-4364-A7C1-382C7D299119}"/>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E-1258-4364-A7C1-382C7D299119}"/>
                </c:ext>
              </c:extLst>
            </c:dLbl>
            <c:dLbl>
              <c:idx val="44"/>
              <c:tx>
                <c:rich>
                  <a:bodyPr/>
                  <a:lstStyle/>
                  <a:p>
                    <a:fld id="{1099FD8A-0481-4860-95A8-69085635AA44}"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F-1258-4364-A7C1-382C7D299119}"/>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0-1258-4364-A7C1-382C7D299119}"/>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1-1258-4364-A7C1-382C7D299119}"/>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2-1258-4364-A7C1-382C7D299119}"/>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3-1258-4364-A7C1-382C7D299119}"/>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4-1258-4364-A7C1-382C7D299119}"/>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5-1258-4364-A7C1-382C7D299119}"/>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6-1258-4364-A7C1-382C7D299119}"/>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7-1258-4364-A7C1-382C7D299119}"/>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8-1258-4364-A7C1-382C7D299119}"/>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9-1258-4364-A7C1-382C7D299119}"/>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A-1258-4364-A7C1-382C7D299119}"/>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B-1258-4364-A7C1-382C7D299119}"/>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C-1258-4364-A7C1-382C7D299119}"/>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D-1258-4364-A7C1-382C7D299119}"/>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E-1258-4364-A7C1-382C7D299119}"/>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F-1258-4364-A7C1-382C7D299119}"/>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0-1258-4364-A7C1-382C7D299119}"/>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1-1258-4364-A7C1-382C7D299119}"/>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2-1258-4364-A7C1-382C7D299119}"/>
                </c:ext>
              </c:extLst>
            </c:dLbl>
            <c:dLbl>
              <c:idx val="64"/>
              <c:tx>
                <c:rich>
                  <a:bodyPr/>
                  <a:lstStyle/>
                  <a:p>
                    <a:fld id="{F2F5DA75-C981-4EB0-8B22-A55514E59A96}"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B3-1258-4364-A7C1-382C7D299119}"/>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4-1258-4364-A7C1-382C7D299119}"/>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5-1258-4364-A7C1-382C7D299119}"/>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6-1258-4364-A7C1-382C7D299119}"/>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7-1258-4364-A7C1-382C7D299119}"/>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8-1258-4364-A7C1-382C7D299119}"/>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9-1258-4364-A7C1-382C7D299119}"/>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A-1258-4364-A7C1-382C7D299119}"/>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B-1258-4364-A7C1-382C7D299119}"/>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C-1258-4364-A7C1-382C7D299119}"/>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D-1258-4364-A7C1-382C7D299119}"/>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E-1258-4364-A7C1-382C7D299119}"/>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F-1258-4364-A7C1-382C7D299119}"/>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0-1258-4364-A7C1-382C7D299119}"/>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1-1258-4364-A7C1-382C7D299119}"/>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2-1258-4364-A7C1-382C7D299119}"/>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3-1258-4364-A7C1-382C7D299119}"/>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4-1258-4364-A7C1-382C7D299119}"/>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5-1258-4364-A7C1-382C7D299119}"/>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6-1258-4364-A7C1-382C7D299119}"/>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7-1258-4364-A7C1-382C7D299119}"/>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8-1258-4364-A7C1-382C7D299119}"/>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9-1258-4364-A7C1-382C7D299119}"/>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A-1258-4364-A7C1-382C7D299119}"/>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B-1258-4364-A7C1-382C7D299119}"/>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C-1258-4364-A7C1-382C7D299119}"/>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D-1258-4364-A7C1-382C7D299119}"/>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E-1258-4364-A7C1-382C7D299119}"/>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F-1258-4364-A7C1-382C7D299119}"/>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0-1258-4364-A7C1-382C7D299119}"/>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1-1258-4364-A7C1-382C7D299119}"/>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2-1258-4364-A7C1-382C7D299119}"/>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3-1258-4364-A7C1-382C7D299119}"/>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4-1258-4364-A7C1-382C7D299119}"/>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5-1258-4364-A7C1-382C7D299119}"/>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6-1258-4364-A7C1-382C7D299119}"/>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7-1258-4364-A7C1-382C7D299119}"/>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8-1258-4364-A7C1-382C7D299119}"/>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9-1258-4364-A7C1-382C7D299119}"/>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A-1258-4364-A7C1-382C7D299119}"/>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B-1258-4364-A7C1-382C7D299119}"/>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C-1258-4364-A7C1-382C7D299119}"/>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D-1258-4364-A7C1-382C7D299119}"/>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E-1258-4364-A7C1-382C7D299119}"/>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F-1258-4364-A7C1-382C7D299119}"/>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0-1258-4364-A7C1-382C7D2991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FF0000"/>
                      </a:solidFill>
                    </a:ln>
                    <a:solidFill>
                      <a:srgbClr val="FF000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'04-07-25-Scen3-Good,24-16hr'!$A$3:$A$112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'04-07-25-Scen3-Good,24-16hr'!$AS$3:$AS$112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-72</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-72</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-72</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-72</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'04-07-25-Scen3-Good,24-16hr'!$Y$3:$Y$112</c15:f>
                <c15:dlblRangeCache>
                  <c:ptCount val="110"/>
                  <c:pt idx="0">
                    <c:v>0</c:v>
                  </c:pt>
                  <c:pt idx="1">
                    <c:v>0</c:v>
                  </c:pt>
                  <c:pt idx="2">
                    <c:v>0</c:v>
                  </c:pt>
                  <c:pt idx="3">
                    <c:v>0</c:v>
                  </c:pt>
                  <c:pt idx="4">
                    <c:v>0</c:v>
                  </c:pt>
                  <c:pt idx="5">
                    <c:v>0</c:v>
                  </c:pt>
                  <c:pt idx="6">
                    <c:v>0</c:v>
                  </c:pt>
                  <c:pt idx="7">
                    <c:v>0</c:v>
                  </c:pt>
                  <c:pt idx="8">
                    <c:v>0</c:v>
                  </c:pt>
                  <c:pt idx="9">
                    <c:v>0</c:v>
                  </c:pt>
                  <c:pt idx="10">
                    <c:v>0</c:v>
                  </c:pt>
                  <c:pt idx="11">
                    <c:v>0</c:v>
                  </c:pt>
                  <c:pt idx="12">
                    <c:v>0</c:v>
                  </c:pt>
                  <c:pt idx="13">
                    <c:v>6</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6</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6</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6</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15:dlblRangeCache>
              </c15:datalabelsRange>
            </c:ext>
            <c:ext xmlns:c16="http://schemas.microsoft.com/office/drawing/2014/chart" uri="{C3380CC4-5D6E-409C-BE32-E72D297353CC}">
              <c16:uniqueId val="{00000004-1258-4364-A7C1-382C7D299119}"/>
            </c:ext>
          </c:extLst>
        </c:ser>
        <c:ser>
          <c:idx val="8"/>
          <c:order val="10"/>
          <c:tx>
            <c:strRef>
              <c:f>'04-07-25-Scen3-Good,24-16hr'!$AU$1</c:f>
              <c:strCache>
                <c:ptCount val="1"/>
                <c:pt idx="0">
                  <c:v>Drill Fluid Still Needed In</c:v>
                </c:pt>
              </c:strCache>
            </c:strRef>
          </c:tx>
          <c:spPr>
            <a:ln w="19050" cap="rnd">
              <a:noFill/>
              <a:round/>
            </a:ln>
            <a:effectLst/>
          </c:spPr>
          <c:marker>
            <c:symbol val="x"/>
            <c:size val="10"/>
            <c:spPr>
              <a:solidFill>
                <a:schemeClr val="bg1"/>
              </a:solidFill>
              <a:ln w="31750">
                <a:solidFill>
                  <a:schemeClr val="tx2">
                    <a:lumMod val="50000"/>
                    <a:lumOff val="50000"/>
                  </a:schemeClr>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2279-477A-ACF6-F5E796CEBEA6}"/>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2279-477A-ACF6-F5E796CEBEA6}"/>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2279-477A-ACF6-F5E796CEBEA6}"/>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2279-477A-ACF6-F5E796CEBEA6}"/>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2279-477A-ACF6-F5E796CEBEA6}"/>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2279-477A-ACF6-F5E796CEBEA6}"/>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2279-477A-ACF6-F5E796CEBEA6}"/>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2279-477A-ACF6-F5E796CEBEA6}"/>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2279-477A-ACF6-F5E796CEBEA6}"/>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2279-477A-ACF6-F5E796CEBEA6}"/>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2279-477A-ACF6-F5E796CEBEA6}"/>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2279-477A-ACF6-F5E796CEBEA6}"/>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2279-477A-ACF6-F5E796CEBEA6}"/>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2279-477A-ACF6-F5E796CEBEA6}"/>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2279-477A-ACF6-F5E796CEBEA6}"/>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2279-477A-ACF6-F5E796CEBEA6}"/>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2279-477A-ACF6-F5E796CEBEA6}"/>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2279-477A-ACF6-F5E796CEBEA6}"/>
                </c:ext>
              </c:extLst>
            </c:dLbl>
            <c:dLbl>
              <c:idx val="18"/>
              <c:tx>
                <c:rich>
                  <a:bodyPr/>
                  <a:lstStyle/>
                  <a:p>
                    <a:fld id="{8F95517B-B552-4B59-B703-0837B3C0F767}"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2279-477A-ACF6-F5E796CEBEA6}"/>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2279-477A-ACF6-F5E796CEBEA6}"/>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2279-477A-ACF6-F5E796CEBEA6}"/>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2279-477A-ACF6-F5E796CEBEA6}"/>
                </c:ext>
              </c:extLst>
            </c:dLbl>
            <c:dLbl>
              <c:idx val="22"/>
              <c:tx>
                <c:rich>
                  <a:bodyPr/>
                  <a:lstStyle/>
                  <a:p>
                    <a:fld id="{858DAE86-ED1A-4453-B82A-3652A74D47CC}"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2279-477A-ACF6-F5E796CEBEA6}"/>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2279-477A-ACF6-F5E796CEBEA6}"/>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2279-477A-ACF6-F5E796CEBEA6}"/>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2279-477A-ACF6-F5E796CEBEA6}"/>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2279-477A-ACF6-F5E796CEBEA6}"/>
                </c:ext>
              </c:extLst>
            </c:dLbl>
            <c:dLbl>
              <c:idx val="27"/>
              <c:tx>
                <c:rich>
                  <a:bodyPr/>
                  <a:lstStyle/>
                  <a:p>
                    <a:fld id="{E08B9985-4917-4987-8236-0B77CF8C92B2}"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2279-477A-ACF6-F5E796CEBEA6}"/>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2279-477A-ACF6-F5E796CEBEA6}"/>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2279-477A-ACF6-F5E796CEBEA6}"/>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2279-477A-ACF6-F5E796CEBEA6}"/>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2279-477A-ACF6-F5E796CEBEA6}"/>
                </c:ext>
              </c:extLst>
            </c:dLbl>
            <c:dLbl>
              <c:idx val="32"/>
              <c:tx>
                <c:rich>
                  <a:bodyPr/>
                  <a:lstStyle/>
                  <a:p>
                    <a:fld id="{E43C8887-9BF0-4924-AD74-D596A28636C5}"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A-2279-477A-ACF6-F5E796CEBEA6}"/>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2279-477A-ACF6-F5E796CEBEA6}"/>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2279-477A-ACF6-F5E796CEBEA6}"/>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2279-477A-ACF6-F5E796CEBEA6}"/>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2279-477A-ACF6-F5E796CEBEA6}"/>
                </c:ext>
              </c:extLst>
            </c:dLbl>
            <c:dLbl>
              <c:idx val="37"/>
              <c:tx>
                <c:rich>
                  <a:bodyPr/>
                  <a:lstStyle/>
                  <a:p>
                    <a:fld id="{4BFE106F-4CF0-4B41-9349-9D10AA699D59}"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F-2279-477A-ACF6-F5E796CEBEA6}"/>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2279-477A-ACF6-F5E796CEBEA6}"/>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2279-477A-ACF6-F5E796CEBEA6}"/>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2279-477A-ACF6-F5E796CEBEA6}"/>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2279-477A-ACF6-F5E796CEBEA6}"/>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2279-477A-ACF6-F5E796CEBEA6}"/>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2279-477A-ACF6-F5E796CEBEA6}"/>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2279-477A-ACF6-F5E796CEBEA6}"/>
                </c:ext>
              </c:extLst>
            </c:dLbl>
            <c:dLbl>
              <c:idx val="45"/>
              <c:tx>
                <c:rich>
                  <a:bodyPr/>
                  <a:lstStyle/>
                  <a:p>
                    <a:fld id="{7B5F50EC-7179-4C17-B7F6-75CEBE2709BA}"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7-2279-477A-ACF6-F5E796CEBEA6}"/>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2279-477A-ACF6-F5E796CEBEA6}"/>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2279-477A-ACF6-F5E796CEBEA6}"/>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2279-477A-ACF6-F5E796CEBEA6}"/>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2279-477A-ACF6-F5E796CEBEA6}"/>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2279-477A-ACF6-F5E796CEBEA6}"/>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2279-477A-ACF6-F5E796CEBEA6}"/>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2279-477A-ACF6-F5E796CEBEA6}"/>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2279-477A-ACF6-F5E796CEBEA6}"/>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2279-477A-ACF6-F5E796CEBEA6}"/>
                </c:ext>
              </c:extLst>
            </c:dLbl>
            <c:dLbl>
              <c:idx val="55"/>
              <c:tx>
                <c:rich>
                  <a:bodyPr/>
                  <a:lstStyle/>
                  <a:p>
                    <a:fld id="{F9EE4879-17C1-4295-9564-53CB4FAAA307}"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1-2279-477A-ACF6-F5E796CEBEA6}"/>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2279-477A-ACF6-F5E796CEBEA6}"/>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2279-477A-ACF6-F5E796CEBEA6}"/>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2279-477A-ACF6-F5E796CEBEA6}"/>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2279-477A-ACF6-F5E796CEBEA6}"/>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2279-477A-ACF6-F5E796CEBEA6}"/>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7-2279-477A-ACF6-F5E796CEBEA6}"/>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2279-477A-ACF6-F5E796CEBEA6}"/>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2279-477A-ACF6-F5E796CEBEA6}"/>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2279-477A-ACF6-F5E796CEBEA6}"/>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2279-477A-ACF6-F5E796CEBEA6}"/>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2279-477A-ACF6-F5E796CEBEA6}"/>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2279-477A-ACF6-F5E796CEBEA6}"/>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2279-477A-ACF6-F5E796CEBEA6}"/>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2279-477A-ACF6-F5E796CEBEA6}"/>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2279-477A-ACF6-F5E796CEBEA6}"/>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2279-477A-ACF6-F5E796CEBEA6}"/>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2279-477A-ACF6-F5E796CEBEA6}"/>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2279-477A-ACF6-F5E796CEBEA6}"/>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2279-477A-ACF6-F5E796CEBEA6}"/>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2279-477A-ACF6-F5E796CEBEA6}"/>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2279-477A-ACF6-F5E796CEBEA6}"/>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2279-477A-ACF6-F5E796CEBEA6}"/>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2279-477A-ACF6-F5E796CEBEA6}"/>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2279-477A-ACF6-F5E796CEBEA6}"/>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2279-477A-ACF6-F5E796CEBEA6}"/>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2279-477A-ACF6-F5E796CEBEA6}"/>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2279-477A-ACF6-F5E796CEBEA6}"/>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2279-477A-ACF6-F5E796CEBEA6}"/>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2279-477A-ACF6-F5E796CEBEA6}"/>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F-2279-477A-ACF6-F5E796CEBEA6}"/>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0-2279-477A-ACF6-F5E796CEBEA6}"/>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1-2279-477A-ACF6-F5E796CEBEA6}"/>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2-2279-477A-ACF6-F5E796CEBEA6}"/>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3-2279-477A-ACF6-F5E796CEBEA6}"/>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4-2279-477A-ACF6-F5E796CEBEA6}"/>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5-2279-477A-ACF6-F5E796CEBEA6}"/>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6-2279-477A-ACF6-F5E796CEBEA6}"/>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7-2279-477A-ACF6-F5E796CEBEA6}"/>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8-2279-477A-ACF6-F5E796CEBEA6}"/>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9-2279-477A-ACF6-F5E796CEBEA6}"/>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A-2279-477A-ACF6-F5E796CEBEA6}"/>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B-2279-477A-ACF6-F5E796CEBEA6}"/>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C-2279-477A-ACF6-F5E796CEBEA6}"/>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D-2279-477A-ACF6-F5E796CEBEA6}"/>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E-2279-477A-ACF6-F5E796CEBEA6}"/>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F-2279-477A-ACF6-F5E796CEBEA6}"/>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0-2279-477A-ACF6-F5E796CEBEA6}"/>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1-2279-477A-ACF6-F5E796CEBEA6}"/>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2-2279-477A-ACF6-F5E796CEBEA6}"/>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3-2279-477A-ACF6-F5E796CEBEA6}"/>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4-2279-477A-ACF6-F5E796CEBEA6}"/>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5-2279-477A-ACF6-F5E796CEBEA6}"/>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6-2279-477A-ACF6-F5E796CEBEA6}"/>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7-2279-477A-ACF6-F5E796CEBEA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2">
                          <a:lumMod val="50000"/>
                          <a:lumOff val="50000"/>
                        </a:schemeClr>
                      </a:solidFill>
                    </a:ln>
                    <a:solidFill>
                      <a:schemeClr val="tx2">
                        <a:lumMod val="50000"/>
                        <a:lumOff val="50000"/>
                      </a:schemeClr>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'04-07-25-Scen3-Good,24-16hr'!$A$3:$A$112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'04-07-25-Scen3-Good,24-16hr'!$AU$3:$AU$112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-144</c:v>
                </c:pt>
                <c:pt idx="19">
                  <c:v>#N/A</c:v>
                </c:pt>
                <c:pt idx="20">
                  <c:v>#N/A</c:v>
                </c:pt>
                <c:pt idx="21">
                  <c:v>#N/A</c:v>
                </c:pt>
                <c:pt idx="22">
                  <c:v>-144</c:v>
                </c:pt>
                <c:pt idx="23">
                  <c:v>#N/A</c:v>
                </c:pt>
                <c:pt idx="24">
                  <c:v>#N/A</c:v>
                </c:pt>
                <c:pt idx="25">
                  <c:v>#N/A</c:v>
                </c:pt>
                <c:pt idx="26">
                  <c:v>#N/A</c:v>
                </c:pt>
                <c:pt idx="27">
                  <c:v>-144</c:v>
                </c:pt>
                <c:pt idx="28">
                  <c:v>#N/A</c:v>
                </c:pt>
                <c:pt idx="29">
                  <c:v>#N/A</c:v>
                </c:pt>
                <c:pt idx="30">
                  <c:v>#N/A</c:v>
                </c:pt>
                <c:pt idx="31">
                  <c:v>#N/A</c:v>
                </c:pt>
                <c:pt idx="32">
                  <c:v>-144</c:v>
                </c:pt>
                <c:pt idx="33">
                  <c:v>#N/A</c:v>
                </c:pt>
                <c:pt idx="34">
                  <c:v>#N/A</c:v>
                </c:pt>
                <c:pt idx="35">
                  <c:v>#N/A</c:v>
                </c:pt>
                <c:pt idx="36">
                  <c:v>#N/A</c:v>
                </c:pt>
                <c:pt idx="37">
                  <c:v>-144</c:v>
                </c:pt>
                <c:pt idx="38">
                  <c:v>#N/A</c:v>
                </c:pt>
                <c:pt idx="39">
                  <c:v>#N/A</c:v>
                </c:pt>
                <c:pt idx="40">
                  <c:v>#N/A</c:v>
                </c:pt>
                <c:pt idx="41">
                  <c:v>#N/A</c:v>
                </c:pt>
                <c:pt idx="42">
                  <c:v>#N/A</c:v>
                </c:pt>
                <c:pt idx="43">
                  <c:v>#N/A</c:v>
                </c:pt>
                <c:pt idx="44">
                  <c:v>#N/A</c:v>
                </c:pt>
                <c:pt idx="45">
                  <c:v>-144</c:v>
                </c:pt>
                <c:pt idx="46">
                  <c:v>#N/A</c:v>
                </c:pt>
                <c:pt idx="47">
                  <c:v>#N/A</c:v>
                </c:pt>
                <c:pt idx="48">
                  <c:v>#N/A</c:v>
                </c:pt>
                <c:pt idx="49">
                  <c:v>#N/A</c:v>
                </c:pt>
                <c:pt idx="50">
                  <c:v>#N/A</c:v>
                </c:pt>
                <c:pt idx="51">
                  <c:v>#N/A</c:v>
                </c:pt>
                <c:pt idx="52">
                  <c:v>#N/A</c:v>
                </c:pt>
                <c:pt idx="53">
                  <c:v>#N/A</c:v>
                </c:pt>
                <c:pt idx="54">
                  <c:v>#N/A</c:v>
                </c:pt>
                <c:pt idx="55">
                  <c:v>-144</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'04-07-25-Scen3-Good,24-16hr'!$AC$3:$AC$112</c15:f>
                <c15:dlblRangeCache>
                  <c:ptCount val="11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6</c:v>
                  </c:pt>
                  <c:pt idx="19">
                    <c:v>0</c:v>
                  </c:pt>
                  <c:pt idx="20">
                    <c:v>0</c:v>
                  </c:pt>
                  <c:pt idx="21">
                    <c:v>0</c:v>
                  </c:pt>
                  <c:pt idx="22">
                    <c:v>6</c:v>
                  </c:pt>
                  <c:pt idx="23">
                    <c:v>0</c:v>
                  </c:pt>
                  <c:pt idx="24">
                    <c:v>0</c:v>
                  </c:pt>
                  <c:pt idx="25">
                    <c:v>0</c:v>
                  </c:pt>
                  <c:pt idx="26">
                    <c:v>0</c:v>
                  </c:pt>
                  <c:pt idx="27">
                    <c:v>6</c:v>
                  </c:pt>
                  <c:pt idx="28">
                    <c:v>0</c:v>
                  </c:pt>
                  <c:pt idx="29">
                    <c:v>0</c:v>
                  </c:pt>
                  <c:pt idx="30">
                    <c:v>0</c:v>
                  </c:pt>
                  <c:pt idx="31">
                    <c:v>0</c:v>
                  </c:pt>
                  <c:pt idx="32">
                    <c:v>6</c:v>
                  </c:pt>
                  <c:pt idx="33">
                    <c:v>0</c:v>
                  </c:pt>
                  <c:pt idx="34">
                    <c:v>0</c:v>
                  </c:pt>
                  <c:pt idx="35">
                    <c:v>0</c:v>
                  </c:pt>
                  <c:pt idx="36">
                    <c:v>0</c:v>
                  </c:pt>
                  <c:pt idx="37">
                    <c:v>6</c:v>
                  </c:pt>
                  <c:pt idx="38">
                    <c:v>0</c:v>
                  </c:pt>
                  <c:pt idx="39">
                    <c:v>0</c:v>
                  </c:pt>
                  <c:pt idx="40">
                    <c:v>0</c:v>
                  </c:pt>
                  <c:pt idx="41">
                    <c:v>0</c:v>
                  </c:pt>
                  <c:pt idx="42">
                    <c:v>0</c:v>
                  </c:pt>
                  <c:pt idx="43">
                    <c:v>0</c:v>
                  </c:pt>
                  <c:pt idx="44">
                    <c:v>0</c:v>
                  </c:pt>
                  <c:pt idx="45">
                    <c:v>6</c:v>
                  </c:pt>
                  <c:pt idx="46">
                    <c:v>0</c:v>
                  </c:pt>
                  <c:pt idx="47">
                    <c:v>0</c:v>
                  </c:pt>
                  <c:pt idx="48">
                    <c:v>0</c:v>
                  </c:pt>
                  <c:pt idx="49">
                    <c:v>0</c:v>
                  </c:pt>
                  <c:pt idx="50">
                    <c:v>0</c:v>
                  </c:pt>
                  <c:pt idx="51">
                    <c:v>0</c:v>
                  </c:pt>
                  <c:pt idx="52">
                    <c:v>0</c:v>
                  </c:pt>
                  <c:pt idx="53">
                    <c:v>0</c:v>
                  </c:pt>
                  <c:pt idx="54">
                    <c:v>0</c:v>
                  </c:pt>
                  <c:pt idx="55">
                    <c:v>6</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15:dlblRangeCache>
              </c15:datalabelsRange>
            </c:ext>
            <c:ext xmlns:c16="http://schemas.microsoft.com/office/drawing/2014/chart" uri="{C3380CC4-5D6E-409C-BE32-E72D297353CC}">
              <c16:uniqueId val="{00000078-2279-477A-ACF6-F5E796CEBEA6}"/>
            </c:ext>
          </c:extLst>
        </c:ser>
        <c:ser>
          <c:idx val="9"/>
          <c:order val="11"/>
          <c:tx>
            <c:strRef>
              <c:f>'04-07-25-Scen3-Good,24-16hr'!$AT$1</c:f>
              <c:strCache>
                <c:ptCount val="1"/>
                <c:pt idx="0">
                  <c:v>Drill Fluid Planned In</c:v>
                </c:pt>
              </c:strCache>
            </c:strRef>
          </c:tx>
          <c:spPr>
            <a:ln w="19050" cap="rnd">
              <a:noFill/>
              <a:round/>
            </a:ln>
            <a:effectLst/>
          </c:spPr>
          <c:marker>
            <c:symbol val="circle"/>
            <c:size val="10"/>
            <c:spPr>
              <a:solidFill>
                <a:schemeClr val="bg1"/>
              </a:solidFill>
              <a:ln w="31750">
                <a:solidFill>
                  <a:schemeClr val="tx2">
                    <a:lumMod val="50000"/>
                    <a:lumOff val="50000"/>
                  </a:schemeClr>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9-2279-477A-ACF6-F5E796CEBEA6}"/>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A-2279-477A-ACF6-F5E796CEBEA6}"/>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B-2279-477A-ACF6-F5E796CEBEA6}"/>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C-2279-477A-ACF6-F5E796CEBEA6}"/>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D-2279-477A-ACF6-F5E796CEBEA6}"/>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E-2279-477A-ACF6-F5E796CEBEA6}"/>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F-2279-477A-ACF6-F5E796CEBEA6}"/>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0-2279-477A-ACF6-F5E796CEBEA6}"/>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1-2279-477A-ACF6-F5E796CEBEA6}"/>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2-2279-477A-ACF6-F5E796CEBEA6}"/>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3-2279-477A-ACF6-F5E796CEBEA6}"/>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4-2279-477A-ACF6-F5E796CEBEA6}"/>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5-2279-477A-ACF6-F5E796CEBEA6}"/>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6-2279-477A-ACF6-F5E796CEBEA6}"/>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7-2279-477A-ACF6-F5E796CEBEA6}"/>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8-2279-477A-ACF6-F5E796CEBEA6}"/>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9-2279-477A-ACF6-F5E796CEBEA6}"/>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A-2279-477A-ACF6-F5E796CEBEA6}"/>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B-2279-477A-ACF6-F5E796CEBEA6}"/>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C-2279-477A-ACF6-F5E796CEBEA6}"/>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D-2279-477A-ACF6-F5E796CEBEA6}"/>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E-2279-477A-ACF6-F5E796CEBEA6}"/>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F-2279-477A-ACF6-F5E796CEBEA6}"/>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0-2279-477A-ACF6-F5E796CEBEA6}"/>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1-2279-477A-ACF6-F5E796CEBEA6}"/>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2-2279-477A-ACF6-F5E796CEBEA6}"/>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3-2279-477A-ACF6-F5E796CEBEA6}"/>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4-2279-477A-ACF6-F5E796CEBEA6}"/>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5-2279-477A-ACF6-F5E796CEBEA6}"/>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6-2279-477A-ACF6-F5E796CEBEA6}"/>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7-2279-477A-ACF6-F5E796CEBEA6}"/>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8-2279-477A-ACF6-F5E796CEBEA6}"/>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9-2279-477A-ACF6-F5E796CEBEA6}"/>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A-2279-477A-ACF6-F5E796CEBEA6}"/>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B-2279-477A-ACF6-F5E796CEBEA6}"/>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C-2279-477A-ACF6-F5E796CEBEA6}"/>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D-2279-477A-ACF6-F5E796CEBEA6}"/>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E-2279-477A-ACF6-F5E796CEBEA6}"/>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F-2279-477A-ACF6-F5E796CEBEA6}"/>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0-2279-477A-ACF6-F5E796CEBEA6}"/>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1-2279-477A-ACF6-F5E796CEBEA6}"/>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2-2279-477A-ACF6-F5E796CEBEA6}"/>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3-2279-477A-ACF6-F5E796CEBEA6}"/>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4-2279-477A-ACF6-F5E796CEBEA6}"/>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5-2279-477A-ACF6-F5E796CEBEA6}"/>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6-2279-477A-ACF6-F5E796CEBEA6}"/>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7-2279-477A-ACF6-F5E796CEBEA6}"/>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8-2279-477A-ACF6-F5E796CEBEA6}"/>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9-2279-477A-ACF6-F5E796CEBEA6}"/>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A-2279-477A-ACF6-F5E796CEBEA6}"/>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B-2279-477A-ACF6-F5E796CEBEA6}"/>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C-2279-477A-ACF6-F5E796CEBEA6}"/>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D-2279-477A-ACF6-F5E796CEBEA6}"/>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E-2279-477A-ACF6-F5E796CEBEA6}"/>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F-2279-477A-ACF6-F5E796CEBEA6}"/>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0-2279-477A-ACF6-F5E796CEBEA6}"/>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1-2279-477A-ACF6-F5E796CEBEA6}"/>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2-2279-477A-ACF6-F5E796CEBEA6}"/>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3-2279-477A-ACF6-F5E796CEBEA6}"/>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4-2279-477A-ACF6-F5E796CEBEA6}"/>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5-2279-477A-ACF6-F5E796CEBEA6}"/>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6-2279-477A-ACF6-F5E796CEBEA6}"/>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7-2279-477A-ACF6-F5E796CEBEA6}"/>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8-2279-477A-ACF6-F5E796CEBEA6}"/>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9-2279-477A-ACF6-F5E796CEBEA6}"/>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A-2279-477A-ACF6-F5E796CEBEA6}"/>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B-2279-477A-ACF6-F5E796CEBEA6}"/>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C-2279-477A-ACF6-F5E796CEBEA6}"/>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D-2279-477A-ACF6-F5E796CEBEA6}"/>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E-2279-477A-ACF6-F5E796CEBEA6}"/>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F-2279-477A-ACF6-F5E796CEBEA6}"/>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0-2279-477A-ACF6-F5E796CEBEA6}"/>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1-2279-477A-ACF6-F5E796CEBEA6}"/>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2-2279-477A-ACF6-F5E796CEBEA6}"/>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3-2279-477A-ACF6-F5E796CEBEA6}"/>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4-2279-477A-ACF6-F5E796CEBEA6}"/>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5-2279-477A-ACF6-F5E796CEBEA6}"/>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6-2279-477A-ACF6-F5E796CEBEA6}"/>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7-2279-477A-ACF6-F5E796CEBEA6}"/>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8-2279-477A-ACF6-F5E796CEBEA6}"/>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9-2279-477A-ACF6-F5E796CEBEA6}"/>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A-2279-477A-ACF6-F5E796CEBEA6}"/>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B-2279-477A-ACF6-F5E796CEBEA6}"/>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C-2279-477A-ACF6-F5E796CEBEA6}"/>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D-2279-477A-ACF6-F5E796CEBEA6}"/>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E-2279-477A-ACF6-F5E796CEBEA6}"/>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F-2279-477A-ACF6-F5E796CEBEA6}"/>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0-2279-477A-ACF6-F5E796CEBEA6}"/>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1-2279-477A-ACF6-F5E796CEBEA6}"/>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2-2279-477A-ACF6-F5E796CEBEA6}"/>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3-2279-477A-ACF6-F5E796CEBEA6}"/>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4-2279-477A-ACF6-F5E796CEBEA6}"/>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5-2279-477A-ACF6-F5E796CEBEA6}"/>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6-2279-477A-ACF6-F5E796CEBEA6}"/>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7-2279-477A-ACF6-F5E796CEBEA6}"/>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8-2279-477A-ACF6-F5E796CEBEA6}"/>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9-2279-477A-ACF6-F5E796CEBEA6}"/>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A-2279-477A-ACF6-F5E796CEBEA6}"/>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B-2279-477A-ACF6-F5E796CEBEA6}"/>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C-2279-477A-ACF6-F5E796CEBEA6}"/>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D-2279-477A-ACF6-F5E796CEBEA6}"/>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E-2279-477A-ACF6-F5E796CEBEA6}"/>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F-2279-477A-ACF6-F5E796CEBEA6}"/>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0-2279-477A-ACF6-F5E796CEBEA6}"/>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1-2279-477A-ACF6-F5E796CEBEA6}"/>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2-2279-477A-ACF6-F5E796CEBEA6}"/>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3-2279-477A-ACF6-F5E796CEBEA6}"/>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4-2279-477A-ACF6-F5E796CEBEA6}"/>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5-2279-477A-ACF6-F5E796CEBEA6}"/>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6-2279-477A-ACF6-F5E796CEBEA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2">
                          <a:lumMod val="50000"/>
                          <a:lumOff val="50000"/>
                        </a:schemeClr>
                      </a:solidFill>
                    </a:ln>
                    <a:solidFill>
                      <a:schemeClr val="tx2">
                        <a:lumMod val="50000"/>
                        <a:lumOff val="50000"/>
                      </a:schemeClr>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'04-07-25-Scen3-Good,24-16hr'!$A$3:$A$112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'04-07-25-Scen3-Good,24-16hr'!$AT$3:$AT$112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'04-07-25-Scen3-Good,24-16hr'!$AB$3:$AB$112</c15:f>
                <c15:dlblRangeCache>
                  <c:ptCount val="110"/>
                </c15:dlblRangeCache>
              </c15:datalabelsRange>
            </c:ext>
            <c:ext xmlns:c16="http://schemas.microsoft.com/office/drawing/2014/chart" uri="{C3380CC4-5D6E-409C-BE32-E72D297353CC}">
              <c16:uniqueId val="{000000E7-2279-477A-ACF6-F5E796CEBEA6}"/>
            </c:ext>
          </c:extLst>
        </c:ser>
        <c:ser>
          <c:idx val="10"/>
          <c:order val="12"/>
          <c:tx>
            <c:strRef>
              <c:f>'04-07-25-Scen3-Good,24-16hr'!$AV$1</c:f>
              <c:strCache>
                <c:ptCount val="1"/>
                <c:pt idx="0">
                  <c:v>Ice Core Boxes Planned OUT</c:v>
                </c:pt>
              </c:strCache>
            </c:strRef>
          </c:tx>
          <c:spPr>
            <a:ln w="19050" cap="rnd">
              <a:noFill/>
              <a:round/>
            </a:ln>
            <a:effectLst/>
          </c:spPr>
          <c:marker>
            <c:symbol val="circle"/>
            <c:size val="10"/>
            <c:spPr>
              <a:solidFill>
                <a:schemeClr val="bg1"/>
              </a:solidFill>
              <a:ln w="31750">
                <a:solidFill>
                  <a:srgbClr val="00B050"/>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8-2279-477A-ACF6-F5E796CEBEA6}"/>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9-2279-477A-ACF6-F5E796CEBEA6}"/>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A-2279-477A-ACF6-F5E796CEBEA6}"/>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B-2279-477A-ACF6-F5E796CEBEA6}"/>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C-2279-477A-ACF6-F5E796CEBEA6}"/>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D-2279-477A-ACF6-F5E796CEBEA6}"/>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E-2279-477A-ACF6-F5E796CEBEA6}"/>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F-2279-477A-ACF6-F5E796CEBEA6}"/>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0-2279-477A-ACF6-F5E796CEBEA6}"/>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1-2279-477A-ACF6-F5E796CEBEA6}"/>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2-2279-477A-ACF6-F5E796CEBEA6}"/>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3-2279-477A-ACF6-F5E796CEBEA6}"/>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4-2279-477A-ACF6-F5E796CEBEA6}"/>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5-2279-477A-ACF6-F5E796CEBEA6}"/>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6-2279-477A-ACF6-F5E796CEBEA6}"/>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7-2279-477A-ACF6-F5E796CEBEA6}"/>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8-2279-477A-ACF6-F5E796CEBEA6}"/>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9-2279-477A-ACF6-F5E796CEBEA6}"/>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A-2279-477A-ACF6-F5E796CEBEA6}"/>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B-2279-477A-ACF6-F5E796CEBEA6}"/>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C-2279-477A-ACF6-F5E796CEBEA6}"/>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D-2279-477A-ACF6-F5E796CEBEA6}"/>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E-2279-477A-ACF6-F5E796CEBEA6}"/>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F-2279-477A-ACF6-F5E796CEBEA6}"/>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0-2279-477A-ACF6-F5E796CEBEA6}"/>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1-2279-477A-ACF6-F5E796CEBEA6}"/>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2-2279-477A-ACF6-F5E796CEBEA6}"/>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3-2279-477A-ACF6-F5E796CEBEA6}"/>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4-2279-477A-ACF6-F5E796CEBEA6}"/>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5-2279-477A-ACF6-F5E796CEBEA6}"/>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6-2279-477A-ACF6-F5E796CEBEA6}"/>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7-2279-477A-ACF6-F5E796CEBEA6}"/>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8-2279-477A-ACF6-F5E796CEBEA6}"/>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9-2279-477A-ACF6-F5E796CEBEA6}"/>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A-2279-477A-ACF6-F5E796CEBEA6}"/>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B-2279-477A-ACF6-F5E796CEBEA6}"/>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C-2279-477A-ACF6-F5E796CEBEA6}"/>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D-2279-477A-ACF6-F5E796CEBEA6}"/>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E-2279-477A-ACF6-F5E796CEBEA6}"/>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F-2279-477A-ACF6-F5E796CEBEA6}"/>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0-2279-477A-ACF6-F5E796CEBEA6}"/>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1-2279-477A-ACF6-F5E796CEBEA6}"/>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2-2279-477A-ACF6-F5E796CEBEA6}"/>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3-2279-477A-ACF6-F5E796CEBEA6}"/>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4-2279-477A-ACF6-F5E796CEBEA6}"/>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5-2279-477A-ACF6-F5E796CEBEA6}"/>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6-2279-477A-ACF6-F5E796CEBEA6}"/>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7-2279-477A-ACF6-F5E796CEBEA6}"/>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8-2279-477A-ACF6-F5E796CEBEA6}"/>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9-2279-477A-ACF6-F5E796CEBEA6}"/>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A-2279-477A-ACF6-F5E796CEBEA6}"/>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B-2279-477A-ACF6-F5E796CEBEA6}"/>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C-2279-477A-ACF6-F5E796CEBEA6}"/>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D-2279-477A-ACF6-F5E796CEBEA6}"/>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E-2279-477A-ACF6-F5E796CEBEA6}"/>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F-2279-477A-ACF6-F5E796CEBEA6}"/>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0-2279-477A-ACF6-F5E796CEBEA6}"/>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1-2279-477A-ACF6-F5E796CEBEA6}"/>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2-2279-477A-ACF6-F5E796CEBEA6}"/>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3-2279-477A-ACF6-F5E796CEBEA6}"/>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4-2279-477A-ACF6-F5E796CEBEA6}"/>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5-2279-477A-ACF6-F5E796CEBEA6}"/>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6-2279-477A-ACF6-F5E796CEBEA6}"/>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7-2279-477A-ACF6-F5E796CEBEA6}"/>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8-2279-477A-ACF6-F5E796CEBEA6}"/>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9-2279-477A-ACF6-F5E796CEBEA6}"/>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A-2279-477A-ACF6-F5E796CEBEA6}"/>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B-2279-477A-ACF6-F5E796CEBEA6}"/>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C-2279-477A-ACF6-F5E796CEBEA6}"/>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D-2279-477A-ACF6-F5E796CEBEA6}"/>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E-2279-477A-ACF6-F5E796CEBEA6}"/>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F-2279-477A-ACF6-F5E796CEBEA6}"/>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0-2279-477A-ACF6-F5E796CEBEA6}"/>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1-2279-477A-ACF6-F5E796CEBEA6}"/>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2-2279-477A-ACF6-F5E796CEBEA6}"/>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3-2279-477A-ACF6-F5E796CEBEA6}"/>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4-2279-477A-ACF6-F5E796CEBEA6}"/>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5-2279-477A-ACF6-F5E796CEBEA6}"/>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6-2279-477A-ACF6-F5E796CEBEA6}"/>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7-2279-477A-ACF6-F5E796CEBEA6}"/>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8-2279-477A-ACF6-F5E796CEBEA6}"/>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9-2279-477A-ACF6-F5E796CEBEA6}"/>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A-2279-477A-ACF6-F5E796CEBEA6}"/>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B-2279-477A-ACF6-F5E796CEBEA6}"/>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C-2279-477A-ACF6-F5E796CEBEA6}"/>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D-2279-477A-ACF6-F5E796CEBEA6}"/>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E-2279-477A-ACF6-F5E796CEBEA6}"/>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F-2279-477A-ACF6-F5E796CEBEA6}"/>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0-2279-477A-ACF6-F5E796CEBEA6}"/>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1-2279-477A-ACF6-F5E796CEBEA6}"/>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2-2279-477A-ACF6-F5E796CEBEA6}"/>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3-2279-477A-ACF6-F5E796CEBEA6}"/>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4-2279-477A-ACF6-F5E796CEBEA6}"/>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5-2279-477A-ACF6-F5E796CEBEA6}"/>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6-2279-477A-ACF6-F5E796CEBEA6}"/>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7-2279-477A-ACF6-F5E796CEBEA6}"/>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8-2279-477A-ACF6-F5E796CEBEA6}"/>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9-2279-477A-ACF6-F5E796CEBEA6}"/>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A-2279-477A-ACF6-F5E796CEBEA6}"/>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B-2279-477A-ACF6-F5E796CEBEA6}"/>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C-2279-477A-ACF6-F5E796CEBEA6}"/>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D-2279-477A-ACF6-F5E796CEBEA6}"/>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E-2279-477A-ACF6-F5E796CEBEA6}"/>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F-2279-477A-ACF6-F5E796CEBEA6}"/>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0-2279-477A-ACF6-F5E796CEBEA6}"/>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1-2279-477A-ACF6-F5E796CEBEA6}"/>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2-2279-477A-ACF6-F5E796CEBEA6}"/>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3-2279-477A-ACF6-F5E796CEBEA6}"/>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4-2279-477A-ACF6-F5E796CEBEA6}"/>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5-2279-477A-ACF6-F5E796CEBEA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B050"/>
                      </a:solidFill>
                    </a:ln>
                    <a:solidFill>
                      <a:srgbClr val="00B05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'04-07-25-Scen3-Good,24-16hr'!$A$3:$A$112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'04-07-25-Scen3-Good,24-16hr'!$AV$3:$AV$112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'04-07-25-Scen3-Good,24-16hr'!$AH$3:$AH$112</c15:f>
                <c15:dlblRangeCache>
                  <c:ptCount val="110"/>
                </c15:dlblRangeCache>
              </c15:datalabelsRange>
            </c:ext>
            <c:ext xmlns:c16="http://schemas.microsoft.com/office/drawing/2014/chart" uri="{C3380CC4-5D6E-409C-BE32-E72D297353CC}">
              <c16:uniqueId val="{00000156-2279-477A-ACF6-F5E796CEBEA6}"/>
            </c:ext>
          </c:extLst>
        </c:ser>
        <c:ser>
          <c:idx val="11"/>
          <c:order val="13"/>
          <c:tx>
            <c:strRef>
              <c:f>'04-07-25-Scen3-Good,24-16hr'!$AW$1</c:f>
              <c:strCache>
                <c:ptCount val="1"/>
                <c:pt idx="0">
                  <c:v>Ice Core Boxes Still Needed OUT</c:v>
                </c:pt>
              </c:strCache>
            </c:strRef>
          </c:tx>
          <c:spPr>
            <a:ln w="19050" cap="rnd">
              <a:noFill/>
              <a:round/>
            </a:ln>
            <a:effectLst/>
          </c:spPr>
          <c:marker>
            <c:symbol val="x"/>
            <c:size val="10"/>
            <c:spPr>
              <a:noFill/>
              <a:ln w="31750">
                <a:solidFill>
                  <a:srgbClr val="00B050"/>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7-2279-477A-ACF6-F5E796CEBEA6}"/>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8-2279-477A-ACF6-F5E796CEBEA6}"/>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9-2279-477A-ACF6-F5E796CEBEA6}"/>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A-2279-477A-ACF6-F5E796CEBEA6}"/>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B-2279-477A-ACF6-F5E796CEBEA6}"/>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C-2279-477A-ACF6-F5E796CEBEA6}"/>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D-2279-477A-ACF6-F5E796CEBEA6}"/>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E-2279-477A-ACF6-F5E796CEBEA6}"/>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F-2279-477A-ACF6-F5E796CEBEA6}"/>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0-2279-477A-ACF6-F5E796CEBEA6}"/>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1-2279-477A-ACF6-F5E796CEBEA6}"/>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2-2279-477A-ACF6-F5E796CEBEA6}"/>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3-2279-477A-ACF6-F5E796CEBEA6}"/>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4-2279-477A-ACF6-F5E796CEBEA6}"/>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5-2279-477A-ACF6-F5E796CEBEA6}"/>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6-2279-477A-ACF6-F5E796CEBEA6}"/>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7-2279-477A-ACF6-F5E796CEBEA6}"/>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8-2279-477A-ACF6-F5E796CEBEA6}"/>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9-2279-477A-ACF6-F5E796CEBEA6}"/>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A-2279-477A-ACF6-F5E796CEBEA6}"/>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B-2279-477A-ACF6-F5E796CEBEA6}"/>
                </c:ext>
              </c:extLst>
            </c:dLbl>
            <c:dLbl>
              <c:idx val="21"/>
              <c:tx>
                <c:rich>
                  <a:bodyPr/>
                  <a:lstStyle/>
                  <a:p>
                    <a:fld id="{3E9466AF-E7E0-40BD-BE8A-0BE1AE9F5348}"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C-2279-477A-ACF6-F5E796CEBEA6}"/>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D-2279-477A-ACF6-F5E796CEBEA6}"/>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E-2279-477A-ACF6-F5E796CEBEA6}"/>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F-2279-477A-ACF6-F5E796CEBEA6}"/>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0-2279-477A-ACF6-F5E796CEBEA6}"/>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1-2279-477A-ACF6-F5E796CEBEA6}"/>
                </c:ext>
              </c:extLst>
            </c:dLbl>
            <c:dLbl>
              <c:idx val="27"/>
              <c:tx>
                <c:rich>
                  <a:bodyPr/>
                  <a:lstStyle/>
                  <a:p>
                    <a:fld id="{3C6DAF25-9B19-4DF9-9986-063FE366A83D}"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2-2279-477A-ACF6-F5E796CEBEA6}"/>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3-2279-477A-ACF6-F5E796CEBEA6}"/>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4-2279-477A-ACF6-F5E796CEBEA6}"/>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5-2279-477A-ACF6-F5E796CEBEA6}"/>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6-2279-477A-ACF6-F5E796CEBEA6}"/>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7-2279-477A-ACF6-F5E796CEBEA6}"/>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8-2279-477A-ACF6-F5E796CEBEA6}"/>
                </c:ext>
              </c:extLst>
            </c:dLbl>
            <c:dLbl>
              <c:idx val="34"/>
              <c:tx>
                <c:rich>
                  <a:bodyPr/>
                  <a:lstStyle/>
                  <a:p>
                    <a:fld id="{C0694D61-F9EE-4D9C-B482-FAB4AEFEBE37}"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9-2279-477A-ACF6-F5E796CEBEA6}"/>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A-2279-477A-ACF6-F5E796CEBEA6}"/>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B-2279-477A-ACF6-F5E796CEBEA6}"/>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C-2279-477A-ACF6-F5E796CEBEA6}"/>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D-2279-477A-ACF6-F5E796CEBEA6}"/>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E-2279-477A-ACF6-F5E796CEBEA6}"/>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F-2279-477A-ACF6-F5E796CEBEA6}"/>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0-2279-477A-ACF6-F5E796CEBEA6}"/>
                </c:ext>
              </c:extLst>
            </c:dLbl>
            <c:dLbl>
              <c:idx val="42"/>
              <c:tx>
                <c:rich>
                  <a:bodyPr/>
                  <a:lstStyle/>
                  <a:p>
                    <a:fld id="{E0EB6EF5-69C7-4830-834B-C40A3F5376CE}"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1-2279-477A-ACF6-F5E796CEBEA6}"/>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2-2279-477A-ACF6-F5E796CEBEA6}"/>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3-2279-477A-ACF6-F5E796CEBEA6}"/>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4-2279-477A-ACF6-F5E796CEBEA6}"/>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5-2279-477A-ACF6-F5E796CEBEA6}"/>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6-2279-477A-ACF6-F5E796CEBEA6}"/>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7-2279-477A-ACF6-F5E796CEBEA6}"/>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8-2279-477A-ACF6-F5E796CEBEA6}"/>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9-2279-477A-ACF6-F5E796CEBEA6}"/>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A-2279-477A-ACF6-F5E796CEBEA6}"/>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B-2279-477A-ACF6-F5E796CEBEA6}"/>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C-2279-477A-ACF6-F5E796CEBEA6}"/>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D-2279-477A-ACF6-F5E796CEBEA6}"/>
                </c:ext>
              </c:extLst>
            </c:dLbl>
            <c:dLbl>
              <c:idx val="55"/>
              <c:tx>
                <c:rich>
                  <a:bodyPr/>
                  <a:lstStyle/>
                  <a:p>
                    <a:fld id="{4BE9DB70-F68E-4E22-ADF8-2460CB9FFEB2}"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E-2279-477A-ACF6-F5E796CEBEA6}"/>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F-2279-477A-ACF6-F5E796CEBEA6}"/>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0-2279-477A-ACF6-F5E796CEBEA6}"/>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1-2279-477A-ACF6-F5E796CEBEA6}"/>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2-2279-477A-ACF6-F5E796CEBEA6}"/>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3-2279-477A-ACF6-F5E796CEBEA6}"/>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4-2279-477A-ACF6-F5E796CEBEA6}"/>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5-2279-477A-ACF6-F5E796CEBEA6}"/>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6-2279-477A-ACF6-F5E796CEBEA6}"/>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7-2279-477A-ACF6-F5E796CEBEA6}"/>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8-2279-477A-ACF6-F5E796CEBEA6}"/>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9-2279-477A-ACF6-F5E796CEBEA6}"/>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A-2279-477A-ACF6-F5E796CEBEA6}"/>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B-2279-477A-ACF6-F5E796CEBEA6}"/>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C-2279-477A-ACF6-F5E796CEBEA6}"/>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D-2279-477A-ACF6-F5E796CEBEA6}"/>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E-2279-477A-ACF6-F5E796CEBEA6}"/>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F-2279-477A-ACF6-F5E796CEBEA6}"/>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0-2279-477A-ACF6-F5E796CEBEA6}"/>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1-2279-477A-ACF6-F5E796CEBEA6}"/>
                </c:ext>
              </c:extLst>
            </c:dLbl>
            <c:dLbl>
              <c:idx val="75"/>
              <c:tx>
                <c:rich>
                  <a:bodyPr/>
                  <a:lstStyle/>
                  <a:p>
                    <a:fld id="{ADE2B2CC-D7F4-471C-98E7-840AF3CF82C6}"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A2-2279-477A-ACF6-F5E796CEBEA6}"/>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3-2279-477A-ACF6-F5E796CEBEA6}"/>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4-2279-477A-ACF6-F5E796CEBEA6}"/>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5-2279-477A-ACF6-F5E796CEBEA6}"/>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6-2279-477A-ACF6-F5E796CEBEA6}"/>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7-2279-477A-ACF6-F5E796CEBEA6}"/>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8-2279-477A-ACF6-F5E796CEBEA6}"/>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9-2279-477A-ACF6-F5E796CEBEA6}"/>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A-2279-477A-ACF6-F5E796CEBEA6}"/>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B-2279-477A-ACF6-F5E796CEBEA6}"/>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C-2279-477A-ACF6-F5E796CEBEA6}"/>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D-2279-477A-ACF6-F5E796CEBEA6}"/>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E-2279-477A-ACF6-F5E796CEBEA6}"/>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F-2279-477A-ACF6-F5E796CEBEA6}"/>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0-2279-477A-ACF6-F5E796CEBEA6}"/>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1-2279-477A-ACF6-F5E796CEBEA6}"/>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2-2279-477A-ACF6-F5E796CEBEA6}"/>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3-2279-477A-ACF6-F5E796CEBEA6}"/>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4-2279-477A-ACF6-F5E796CEBEA6}"/>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5-2279-477A-ACF6-F5E796CEBEA6}"/>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6-2279-477A-ACF6-F5E796CEBEA6}"/>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7-2279-477A-ACF6-F5E796CEBEA6}"/>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8-2279-477A-ACF6-F5E796CEBEA6}"/>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9-2279-477A-ACF6-F5E796CEBEA6}"/>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A-2279-477A-ACF6-F5E796CEBEA6}"/>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B-2279-477A-ACF6-F5E796CEBEA6}"/>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C-2279-477A-ACF6-F5E796CEBEA6}"/>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D-2279-477A-ACF6-F5E796CEBEA6}"/>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E-2279-477A-ACF6-F5E796CEBEA6}"/>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F-2279-477A-ACF6-F5E796CEBEA6}"/>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0-2279-477A-ACF6-F5E796CEBEA6}"/>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1-2279-477A-ACF6-F5E796CEBEA6}"/>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2-2279-477A-ACF6-F5E796CEBEA6}"/>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3-2279-477A-ACF6-F5E796CEBEA6}"/>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4-2279-477A-ACF6-F5E796CEBEA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B050"/>
                      </a:solidFill>
                    </a:ln>
                    <a:solidFill>
                      <a:srgbClr val="00B05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'04-07-25-Scen3-Good,24-16hr'!$A$3:$A$112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'04-07-25-Scen3-Good,24-16hr'!$AW$3:$AW$112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-216</c:v>
                </c:pt>
                <c:pt idx="22">
                  <c:v>#N/A</c:v>
                </c:pt>
                <c:pt idx="23">
                  <c:v>#N/A</c:v>
                </c:pt>
                <c:pt idx="24">
                  <c:v>#N/A</c:v>
                </c:pt>
                <c:pt idx="25">
                  <c:v>#N/A</c:v>
                </c:pt>
                <c:pt idx="26">
                  <c:v>#N/A</c:v>
                </c:pt>
                <c:pt idx="27">
                  <c:v>-216</c:v>
                </c:pt>
                <c:pt idx="28">
                  <c:v>#N/A</c:v>
                </c:pt>
                <c:pt idx="29">
                  <c:v>#N/A</c:v>
                </c:pt>
                <c:pt idx="30">
                  <c:v>#N/A</c:v>
                </c:pt>
                <c:pt idx="31">
                  <c:v>#N/A</c:v>
                </c:pt>
                <c:pt idx="32">
                  <c:v>#N/A</c:v>
                </c:pt>
                <c:pt idx="33">
                  <c:v>#N/A</c:v>
                </c:pt>
                <c:pt idx="34">
                  <c:v>-216</c:v>
                </c:pt>
                <c:pt idx="35">
                  <c:v>#N/A</c:v>
                </c:pt>
                <c:pt idx="36">
                  <c:v>#N/A</c:v>
                </c:pt>
                <c:pt idx="37">
                  <c:v>#N/A</c:v>
                </c:pt>
                <c:pt idx="38">
                  <c:v>#N/A</c:v>
                </c:pt>
                <c:pt idx="39">
                  <c:v>#N/A</c:v>
                </c:pt>
                <c:pt idx="40">
                  <c:v>#N/A</c:v>
                </c:pt>
                <c:pt idx="41">
                  <c:v>#N/A</c:v>
                </c:pt>
                <c:pt idx="42">
                  <c:v>-216</c:v>
                </c:pt>
                <c:pt idx="43">
                  <c:v>#N/A</c:v>
                </c:pt>
                <c:pt idx="44">
                  <c:v>#N/A</c:v>
                </c:pt>
                <c:pt idx="45">
                  <c:v>#N/A</c:v>
                </c:pt>
                <c:pt idx="46">
                  <c:v>#N/A</c:v>
                </c:pt>
                <c:pt idx="47">
                  <c:v>#N/A</c:v>
                </c:pt>
                <c:pt idx="48">
                  <c:v>#N/A</c:v>
                </c:pt>
                <c:pt idx="49">
                  <c:v>#N/A</c:v>
                </c:pt>
                <c:pt idx="50">
                  <c:v>#N/A</c:v>
                </c:pt>
                <c:pt idx="51">
                  <c:v>#N/A</c:v>
                </c:pt>
                <c:pt idx="52">
                  <c:v>#N/A</c:v>
                </c:pt>
                <c:pt idx="53">
                  <c:v>#N/A</c:v>
                </c:pt>
                <c:pt idx="54">
                  <c:v>#N/A</c:v>
                </c:pt>
                <c:pt idx="55">
                  <c:v>-216</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-216</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'04-07-25-Scen3-Good,24-16hr'!$AI$3:$AI$112</c15:f>
                <c15:dlblRangeCache>
                  <c:ptCount val="110"/>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20.0</c:v>
                  </c:pt>
                  <c:pt idx="22">
                    <c:v>0.0</c:v>
                  </c:pt>
                  <c:pt idx="23">
                    <c:v>0.0</c:v>
                  </c:pt>
                  <c:pt idx="24">
                    <c:v>0.0</c:v>
                  </c:pt>
                  <c:pt idx="25">
                    <c:v>0.0</c:v>
                  </c:pt>
                  <c:pt idx="26">
                    <c:v>0.0</c:v>
                  </c:pt>
                  <c:pt idx="27">
                    <c:v>20.0</c:v>
                  </c:pt>
                  <c:pt idx="28">
                    <c:v>0.0</c:v>
                  </c:pt>
                  <c:pt idx="29">
                    <c:v>0.0</c:v>
                  </c:pt>
                  <c:pt idx="30">
                    <c:v>0.0</c:v>
                  </c:pt>
                  <c:pt idx="31">
                    <c:v>0.0</c:v>
                  </c:pt>
                  <c:pt idx="32">
                    <c:v>0.0</c:v>
                  </c:pt>
                  <c:pt idx="33">
                    <c:v>0.0</c:v>
                  </c:pt>
                  <c:pt idx="34">
                    <c:v>20.0</c:v>
                  </c:pt>
                  <c:pt idx="35">
                    <c:v>0.0</c:v>
                  </c:pt>
                  <c:pt idx="36">
                    <c:v>0.0</c:v>
                  </c:pt>
                  <c:pt idx="37">
                    <c:v>0.0</c:v>
                  </c:pt>
                  <c:pt idx="38">
                    <c:v>0.0</c:v>
                  </c:pt>
                  <c:pt idx="39">
                    <c:v>0.0</c:v>
                  </c:pt>
                  <c:pt idx="40">
                    <c:v>0.0</c:v>
                  </c:pt>
                  <c:pt idx="41">
                    <c:v>0.0</c:v>
                  </c:pt>
                  <c:pt idx="42">
                    <c:v>20.0</c:v>
                  </c:pt>
                  <c:pt idx="43">
                    <c:v>0.0</c:v>
                  </c:pt>
                  <c:pt idx="44">
                    <c:v>0.0</c:v>
                  </c:pt>
                  <c:pt idx="45">
                    <c:v>0.0</c:v>
                  </c:pt>
                  <c:pt idx="46">
                    <c:v>0.0</c:v>
                  </c:pt>
                  <c:pt idx="47">
                    <c:v>0.0</c:v>
                  </c:pt>
                  <c:pt idx="48">
                    <c:v>0.0</c:v>
                  </c:pt>
                  <c:pt idx="49">
                    <c:v>0.0</c:v>
                  </c:pt>
                  <c:pt idx="50">
                    <c:v>0.0</c:v>
                  </c:pt>
                  <c:pt idx="51">
                    <c:v>0.0</c:v>
                  </c:pt>
                  <c:pt idx="52">
                    <c:v>0.0</c:v>
                  </c:pt>
                  <c:pt idx="53">
                    <c:v>0.0</c:v>
                  </c:pt>
                  <c:pt idx="54">
                    <c:v>0.0</c:v>
                  </c:pt>
                  <c:pt idx="55">
                    <c:v>20.0</c:v>
                  </c:pt>
                  <c:pt idx="56">
                    <c:v>0.0</c:v>
                  </c:pt>
                  <c:pt idx="57">
                    <c:v>0.0</c:v>
                  </c:pt>
                  <c:pt idx="58">
                    <c:v>0.0</c:v>
                  </c:pt>
                  <c:pt idx="59">
                    <c:v>0.0</c:v>
                  </c:pt>
                  <c:pt idx="60">
                    <c:v>0.0</c:v>
                  </c:pt>
                  <c:pt idx="61">
                    <c:v>0.0</c:v>
                  </c:pt>
                  <c:pt idx="62">
                    <c:v>0.0</c:v>
                  </c:pt>
                  <c:pt idx="63">
                    <c:v>0.0</c:v>
                  </c:pt>
                  <c:pt idx="64">
                    <c:v>0.0</c:v>
                  </c:pt>
                  <c:pt idx="65">
                    <c:v>0.0</c:v>
                  </c:pt>
                  <c:pt idx="66">
                    <c:v>0.0</c:v>
                  </c:pt>
                  <c:pt idx="67">
                    <c:v>0.0</c:v>
                  </c:pt>
                  <c:pt idx="68">
                    <c:v>0.0</c:v>
                  </c:pt>
                  <c:pt idx="69">
                    <c:v>0.0</c:v>
                  </c:pt>
                  <c:pt idx="70">
                    <c:v>0.0</c:v>
                  </c:pt>
                  <c:pt idx="71">
                    <c:v>0.0</c:v>
                  </c:pt>
                  <c:pt idx="72">
                    <c:v>0.0</c:v>
                  </c:pt>
                  <c:pt idx="73">
                    <c:v>0.0</c:v>
                  </c:pt>
                  <c:pt idx="74">
                    <c:v>0.0</c:v>
                  </c:pt>
                  <c:pt idx="75">
                    <c:v>9.8</c:v>
                  </c:pt>
                  <c:pt idx="76">
                    <c:v>0.0</c:v>
                  </c:pt>
                  <c:pt idx="77">
                    <c:v>0.0</c:v>
                  </c:pt>
                  <c:pt idx="78">
                    <c:v>0.0</c:v>
                  </c:pt>
                  <c:pt idx="79">
                    <c:v>0.0</c:v>
                  </c:pt>
                  <c:pt idx="80">
                    <c:v>0.0</c:v>
                  </c:pt>
                  <c:pt idx="81">
                    <c:v>0.0</c:v>
                  </c:pt>
                  <c:pt idx="82">
                    <c:v>0.0</c:v>
                  </c:pt>
                  <c:pt idx="83">
                    <c:v>0.0</c:v>
                  </c:pt>
                  <c:pt idx="84">
                    <c:v>0.0</c:v>
                  </c:pt>
                  <c:pt idx="85">
                    <c:v>0.0</c:v>
                  </c:pt>
                  <c:pt idx="86">
                    <c:v>0.0</c:v>
                  </c:pt>
                  <c:pt idx="87">
                    <c:v>0.0</c:v>
                  </c:pt>
                  <c:pt idx="88">
                    <c:v>0.0</c:v>
                  </c:pt>
                  <c:pt idx="89">
                    <c:v>0.0</c:v>
                  </c:pt>
                  <c:pt idx="90">
                    <c:v>0.0</c:v>
                  </c:pt>
                  <c:pt idx="91">
                    <c:v>0.0</c:v>
                  </c:pt>
                  <c:pt idx="92">
                    <c:v>0.0</c:v>
                  </c:pt>
                  <c:pt idx="93">
                    <c:v>0.0</c:v>
                  </c:pt>
                  <c:pt idx="94">
                    <c:v>0.0</c:v>
                  </c:pt>
                  <c:pt idx="95">
                    <c:v>0.0</c:v>
                  </c:pt>
                  <c:pt idx="96">
                    <c:v>0.0</c:v>
                  </c:pt>
                  <c:pt idx="97">
                    <c:v>0.0</c:v>
                  </c:pt>
                  <c:pt idx="98">
                    <c:v>0.0</c:v>
                  </c:pt>
                  <c:pt idx="99">
                    <c:v>0.0</c:v>
                  </c:pt>
                  <c:pt idx="100">
                    <c:v>0.0</c:v>
                  </c:pt>
                  <c:pt idx="101">
                    <c:v>0.0</c:v>
                  </c:pt>
                  <c:pt idx="102">
                    <c:v>0.0</c:v>
                  </c:pt>
                  <c:pt idx="103">
                    <c:v>0.0</c:v>
                  </c:pt>
                  <c:pt idx="104">
                    <c:v>0.0</c:v>
                  </c:pt>
                  <c:pt idx="105">
                    <c:v>0.0</c:v>
                  </c:pt>
                  <c:pt idx="106">
                    <c:v>0.0</c:v>
                  </c:pt>
                  <c:pt idx="107">
                    <c:v>0.0</c:v>
                  </c:pt>
                  <c:pt idx="108">
                    <c:v>0.0</c:v>
                  </c:pt>
                  <c:pt idx="109">
                    <c:v>0.0</c:v>
                  </c:pt>
                </c15:dlblRangeCache>
              </c15:datalabelsRange>
            </c:ext>
            <c:ext xmlns:c16="http://schemas.microsoft.com/office/drawing/2014/chart" uri="{C3380CC4-5D6E-409C-BE32-E72D297353CC}">
              <c16:uniqueId val="{000001C5-2279-477A-ACF6-F5E796CEBEA6}"/>
            </c:ext>
          </c:extLst>
        </c:ser>
        <c:dLbls>
          <c:showLegendKey val="0"/>
          <c:showVal val="0"/>
          <c:showCatName val="0"/>
          <c:showSerName val="0"/>
          <c:showPercent val="0"/>
          <c:showBubbleSize val="0"/>
        </c:dLbls>
        <c:axId val="311442800"/>
        <c:axId val="311442320"/>
      </c:scatterChart>
      <c:valAx>
        <c:axId val="31144280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dd/mm" sourceLinked="1"/>
        <c:majorTickMark val="none"/>
        <c:minorTickMark val="none"/>
        <c:tickLblPos val="nextTo"/>
        <c:spPr>
          <a:noFill/>
          <a:ln w="9525" cap="flat" cmpd="sng" algn="ctr">
            <a:solidFill>
              <a:schemeClr val="tx1">
                <a:lumMod val="25000"/>
                <a:lumOff val="7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442320"/>
        <c:crosses val="autoZero"/>
        <c:crossBetween val="midCat"/>
        <c:majorUnit val="7"/>
        <c:minorUnit val="1"/>
      </c:valAx>
      <c:valAx>
        <c:axId val="3114423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44280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Consumables</a:t>
            </a:r>
            <a:r>
              <a:rPr lang="en-GB" b="1" baseline="0"/>
              <a:t> in Camp</a:t>
            </a:r>
            <a:endParaRPr lang="en-GB" b="1"/>
          </a:p>
        </c:rich>
      </c:tx>
      <c:layout>
        <c:manualLayout>
          <c:xMode val="edge"/>
          <c:yMode val="edge"/>
          <c:x val="0.35868508257076437"/>
          <c:y val="3.8523267986456528E-2"/>
        </c:manualLayout>
      </c:layout>
      <c:overlay val="1"/>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scatterChart>
        <c:scatterStyle val="lineMarker"/>
        <c:varyColors val="0"/>
        <c:ser>
          <c:idx val="0"/>
          <c:order val="0"/>
          <c:tx>
            <c:strRef>
              <c:f>'04-07-25-Scen3-Good,24-16hr'!$AX$1</c:f>
              <c:strCache>
                <c:ptCount val="1"/>
                <c:pt idx="0">
                  <c:v>Drilling Fuel in Camp</c:v>
                </c:pt>
              </c:strCache>
            </c:strRef>
          </c:tx>
          <c:spPr>
            <a:ln w="19050" cap="rnd">
              <a:solidFill>
                <a:srgbClr val="FF0000"/>
              </a:solidFill>
              <a:round/>
            </a:ln>
            <a:effectLst/>
          </c:spPr>
          <c:marker>
            <c:symbol val="none"/>
          </c:marker>
          <c:xVal>
            <c:numRef>
              <c:f>'04-07-25-Scen3-Good,24-16hr'!$A$3:$A$112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'04-07-25-Scen3-Good,24-16hr'!$AX$3:$AX$112</c:f>
              <c:numCache>
                <c:formatCode>0</c:formatCode>
                <c:ptCount val="11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5.8396747967479676</c:v>
                </c:pt>
                <c:pt idx="15">
                  <c:v>5.6793495934959353</c:v>
                </c:pt>
                <c:pt idx="16">
                  <c:v>5.5190243902439029</c:v>
                </c:pt>
                <c:pt idx="17">
                  <c:v>5.0380487804878049</c:v>
                </c:pt>
                <c:pt idx="18">
                  <c:v>5.0380487804878049</c:v>
                </c:pt>
                <c:pt idx="19">
                  <c:v>4.5570731707317069</c:v>
                </c:pt>
                <c:pt idx="20">
                  <c:v>4.0760975609756089</c:v>
                </c:pt>
                <c:pt idx="21">
                  <c:v>3.5951219512195114</c:v>
                </c:pt>
                <c:pt idx="22">
                  <c:v>3.1141463414634138</c:v>
                </c:pt>
                <c:pt idx="23">
                  <c:v>2.6331707317073163</c:v>
                </c:pt>
                <c:pt idx="24">
                  <c:v>2.1521951219512188</c:v>
                </c:pt>
                <c:pt idx="25">
                  <c:v>2.1521951219512188</c:v>
                </c:pt>
                <c:pt idx="26">
                  <c:v>1.6712195121951212</c:v>
                </c:pt>
                <c:pt idx="27">
                  <c:v>1.1902439024390237</c:v>
                </c:pt>
                <c:pt idx="28">
                  <c:v>0.70926829268292613</c:v>
                </c:pt>
                <c:pt idx="29">
                  <c:v>0.22829268292682853</c:v>
                </c:pt>
                <c:pt idx="30">
                  <c:v>5.7473170731707306</c:v>
                </c:pt>
                <c:pt idx="31">
                  <c:v>5.2663414634146326</c:v>
                </c:pt>
                <c:pt idx="32">
                  <c:v>5.2663414634146326</c:v>
                </c:pt>
                <c:pt idx="33">
                  <c:v>4.7853658536585346</c:v>
                </c:pt>
                <c:pt idx="34">
                  <c:v>4.3043902439024366</c:v>
                </c:pt>
                <c:pt idx="35">
                  <c:v>3.8234146341463391</c:v>
                </c:pt>
                <c:pt idx="36">
                  <c:v>3.3424390243902415</c:v>
                </c:pt>
                <c:pt idx="37">
                  <c:v>2.861463414634144</c:v>
                </c:pt>
                <c:pt idx="38">
                  <c:v>2.3804878048780465</c:v>
                </c:pt>
                <c:pt idx="39">
                  <c:v>2.3804878048780465</c:v>
                </c:pt>
                <c:pt idx="40">
                  <c:v>1.8995121951219489</c:v>
                </c:pt>
                <c:pt idx="41">
                  <c:v>1.4185365853658514</c:v>
                </c:pt>
                <c:pt idx="42">
                  <c:v>0.93756097560975382</c:v>
                </c:pt>
                <c:pt idx="43">
                  <c:v>0.93756097560975382</c:v>
                </c:pt>
                <c:pt idx="44">
                  <c:v>0.45658536585365622</c:v>
                </c:pt>
                <c:pt idx="45">
                  <c:v>5.9756097560975583</c:v>
                </c:pt>
                <c:pt idx="46">
                  <c:v>5.6549593495934936</c:v>
                </c:pt>
                <c:pt idx="47">
                  <c:v>5.3343089430894288</c:v>
                </c:pt>
                <c:pt idx="48">
                  <c:v>5.0136585365853641</c:v>
                </c:pt>
                <c:pt idx="49">
                  <c:v>5.0136585365853641</c:v>
                </c:pt>
                <c:pt idx="50">
                  <c:v>4.6930081300812994</c:v>
                </c:pt>
                <c:pt idx="51">
                  <c:v>4.3723577235772346</c:v>
                </c:pt>
                <c:pt idx="52">
                  <c:v>4.0517073170731699</c:v>
                </c:pt>
                <c:pt idx="53">
                  <c:v>4.0517073170731699</c:v>
                </c:pt>
                <c:pt idx="54">
                  <c:v>3.7310569105691047</c:v>
                </c:pt>
                <c:pt idx="55">
                  <c:v>3.4104065040650395</c:v>
                </c:pt>
                <c:pt idx="56">
                  <c:v>3.0897560975609744</c:v>
                </c:pt>
                <c:pt idx="57">
                  <c:v>2.7691056910569092</c:v>
                </c:pt>
                <c:pt idx="58">
                  <c:v>2.448455284552844</c:v>
                </c:pt>
                <c:pt idx="59">
                  <c:v>2.1278048780487788</c:v>
                </c:pt>
                <c:pt idx="60">
                  <c:v>2.1278048780487788</c:v>
                </c:pt>
                <c:pt idx="61">
                  <c:v>1.8071544715447136</c:v>
                </c:pt>
                <c:pt idx="62">
                  <c:v>1.4865040650406485</c:v>
                </c:pt>
                <c:pt idx="63">
                  <c:v>0.90113821138211181</c:v>
                </c:pt>
                <c:pt idx="64">
                  <c:v>0.31577235772357515</c:v>
                </c:pt>
                <c:pt idx="65">
                  <c:v>5.7304065040650389</c:v>
                </c:pt>
                <c:pt idx="66">
                  <c:v>5.1450406504065018</c:v>
                </c:pt>
                <c:pt idx="67">
                  <c:v>4.5596747967479647</c:v>
                </c:pt>
                <c:pt idx="68">
                  <c:v>4.2669918699186962</c:v>
                </c:pt>
                <c:pt idx="69">
                  <c:v>4.2669918699186962</c:v>
                </c:pt>
                <c:pt idx="70">
                  <c:v>4.2669918699186962</c:v>
                </c:pt>
                <c:pt idx="71">
                  <c:v>4.2669918699186962</c:v>
                </c:pt>
                <c:pt idx="72">
                  <c:v>4.2669918699186962</c:v>
                </c:pt>
                <c:pt idx="73">
                  <c:v>4.2669918699186962</c:v>
                </c:pt>
                <c:pt idx="74">
                  <c:v>4.2669918699186962</c:v>
                </c:pt>
                <c:pt idx="75">
                  <c:v>4.2669918699186962</c:v>
                </c:pt>
                <c:pt idx="76">
                  <c:v>4.2669918699186962</c:v>
                </c:pt>
                <c:pt idx="77">
                  <c:v>4.2669918699186962</c:v>
                </c:pt>
                <c:pt idx="78">
                  <c:v>4.2669918699186962</c:v>
                </c:pt>
                <c:pt idx="79">
                  <c:v>4.2669918699186962</c:v>
                </c:pt>
                <c:pt idx="80">
                  <c:v>4.2669918699186962</c:v>
                </c:pt>
                <c:pt idx="81">
                  <c:v>4.2669918699186962</c:v>
                </c:pt>
                <c:pt idx="82">
                  <c:v>4.2669918699186962</c:v>
                </c:pt>
                <c:pt idx="83">
                  <c:v>4.2669918699186962</c:v>
                </c:pt>
                <c:pt idx="84">
                  <c:v>4.2669918699186962</c:v>
                </c:pt>
                <c:pt idx="85">
                  <c:v>4.2669918699186962</c:v>
                </c:pt>
                <c:pt idx="86">
                  <c:v>4.2669918699186962</c:v>
                </c:pt>
                <c:pt idx="87">
                  <c:v>4.2669918699186962</c:v>
                </c:pt>
                <c:pt idx="88">
                  <c:v>4.2669918699186962</c:v>
                </c:pt>
                <c:pt idx="89">
                  <c:v>4.2669918699186962</c:v>
                </c:pt>
                <c:pt idx="90">
                  <c:v>4.2669918699186962</c:v>
                </c:pt>
                <c:pt idx="91">
                  <c:v>4.2669918699186962</c:v>
                </c:pt>
                <c:pt idx="92">
                  <c:v>4.2669918699186962</c:v>
                </c:pt>
                <c:pt idx="93">
                  <c:v>4.2669918699186962</c:v>
                </c:pt>
                <c:pt idx="94">
                  <c:v>4.2669918699186962</c:v>
                </c:pt>
                <c:pt idx="95">
                  <c:v>4.2669918699186962</c:v>
                </c:pt>
                <c:pt idx="96">
                  <c:v>4.2669918699186962</c:v>
                </c:pt>
                <c:pt idx="97">
                  <c:v>4.2669918699186962</c:v>
                </c:pt>
                <c:pt idx="98">
                  <c:v>4.2669918699186962</c:v>
                </c:pt>
                <c:pt idx="99">
                  <c:v>4.2669918699186962</c:v>
                </c:pt>
                <c:pt idx="100">
                  <c:v>4.2669918699186962</c:v>
                </c:pt>
                <c:pt idx="101">
                  <c:v>4.2669918699186962</c:v>
                </c:pt>
                <c:pt idx="102">
                  <c:v>4.2669918699186962</c:v>
                </c:pt>
                <c:pt idx="103">
                  <c:v>4.2669918699186962</c:v>
                </c:pt>
                <c:pt idx="104">
                  <c:v>4.2669918699186962</c:v>
                </c:pt>
                <c:pt idx="105">
                  <c:v>4.2669918699186962</c:v>
                </c:pt>
                <c:pt idx="106">
                  <c:v>4.2669918699186962</c:v>
                </c:pt>
                <c:pt idx="107">
                  <c:v>4.2669918699186962</c:v>
                </c:pt>
                <c:pt idx="108">
                  <c:v>4.2669918699186962</c:v>
                </c:pt>
                <c:pt idx="109">
                  <c:v>4.2669918699186962</c:v>
                </c:pt>
              </c:numCache>
            </c:numRef>
          </c:yVal>
          <c:smooth val="0"/>
          <c:extLst>
            <c:ext xmlns:c16="http://schemas.microsoft.com/office/drawing/2014/chart" uri="{C3380CC4-5D6E-409C-BE32-E72D297353CC}">
              <c16:uniqueId val="{00000014-1219-49B8-A207-FAD34D6B6A76}"/>
            </c:ext>
          </c:extLst>
        </c:ser>
        <c:ser>
          <c:idx val="1"/>
          <c:order val="1"/>
          <c:tx>
            <c:strRef>
              <c:f>'04-07-25-Scen3-Good,24-16hr'!$AY$1</c:f>
              <c:strCache>
                <c:ptCount val="1"/>
                <c:pt idx="0">
                  <c:v>D60 in Camp (excl Borehole)</c:v>
                </c:pt>
              </c:strCache>
            </c:strRef>
          </c:tx>
          <c:spPr>
            <a:ln w="19050" cap="rnd">
              <a:solidFill>
                <a:schemeClr val="tx2">
                  <a:lumMod val="50000"/>
                  <a:lumOff val="50000"/>
                </a:schemeClr>
              </a:solidFill>
              <a:round/>
            </a:ln>
            <a:effectLst/>
          </c:spPr>
          <c:marker>
            <c:symbol val="none"/>
          </c:marker>
          <c:xVal>
            <c:numRef>
              <c:f>'04-07-25-Scen3-Good,24-16hr'!$A$3:$A$112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'04-07-25-Scen3-Good,24-16hr'!$AY$3:$AY$112</c:f>
              <c:numCache>
                <c:formatCode>0</c:formatCode>
                <c:ptCount val="110"/>
                <c:pt idx="0">
                  <c:v>4</c:v>
                </c:pt>
                <c:pt idx="1">
                  <c:v>4</c:v>
                </c:pt>
                <c:pt idx="2">
                  <c:v>4</c:v>
                </c:pt>
                <c:pt idx="3">
                  <c:v>4</c:v>
                </c:pt>
                <c:pt idx="4">
                  <c:v>4</c:v>
                </c:pt>
                <c:pt idx="5">
                  <c:v>4</c:v>
                </c:pt>
                <c:pt idx="6">
                  <c:v>4</c:v>
                </c:pt>
                <c:pt idx="7">
                  <c:v>4</c:v>
                </c:pt>
                <c:pt idx="8">
                  <c:v>4</c:v>
                </c:pt>
                <c:pt idx="9">
                  <c:v>4</c:v>
                </c:pt>
                <c:pt idx="10">
                  <c:v>4</c:v>
                </c:pt>
                <c:pt idx="11">
                  <c:v>4</c:v>
                </c:pt>
                <c:pt idx="12">
                  <c:v>4</c:v>
                </c:pt>
                <c:pt idx="13">
                  <c:v>4</c:v>
                </c:pt>
                <c:pt idx="14">
                  <c:v>4</c:v>
                </c:pt>
                <c:pt idx="15">
                  <c:v>3.36598575811509</c:v>
                </c:pt>
                <c:pt idx="16">
                  <c:v>2.7308059103965605</c:v>
                </c:pt>
                <c:pt idx="17">
                  <c:v>0.88063953537515527</c:v>
                </c:pt>
                <c:pt idx="18">
                  <c:v>0.88063953537515527</c:v>
                </c:pt>
                <c:pt idx="19">
                  <c:v>5.1057042289417556</c:v>
                </c:pt>
                <c:pt idx="20">
                  <c:v>3.3975070835227861</c:v>
                </c:pt>
                <c:pt idx="21">
                  <c:v>1.7490422094902911</c:v>
                </c:pt>
                <c:pt idx="22">
                  <c:v>0.15444990529254099</c:v>
                </c:pt>
                <c:pt idx="23">
                  <c:v>4.6087701379776735</c:v>
                </c:pt>
                <c:pt idx="24">
                  <c:v>3.1077602736037715</c:v>
                </c:pt>
                <c:pt idx="25">
                  <c:v>3.1077602736037715</c:v>
                </c:pt>
                <c:pt idx="26">
                  <c:v>1.6477577042985594</c:v>
                </c:pt>
                <c:pt idx="27">
                  <c:v>0.22557455265660664</c:v>
                </c:pt>
                <c:pt idx="28">
                  <c:v>4.8384157477139773</c:v>
                </c:pt>
                <c:pt idx="29">
                  <c:v>3.4838144284861059</c:v>
                </c:pt>
                <c:pt idx="30">
                  <c:v>2.1595803957419584</c:v>
                </c:pt>
                <c:pt idx="31">
                  <c:v>0.86375852829310418</c:v>
                </c:pt>
                <c:pt idx="32">
                  <c:v>0.86375852829309707</c:v>
                </c:pt>
                <c:pt idx="33">
                  <c:v>5.5945949060555549</c:v>
                </c:pt>
                <c:pt idx="34">
                  <c:v>4.3505089629003777</c:v>
                </c:pt>
                <c:pt idx="35">
                  <c:v>3.1300704072279864</c:v>
                </c:pt>
                <c:pt idx="36">
                  <c:v>1.9319799489917386</c:v>
                </c:pt>
                <c:pt idx="37">
                  <c:v>0.75505309288308453</c:v>
                </c:pt>
                <c:pt idx="38">
                  <c:v>5.5982064217532717</c:v>
                </c:pt>
                <c:pt idx="39">
                  <c:v>5.5982064217532717</c:v>
                </c:pt>
                <c:pt idx="40">
                  <c:v>4.4604459179876521</c:v>
                </c:pt>
                <c:pt idx="41">
                  <c:v>3.3408569645377533</c:v>
                </c:pt>
                <c:pt idx="42">
                  <c:v>2.2385957394643512</c:v>
                </c:pt>
                <c:pt idx="43">
                  <c:v>2.2385957394643512</c:v>
                </c:pt>
                <c:pt idx="44">
                  <c:v>1.1528817737315151</c:v>
                </c:pt>
                <c:pt idx="45">
                  <c:v>8.2991485649849039E-2</c:v>
                </c:pt>
                <c:pt idx="46">
                  <c:v>5.3781882525437013</c:v>
                </c:pt>
                <c:pt idx="47">
                  <c:v>4.6799304056170143</c:v>
                </c:pt>
                <c:pt idx="48">
                  <c:v>3.9880389050922744</c:v>
                </c:pt>
                <c:pt idx="49">
                  <c:v>3.9880389050922744</c:v>
                </c:pt>
                <c:pt idx="50">
                  <c:v>3.3023427276332171</c:v>
                </c:pt>
                <c:pt idx="51">
                  <c:v>2.6226783726606371</c:v>
                </c:pt>
                <c:pt idx="52">
                  <c:v>1.948889407083378</c:v>
                </c:pt>
                <c:pt idx="53">
                  <c:v>1.948889407083378</c:v>
                </c:pt>
                <c:pt idx="54">
                  <c:v>1.2808260448528515</c:v>
                </c:pt>
                <c:pt idx="55">
                  <c:v>0.61834475814002587</c:v>
                </c:pt>
                <c:pt idx="56">
                  <c:v>5.961307917275434</c:v>
                </c:pt>
                <c:pt idx="57">
                  <c:v>5.3095834568938187</c:v>
                </c:pt>
                <c:pt idx="58">
                  <c:v>4.6630445659893596</c:v>
                </c:pt>
                <c:pt idx="59">
                  <c:v>4.0215693998212814</c:v>
                </c:pt>
                <c:pt idx="60">
                  <c:v>4.0215693998212814</c:v>
                </c:pt>
                <c:pt idx="61">
                  <c:v>3.3850408118159763</c:v>
                </c:pt>
                <c:pt idx="62">
                  <c:v>2.753346103795181</c:v>
                </c:pt>
                <c:pt idx="63">
                  <c:v>13.51754479997053</c:v>
                </c:pt>
                <c:pt idx="64">
                  <c:v>21.981623778535052</c:v>
                </c:pt>
                <c:pt idx="65">
                  <c:v>28.56497594691243</c:v>
                </c:pt>
                <c:pt idx="66">
                  <c:v>34.145858316395092</c:v>
                </c:pt>
                <c:pt idx="67">
                  <c:v>39.077710150743293</c:v>
                </c:pt>
                <c:pt idx="68">
                  <c:v>41.361355073122482</c:v>
                </c:pt>
                <c:pt idx="69">
                  <c:v>41.361355073122482</c:v>
                </c:pt>
                <c:pt idx="70">
                  <c:v>41.361355073122482</c:v>
                </c:pt>
                <c:pt idx="71">
                  <c:v>41.361355073122482</c:v>
                </c:pt>
                <c:pt idx="72">
                  <c:v>41.361355073122482</c:v>
                </c:pt>
                <c:pt idx="73">
                  <c:v>41.361355073122482</c:v>
                </c:pt>
                <c:pt idx="74">
                  <c:v>41.361355073122482</c:v>
                </c:pt>
                <c:pt idx="75">
                  <c:v>41.361355073122482</c:v>
                </c:pt>
                <c:pt idx="76">
                  <c:v>41.361355073122482</c:v>
                </c:pt>
                <c:pt idx="77">
                  <c:v>41.361355073122482</c:v>
                </c:pt>
                <c:pt idx="78">
                  <c:v>41.361355073122482</c:v>
                </c:pt>
                <c:pt idx="79">
                  <c:v>41.361355073122482</c:v>
                </c:pt>
                <c:pt idx="80">
                  <c:v>41.361355073122482</c:v>
                </c:pt>
                <c:pt idx="81">
                  <c:v>41.361355073122482</c:v>
                </c:pt>
                <c:pt idx="82">
                  <c:v>41.361355073122482</c:v>
                </c:pt>
                <c:pt idx="83">
                  <c:v>41.361355073122482</c:v>
                </c:pt>
                <c:pt idx="84">
                  <c:v>41.361355073122482</c:v>
                </c:pt>
                <c:pt idx="85">
                  <c:v>41.361355073122482</c:v>
                </c:pt>
                <c:pt idx="86">
                  <c:v>41.361355073122482</c:v>
                </c:pt>
                <c:pt idx="87">
                  <c:v>41.361355073122482</c:v>
                </c:pt>
                <c:pt idx="88">
                  <c:v>41.361355073122482</c:v>
                </c:pt>
                <c:pt idx="89">
                  <c:v>41.361355073122482</c:v>
                </c:pt>
                <c:pt idx="90">
                  <c:v>41.361355073122482</c:v>
                </c:pt>
                <c:pt idx="91">
                  <c:v>41.361355073122482</c:v>
                </c:pt>
                <c:pt idx="92">
                  <c:v>41.361355073122482</c:v>
                </c:pt>
                <c:pt idx="93">
                  <c:v>41.361355073122482</c:v>
                </c:pt>
                <c:pt idx="94">
                  <c:v>41.361355073122482</c:v>
                </c:pt>
                <c:pt idx="95">
                  <c:v>41.361355073122482</c:v>
                </c:pt>
                <c:pt idx="96">
                  <c:v>41.361355073122482</c:v>
                </c:pt>
                <c:pt idx="97">
                  <c:v>41.361355073122482</c:v>
                </c:pt>
                <c:pt idx="98">
                  <c:v>41.361355073122482</c:v>
                </c:pt>
                <c:pt idx="99">
                  <c:v>41.361355073122482</c:v>
                </c:pt>
                <c:pt idx="100">
                  <c:v>41.361355073122482</c:v>
                </c:pt>
                <c:pt idx="101">
                  <c:v>41.361355073122482</c:v>
                </c:pt>
                <c:pt idx="102">
                  <c:v>41.361355073122482</c:v>
                </c:pt>
                <c:pt idx="103">
                  <c:v>41.361355073122482</c:v>
                </c:pt>
                <c:pt idx="104">
                  <c:v>41.361355073122482</c:v>
                </c:pt>
                <c:pt idx="105">
                  <c:v>41.361355073122482</c:v>
                </c:pt>
                <c:pt idx="106">
                  <c:v>41.361355073122482</c:v>
                </c:pt>
                <c:pt idx="107">
                  <c:v>41.361355073122482</c:v>
                </c:pt>
                <c:pt idx="108">
                  <c:v>41.361355073122482</c:v>
                </c:pt>
                <c:pt idx="109">
                  <c:v>41.361355073122482</c:v>
                </c:pt>
              </c:numCache>
            </c:numRef>
          </c:yVal>
          <c:smooth val="0"/>
          <c:extLst>
            <c:ext xmlns:c16="http://schemas.microsoft.com/office/drawing/2014/chart" uri="{C3380CC4-5D6E-409C-BE32-E72D297353CC}">
              <c16:uniqueId val="{00000015-1219-49B8-A207-FAD34D6B6A76}"/>
            </c:ext>
          </c:extLst>
        </c:ser>
        <c:dLbls>
          <c:showLegendKey val="0"/>
          <c:showVal val="0"/>
          <c:showCatName val="0"/>
          <c:showSerName val="0"/>
          <c:showPercent val="0"/>
          <c:showBubbleSize val="0"/>
        </c:dLbls>
        <c:axId val="980558687"/>
        <c:axId val="980561087"/>
      </c:scatterChart>
      <c:scatterChart>
        <c:scatterStyle val="lineMarker"/>
        <c:varyColors val="0"/>
        <c:ser>
          <c:idx val="2"/>
          <c:order val="2"/>
          <c:tx>
            <c:strRef>
              <c:f>'04-07-25-Scen3-Good,24-16hr'!$AZ$1</c:f>
              <c:strCache>
                <c:ptCount val="1"/>
                <c:pt idx="0">
                  <c:v>Filled Core Boxes in Camp</c:v>
                </c:pt>
              </c:strCache>
            </c:strRef>
          </c:tx>
          <c:spPr>
            <a:ln w="19050" cap="rnd">
              <a:solidFill>
                <a:srgbClr val="00B050"/>
              </a:solidFill>
              <a:round/>
            </a:ln>
            <a:effectLst/>
          </c:spPr>
          <c:marker>
            <c:symbol val="none"/>
          </c:marker>
          <c:xVal>
            <c:numRef>
              <c:f>'04-07-25-Scen3-Good,24-16hr'!$A$3:$A$112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'04-07-25-Scen3-Good,24-16hr'!$AZ$3:$AZ$112</c:f>
              <c:numCache>
                <c:formatCode>0</c:formatCode>
                <c:ptCount val="11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1.6388869864316742</c:v>
                </c:pt>
                <c:pt idx="15">
                  <c:v>3.251702271378941</c:v>
                </c:pt>
                <c:pt idx="16">
                  <c:v>4.8396518906752659</c:v>
                </c:pt>
                <c:pt idx="17">
                  <c:v>9.4650678282287775</c:v>
                </c:pt>
                <c:pt idx="18">
                  <c:v>9.4650678282287775</c:v>
                </c:pt>
                <c:pt idx="19">
                  <c:v>13.902406094312278</c:v>
                </c:pt>
                <c:pt idx="20">
                  <c:v>18.172898957859701</c:v>
                </c:pt>
                <c:pt idx="21">
                  <c:v>22.294061142940937</c:v>
                </c:pt>
                <c:pt idx="22">
                  <c:v>6.2805419034353172</c:v>
                </c:pt>
                <c:pt idx="23">
                  <c:v>10.144741321722481</c:v>
                </c:pt>
                <c:pt idx="24">
                  <c:v>13.897265982657238</c:v>
                </c:pt>
                <c:pt idx="25">
                  <c:v>13.897265982657238</c:v>
                </c:pt>
                <c:pt idx="26">
                  <c:v>17.547272405920268</c:v>
                </c:pt>
                <c:pt idx="27">
                  <c:v>21.102730285025153</c:v>
                </c:pt>
                <c:pt idx="28">
                  <c:v>4.5706272973817192</c:v>
                </c:pt>
                <c:pt idx="29">
                  <c:v>7.957130595451396</c:v>
                </c:pt>
                <c:pt idx="30">
                  <c:v>11.26771567731177</c:v>
                </c:pt>
                <c:pt idx="31">
                  <c:v>14.507270345933904</c:v>
                </c:pt>
                <c:pt idx="32">
                  <c:v>14.507270345933925</c:v>
                </c:pt>
                <c:pt idx="33">
                  <c:v>17.680179401527774</c:v>
                </c:pt>
                <c:pt idx="34">
                  <c:v>20.790394259415727</c:v>
                </c:pt>
                <c:pt idx="35">
                  <c:v>3.8414906485967037</c:v>
                </c:pt>
                <c:pt idx="36">
                  <c:v>6.8367167941873248</c:v>
                </c:pt>
                <c:pt idx="37">
                  <c:v>9.7790339344589512</c:v>
                </c:pt>
                <c:pt idx="38">
                  <c:v>12.671150612283483</c:v>
                </c:pt>
                <c:pt idx="39">
                  <c:v>12.671150612283483</c:v>
                </c:pt>
                <c:pt idx="40">
                  <c:v>15.515551871697539</c:v>
                </c:pt>
                <c:pt idx="41">
                  <c:v>18.314524255322283</c:v>
                </c:pt>
                <c:pt idx="42">
                  <c:v>21.07017731800579</c:v>
                </c:pt>
                <c:pt idx="43">
                  <c:v>1.0701773180057899</c:v>
                </c:pt>
                <c:pt idx="44">
                  <c:v>3.7844622323378871</c:v>
                </c:pt>
                <c:pt idx="45">
                  <c:v>6.4591879525420381</c:v>
                </c:pt>
                <c:pt idx="46">
                  <c:v>8.2211960353074147</c:v>
                </c:pt>
                <c:pt idx="47">
                  <c:v>9.9668406526241284</c:v>
                </c:pt>
                <c:pt idx="48">
                  <c:v>11.696569403935982</c:v>
                </c:pt>
                <c:pt idx="49">
                  <c:v>11.696569403935982</c:v>
                </c:pt>
                <c:pt idx="50">
                  <c:v>13.410809847583621</c:v>
                </c:pt>
                <c:pt idx="51">
                  <c:v>15.109970735015068</c:v>
                </c:pt>
                <c:pt idx="52">
                  <c:v>16.794443148958223</c:v>
                </c:pt>
                <c:pt idx="53">
                  <c:v>16.794443148958223</c:v>
                </c:pt>
                <c:pt idx="54">
                  <c:v>18.464601554534525</c:v>
                </c:pt>
                <c:pt idx="55">
                  <c:v>20.1208047713166</c:v>
                </c:pt>
                <c:pt idx="56">
                  <c:v>1.7633968734780865</c:v>
                </c:pt>
                <c:pt idx="57">
                  <c:v>3.3927080244321246</c:v>
                </c:pt>
                <c:pt idx="58">
                  <c:v>5.0090552516932689</c:v>
                </c:pt>
                <c:pt idx="59">
                  <c:v>6.6127431671134644</c:v>
                </c:pt>
                <c:pt idx="60">
                  <c:v>6.6127431671134644</c:v>
                </c:pt>
                <c:pt idx="61">
                  <c:v>8.2040646371267343</c:v>
                </c:pt>
                <c:pt idx="62">
                  <c:v>9.7833014071787119</c:v>
                </c:pt>
                <c:pt idx="63">
                  <c:v>9.7833014071787119</c:v>
                </c:pt>
                <c:pt idx="64">
                  <c:v>9.7833014071787119</c:v>
                </c:pt>
                <c:pt idx="65">
                  <c:v>9.7833014071787119</c:v>
                </c:pt>
                <c:pt idx="66">
                  <c:v>9.7833014071787119</c:v>
                </c:pt>
                <c:pt idx="67">
                  <c:v>9.7833014071787119</c:v>
                </c:pt>
                <c:pt idx="68">
                  <c:v>9.7833014071787119</c:v>
                </c:pt>
                <c:pt idx="69">
                  <c:v>9.7833014071787119</c:v>
                </c:pt>
                <c:pt idx="70">
                  <c:v>9.7833014071787119</c:v>
                </c:pt>
                <c:pt idx="71">
                  <c:v>9.7833014071787119</c:v>
                </c:pt>
                <c:pt idx="72">
                  <c:v>9.7833014071787119</c:v>
                </c:pt>
                <c:pt idx="73">
                  <c:v>9.7833014071787119</c:v>
                </c:pt>
                <c:pt idx="74">
                  <c:v>9.7833014071787119</c:v>
                </c:pt>
                <c:pt idx="75">
                  <c:v>9.7833014071787119</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numCache>
            </c:numRef>
          </c:yVal>
          <c:smooth val="0"/>
          <c:extLst>
            <c:ext xmlns:c16="http://schemas.microsoft.com/office/drawing/2014/chart" uri="{C3380CC4-5D6E-409C-BE32-E72D297353CC}">
              <c16:uniqueId val="{00000016-1219-49B8-A207-FAD34D6B6A76}"/>
            </c:ext>
          </c:extLst>
        </c:ser>
        <c:dLbls>
          <c:showLegendKey val="0"/>
          <c:showVal val="0"/>
          <c:showCatName val="0"/>
          <c:showSerName val="0"/>
          <c:showPercent val="0"/>
          <c:showBubbleSize val="0"/>
        </c:dLbls>
        <c:axId val="1374332383"/>
        <c:axId val="1374338623"/>
      </c:scatterChart>
      <c:valAx>
        <c:axId val="980558687"/>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dd/mm" sourceLinked="1"/>
        <c:majorTickMark val="none"/>
        <c:minorTickMark val="none"/>
        <c:tickLblPos val="nextTo"/>
        <c:spPr>
          <a:noFill/>
          <a:ln w="9525" cap="flat" cmpd="sng" algn="ctr">
            <a:solidFill>
              <a:schemeClr val="tx1">
                <a:lumMod val="25000"/>
                <a:lumOff val="7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561087"/>
        <c:crosses val="autoZero"/>
        <c:crossBetween val="midCat"/>
        <c:majorUnit val="7"/>
        <c:minorUnit val="1"/>
      </c:valAx>
      <c:valAx>
        <c:axId val="980561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Drums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558687"/>
        <c:crosses val="autoZero"/>
        <c:crossBetween val="midCat"/>
      </c:valAx>
      <c:valAx>
        <c:axId val="1374338623"/>
        <c:scaling>
          <c:orientation val="minMax"/>
          <c:min val="0"/>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Core</a:t>
                </a:r>
                <a:r>
                  <a:rPr lang="en-GB" baseline="0"/>
                  <a:t> Boxes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332383"/>
        <c:crosses val="max"/>
        <c:crossBetween val="midCat"/>
      </c:valAx>
      <c:valAx>
        <c:axId val="1374332383"/>
        <c:scaling>
          <c:orientation val="minMax"/>
        </c:scaling>
        <c:delete val="1"/>
        <c:axPos val="b"/>
        <c:numFmt formatCode="dd/mm" sourceLinked="1"/>
        <c:majorTickMark val="out"/>
        <c:minorTickMark val="none"/>
        <c:tickLblPos val="nextTo"/>
        <c:crossAx val="13743386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Drilling Progress &amp; Required</a:t>
            </a:r>
            <a:r>
              <a:rPr lang="en-GB" b="1" baseline="0"/>
              <a:t> Inputs</a:t>
            </a:r>
            <a:endParaRPr lang="en-GB" b="1"/>
          </a:p>
        </c:rich>
      </c:tx>
      <c:layout>
        <c:manualLayout>
          <c:xMode val="edge"/>
          <c:yMode val="edge"/>
          <c:x val="0.32371889389769276"/>
          <c:y val="0.89906318088500958"/>
        </c:manualLayout>
      </c:layout>
      <c:overlay val="1"/>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scatterChart>
        <c:scatterStyle val="lineMarker"/>
        <c:varyColors val="0"/>
        <c:ser>
          <c:idx val="0"/>
          <c:order val="0"/>
          <c:tx>
            <c:strRef>
              <c:f>'04-07-25-Scen4-ExFrontloadCargo'!$AL$1</c:f>
              <c:strCache>
                <c:ptCount val="1"/>
                <c:pt idx="0">
                  <c:v>End of Day Drill Depth</c:v>
                </c:pt>
              </c:strCache>
            </c:strRef>
          </c:tx>
          <c:spPr>
            <a:ln w="19050" cap="rnd">
              <a:solidFill>
                <a:srgbClr val="00B050"/>
              </a:solidFill>
              <a:round/>
            </a:ln>
            <a:effectLst/>
          </c:spPr>
          <c:marker>
            <c:symbol val="none"/>
          </c:marker>
          <c:xVal>
            <c:numRef>
              <c:f>'04-07-25-Scen4-ExFrontloadCargo'!$A$3:$A$112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'04-07-25-Scen4-ExFrontloadCargo'!$AL$3:$AL$112</c:f>
              <c:numCache>
                <c:formatCode>0.00</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-70</c:v>
                </c:pt>
                <c:pt idx="14">
                  <c:v>-79.833321918590045</c:v>
                </c:pt>
                <c:pt idx="15">
                  <c:v>-89.510213628273647</c:v>
                </c:pt>
                <c:pt idx="16">
                  <c:v>-99.037911344051594</c:v>
                </c:pt>
                <c:pt idx="17">
                  <c:v>-126.79040696937267</c:v>
                </c:pt>
                <c:pt idx="18">
                  <c:v>-126.79040696937267</c:v>
                </c:pt>
                <c:pt idx="19">
                  <c:v>-153.41443656587367</c:v>
                </c:pt>
                <c:pt idx="20">
                  <c:v>-179.03739374715821</c:v>
                </c:pt>
                <c:pt idx="21">
                  <c:v>-203.76436685764563</c:v>
                </c:pt>
                <c:pt idx="22">
                  <c:v>-227.6832514206119</c:v>
                </c:pt>
                <c:pt idx="23">
                  <c:v>-250.8684479303349</c:v>
                </c:pt>
                <c:pt idx="24">
                  <c:v>-273.38359589594342</c:v>
                </c:pt>
                <c:pt idx="25">
                  <c:v>-273.38359589594342</c:v>
                </c:pt>
                <c:pt idx="26">
                  <c:v>-295.28363443552161</c:v>
                </c:pt>
                <c:pt idx="27">
                  <c:v>-316.6163817101509</c:v>
                </c:pt>
                <c:pt idx="28">
                  <c:v>-337.42376378429032</c:v>
                </c:pt>
                <c:pt idx="29">
                  <c:v>-357.74278357270839</c:v>
                </c:pt>
                <c:pt idx="30">
                  <c:v>-377.60629406387062</c:v>
                </c:pt>
                <c:pt idx="31">
                  <c:v>-397.04362207560342</c:v>
                </c:pt>
                <c:pt idx="32">
                  <c:v>-397.04362207560354</c:v>
                </c:pt>
                <c:pt idx="33">
                  <c:v>-416.08107640916666</c:v>
                </c:pt>
                <c:pt idx="34">
                  <c:v>-434.74236555649435</c:v>
                </c:pt>
                <c:pt idx="35">
                  <c:v>-453.04894389158022</c:v>
                </c:pt>
                <c:pt idx="36">
                  <c:v>-471.02030076512392</c:v>
                </c:pt>
                <c:pt idx="37">
                  <c:v>-488.67420360675374</c:v>
                </c:pt>
                <c:pt idx="38">
                  <c:v>-506.02690367370093</c:v>
                </c:pt>
                <c:pt idx="39">
                  <c:v>-506.02690367370093</c:v>
                </c:pt>
                <c:pt idx="40">
                  <c:v>-523.09331123018524</c:v>
                </c:pt>
                <c:pt idx="41">
                  <c:v>-539.8871455319337</c:v>
                </c:pt>
                <c:pt idx="42">
                  <c:v>-556.42106390803474</c:v>
                </c:pt>
                <c:pt idx="43">
                  <c:v>-556.42106390803474</c:v>
                </c:pt>
                <c:pt idx="44">
                  <c:v>-572.70677339402732</c:v>
                </c:pt>
                <c:pt idx="45">
                  <c:v>-588.75512771525223</c:v>
                </c:pt>
                <c:pt idx="46">
                  <c:v>-599.32717621184452</c:v>
                </c:pt>
                <c:pt idx="47">
                  <c:v>-609.8010439157448</c:v>
                </c:pt>
                <c:pt idx="48">
                  <c:v>-620.17941642361586</c:v>
                </c:pt>
                <c:pt idx="49">
                  <c:v>-620.17941642361586</c:v>
                </c:pt>
                <c:pt idx="50">
                  <c:v>-630.46485908550176</c:v>
                </c:pt>
                <c:pt idx="51">
                  <c:v>-640.65982441009044</c:v>
                </c:pt>
                <c:pt idx="52">
                  <c:v>-650.76665889374931</c:v>
                </c:pt>
                <c:pt idx="53">
                  <c:v>-650.76665889374931</c:v>
                </c:pt>
                <c:pt idx="54">
                  <c:v>-660.78760932720718</c:v>
                </c:pt>
                <c:pt idx="55">
                  <c:v>-670.72482862789957</c:v>
                </c:pt>
                <c:pt idx="56">
                  <c:v>-680.58038124086852</c:v>
                </c:pt>
                <c:pt idx="57">
                  <c:v>-690.35624814659275</c:v>
                </c:pt>
                <c:pt idx="58">
                  <c:v>-700.05433151015961</c:v>
                </c:pt>
                <c:pt idx="59">
                  <c:v>-709.67645900268076</c:v>
                </c:pt>
                <c:pt idx="60">
                  <c:v>-709.67645900268076</c:v>
                </c:pt>
                <c:pt idx="61">
                  <c:v>-719.22438782276038</c:v>
                </c:pt>
                <c:pt idx="62">
                  <c:v>-728.69980844307224</c:v>
                </c:pt>
                <c:pt idx="63">
                  <c:v>-728.69980844307224</c:v>
                </c:pt>
                <c:pt idx="64">
                  <c:v>-728.69980844307224</c:v>
                </c:pt>
                <c:pt idx="65">
                  <c:v>-728.69980844307224</c:v>
                </c:pt>
                <c:pt idx="66">
                  <c:v>-728.69980844307224</c:v>
                </c:pt>
                <c:pt idx="67">
                  <c:v>-728.69980844307224</c:v>
                </c:pt>
                <c:pt idx="68">
                  <c:v>-728.69980844307224</c:v>
                </c:pt>
                <c:pt idx="69">
                  <c:v>-728.69980844307224</c:v>
                </c:pt>
                <c:pt idx="70">
                  <c:v>-728.69980844307224</c:v>
                </c:pt>
                <c:pt idx="71">
                  <c:v>-728.69980844307224</c:v>
                </c:pt>
                <c:pt idx="72">
                  <c:v>-728.69980844307224</c:v>
                </c:pt>
                <c:pt idx="73">
                  <c:v>-728.69980844307224</c:v>
                </c:pt>
                <c:pt idx="74">
                  <c:v>-728.69980844307224</c:v>
                </c:pt>
                <c:pt idx="75">
                  <c:v>-728.69980844307224</c:v>
                </c:pt>
                <c:pt idx="76">
                  <c:v>-728.69980844307224</c:v>
                </c:pt>
                <c:pt idx="77">
                  <c:v>-728.69980844307224</c:v>
                </c:pt>
                <c:pt idx="78">
                  <c:v>-728.69980844307224</c:v>
                </c:pt>
                <c:pt idx="79">
                  <c:v>-728.69980844307224</c:v>
                </c:pt>
                <c:pt idx="80">
                  <c:v>-728.69980844307224</c:v>
                </c:pt>
                <c:pt idx="81">
                  <c:v>-728.69980844307224</c:v>
                </c:pt>
                <c:pt idx="82">
                  <c:v>-728.69980844307224</c:v>
                </c:pt>
                <c:pt idx="83">
                  <c:v>-728.69980844307224</c:v>
                </c:pt>
                <c:pt idx="84">
                  <c:v>-728.69980844307224</c:v>
                </c:pt>
                <c:pt idx="85">
                  <c:v>-728.69980844307224</c:v>
                </c:pt>
                <c:pt idx="86">
                  <c:v>-728.69980844307224</c:v>
                </c:pt>
                <c:pt idx="87">
                  <c:v>-728.69980844307224</c:v>
                </c:pt>
                <c:pt idx="88">
                  <c:v>-728.69980844307224</c:v>
                </c:pt>
                <c:pt idx="89">
                  <c:v>-728.69980844307224</c:v>
                </c:pt>
                <c:pt idx="90">
                  <c:v>-728.69980844307224</c:v>
                </c:pt>
                <c:pt idx="91">
                  <c:v>-728.69980844307224</c:v>
                </c:pt>
                <c:pt idx="92">
                  <c:v>-728.69980844307224</c:v>
                </c:pt>
                <c:pt idx="93">
                  <c:v>-728.69980844307224</c:v>
                </c:pt>
                <c:pt idx="94">
                  <c:v>-728.69980844307224</c:v>
                </c:pt>
                <c:pt idx="95">
                  <c:v>-728.69980844307224</c:v>
                </c:pt>
                <c:pt idx="96">
                  <c:v>-728.69980844307224</c:v>
                </c:pt>
                <c:pt idx="97">
                  <c:v>-728.69980844307224</c:v>
                </c:pt>
                <c:pt idx="98">
                  <c:v>-728.69980844307224</c:v>
                </c:pt>
                <c:pt idx="99">
                  <c:v>-728.69980844307224</c:v>
                </c:pt>
                <c:pt idx="100">
                  <c:v>-728.69980844307224</c:v>
                </c:pt>
                <c:pt idx="101">
                  <c:v>-728.69980844307224</c:v>
                </c:pt>
                <c:pt idx="102">
                  <c:v>-728.69980844307224</c:v>
                </c:pt>
                <c:pt idx="103">
                  <c:v>-728.69980844307224</c:v>
                </c:pt>
                <c:pt idx="104">
                  <c:v>-728.69980844307224</c:v>
                </c:pt>
                <c:pt idx="105">
                  <c:v>-728.69980844307224</c:v>
                </c:pt>
                <c:pt idx="106">
                  <c:v>-728.69980844307224</c:v>
                </c:pt>
                <c:pt idx="107">
                  <c:v>-728.69980844307224</c:v>
                </c:pt>
                <c:pt idx="108">
                  <c:v>-728.69980844307224</c:v>
                </c:pt>
                <c:pt idx="109">
                  <c:v>-728.69980844307224</c:v>
                </c:pt>
              </c:numCache>
            </c:numRef>
          </c:yVal>
          <c:smooth val="0"/>
          <c:extLst>
            <c:ext xmlns:c16="http://schemas.microsoft.com/office/drawing/2014/chart" uri="{C3380CC4-5D6E-409C-BE32-E72D297353CC}">
              <c16:uniqueId val="{00000000-78FF-44BB-8052-BDDC26D721F9}"/>
            </c:ext>
          </c:extLst>
        </c:ser>
        <c:ser>
          <c:idx val="6"/>
          <c:order val="1"/>
          <c:tx>
            <c:strRef>
              <c:f>'04-07-25-Scen4-ExFrontloadCargo'!$AM$1</c:f>
              <c:strCache>
                <c:ptCount val="1"/>
                <c:pt idx="0">
                  <c:v>End of Day Bailing Depth</c:v>
                </c:pt>
              </c:strCache>
            </c:strRef>
          </c:tx>
          <c:spPr>
            <a:ln w="19050" cap="rnd">
              <a:solidFill>
                <a:schemeClr val="tx2">
                  <a:lumMod val="50000"/>
                  <a:lumOff val="50000"/>
                </a:schemeClr>
              </a:solidFill>
              <a:round/>
            </a:ln>
            <a:effectLst/>
          </c:spPr>
          <c:marker>
            <c:symbol val="none"/>
          </c:marker>
          <c:xVal>
            <c:numRef>
              <c:f>'04-07-25-Scen4-ExFrontloadCargo'!$A$3:$A$112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'04-07-25-Scen4-ExFrontloadCargo'!$AM$3:$AM$112</c:f>
              <c:numCache>
                <c:formatCode>0.00</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-80</c:v>
                </c:pt>
                <c:pt idx="63">
                  <c:v>-259.40331160292249</c:v>
                </c:pt>
                <c:pt idx="64">
                  <c:v>-400.47129457899786</c:v>
                </c:pt>
                <c:pt idx="65">
                  <c:v>-510.1938307186208</c:v>
                </c:pt>
                <c:pt idx="66">
                  <c:v>-603.20853687666511</c:v>
                </c:pt>
                <c:pt idx="67">
                  <c:v>-685.40606744913521</c:v>
                </c:pt>
                <c:pt idx="68">
                  <c:v>-723.46681615545504</c:v>
                </c:pt>
                <c:pt idx="69">
                  <c:v>-723.46681615545504</c:v>
                </c:pt>
                <c:pt idx="70">
                  <c:v>-723.46681615545504</c:v>
                </c:pt>
                <c:pt idx="71">
                  <c:v>-723.46681615545504</c:v>
                </c:pt>
                <c:pt idx="72">
                  <c:v>-723.46681615545504</c:v>
                </c:pt>
                <c:pt idx="73">
                  <c:v>-723.46681615545504</c:v>
                </c:pt>
                <c:pt idx="74">
                  <c:v>-723.46681615545504</c:v>
                </c:pt>
                <c:pt idx="75">
                  <c:v>-723.46681615545504</c:v>
                </c:pt>
                <c:pt idx="76">
                  <c:v>-723.46681615545504</c:v>
                </c:pt>
                <c:pt idx="77">
                  <c:v>-723.46681615545504</c:v>
                </c:pt>
                <c:pt idx="78">
                  <c:v>-723.46681615545504</c:v>
                </c:pt>
                <c:pt idx="79">
                  <c:v>-723.46681615545504</c:v>
                </c:pt>
                <c:pt idx="80">
                  <c:v>-723.46681615545504</c:v>
                </c:pt>
                <c:pt idx="81">
                  <c:v>-723.46681615545504</c:v>
                </c:pt>
                <c:pt idx="82">
                  <c:v>-723.46681615545504</c:v>
                </c:pt>
                <c:pt idx="83">
                  <c:v>-723.46681615545504</c:v>
                </c:pt>
                <c:pt idx="84">
                  <c:v>-723.46681615545504</c:v>
                </c:pt>
                <c:pt idx="85">
                  <c:v>-723.46681615545504</c:v>
                </c:pt>
                <c:pt idx="86">
                  <c:v>-723.46681615545504</c:v>
                </c:pt>
                <c:pt idx="87">
                  <c:v>-723.46681615545504</c:v>
                </c:pt>
                <c:pt idx="88">
                  <c:v>-723.46681615545504</c:v>
                </c:pt>
                <c:pt idx="89">
                  <c:v>-723.46681615545504</c:v>
                </c:pt>
                <c:pt idx="90">
                  <c:v>-723.46681615545504</c:v>
                </c:pt>
                <c:pt idx="91">
                  <c:v>-723.46681615545504</c:v>
                </c:pt>
                <c:pt idx="92">
                  <c:v>-723.46681615545504</c:v>
                </c:pt>
                <c:pt idx="93">
                  <c:v>-723.46681615545504</c:v>
                </c:pt>
                <c:pt idx="94">
                  <c:v>-723.46681615545504</c:v>
                </c:pt>
                <c:pt idx="95">
                  <c:v>-723.46681615545504</c:v>
                </c:pt>
                <c:pt idx="96">
                  <c:v>-723.46681615545504</c:v>
                </c:pt>
                <c:pt idx="97">
                  <c:v>-723.46681615545504</c:v>
                </c:pt>
                <c:pt idx="98">
                  <c:v>-723.46681615545504</c:v>
                </c:pt>
                <c:pt idx="99">
                  <c:v>-723.46681615545504</c:v>
                </c:pt>
                <c:pt idx="100">
                  <c:v>-723.46681615545504</c:v>
                </c:pt>
                <c:pt idx="101">
                  <c:v>-723.46681615545504</c:v>
                </c:pt>
                <c:pt idx="102">
                  <c:v>-723.46681615545504</c:v>
                </c:pt>
                <c:pt idx="103">
                  <c:v>-723.46681615545504</c:v>
                </c:pt>
                <c:pt idx="104">
                  <c:v>-723.46681615545504</c:v>
                </c:pt>
                <c:pt idx="105">
                  <c:v>-723.46681615545504</c:v>
                </c:pt>
                <c:pt idx="106">
                  <c:v>-723.46681615545504</c:v>
                </c:pt>
                <c:pt idx="107">
                  <c:v>-723.46681615545504</c:v>
                </c:pt>
                <c:pt idx="108">
                  <c:v>-723.46681615545504</c:v>
                </c:pt>
                <c:pt idx="109">
                  <c:v>-723.46681615545504</c:v>
                </c:pt>
              </c:numCache>
            </c:numRef>
          </c:yVal>
          <c:smooth val="0"/>
          <c:extLst>
            <c:ext xmlns:c16="http://schemas.microsoft.com/office/drawing/2014/chart" uri="{C3380CC4-5D6E-409C-BE32-E72D297353CC}">
              <c16:uniqueId val="{00000001-78FF-44BB-8052-BDDC26D721F9}"/>
            </c:ext>
          </c:extLst>
        </c:ser>
        <c:ser>
          <c:idx val="1"/>
          <c:order val="2"/>
          <c:tx>
            <c:strRef>
              <c:f>'04-07-25-Scen4-ExFrontloadCargo'!$AN$1</c:f>
              <c:strCache>
                <c:ptCount val="1"/>
                <c:pt idx="0">
                  <c:v>Bedrock</c:v>
                </c:pt>
              </c:strCache>
            </c:strRef>
          </c:tx>
          <c:spPr>
            <a:ln w="19050" cap="rnd">
              <a:solidFill>
                <a:schemeClr val="tx1"/>
              </a:solidFill>
              <a:round/>
            </a:ln>
            <a:effectLst/>
          </c:spPr>
          <c:marker>
            <c:symbol val="none"/>
          </c:marker>
          <c:dPt>
            <c:idx val="60"/>
            <c:marker>
              <c:symbol val="none"/>
            </c:marker>
            <c:bubble3D val="0"/>
            <c:extLst>
              <c:ext xmlns:c16="http://schemas.microsoft.com/office/drawing/2014/chart" uri="{C3380CC4-5D6E-409C-BE32-E72D297353CC}">
                <c16:uniqueId val="{00000002-78FF-44BB-8052-BDDC26D721F9}"/>
              </c:ext>
            </c:extLst>
          </c:dPt>
          <c:xVal>
            <c:numRef>
              <c:f>'04-07-25-Scen4-ExFrontloadCargo'!$A$3:$A$112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'04-07-25-Scen4-ExFrontloadCargo'!$AN$3:$AN$112</c:f>
              <c:numCache>
                <c:formatCode>General</c:formatCode>
                <c:ptCount val="110"/>
                <c:pt idx="0">
                  <c:v>-720</c:v>
                </c:pt>
                <c:pt idx="1">
                  <c:v>-720</c:v>
                </c:pt>
                <c:pt idx="2">
                  <c:v>-720</c:v>
                </c:pt>
                <c:pt idx="3">
                  <c:v>-720</c:v>
                </c:pt>
                <c:pt idx="4">
                  <c:v>-720</c:v>
                </c:pt>
                <c:pt idx="5">
                  <c:v>-720</c:v>
                </c:pt>
                <c:pt idx="6">
                  <c:v>-720</c:v>
                </c:pt>
                <c:pt idx="7">
                  <c:v>-720</c:v>
                </c:pt>
                <c:pt idx="8">
                  <c:v>-720</c:v>
                </c:pt>
                <c:pt idx="9">
                  <c:v>-720</c:v>
                </c:pt>
                <c:pt idx="10">
                  <c:v>-720</c:v>
                </c:pt>
                <c:pt idx="11">
                  <c:v>-720</c:v>
                </c:pt>
                <c:pt idx="12">
                  <c:v>-720</c:v>
                </c:pt>
                <c:pt idx="13">
                  <c:v>-720</c:v>
                </c:pt>
                <c:pt idx="14">
                  <c:v>-720</c:v>
                </c:pt>
                <c:pt idx="15">
                  <c:v>-720</c:v>
                </c:pt>
                <c:pt idx="16">
                  <c:v>-720</c:v>
                </c:pt>
                <c:pt idx="17">
                  <c:v>-720</c:v>
                </c:pt>
                <c:pt idx="18">
                  <c:v>-720</c:v>
                </c:pt>
                <c:pt idx="19">
                  <c:v>-720</c:v>
                </c:pt>
                <c:pt idx="20">
                  <c:v>-720</c:v>
                </c:pt>
                <c:pt idx="21">
                  <c:v>-720</c:v>
                </c:pt>
                <c:pt idx="22">
                  <c:v>-720</c:v>
                </c:pt>
                <c:pt idx="23">
                  <c:v>-720</c:v>
                </c:pt>
                <c:pt idx="24">
                  <c:v>-720</c:v>
                </c:pt>
                <c:pt idx="25">
                  <c:v>-720</c:v>
                </c:pt>
                <c:pt idx="26">
                  <c:v>-720</c:v>
                </c:pt>
                <c:pt idx="27">
                  <c:v>-720</c:v>
                </c:pt>
                <c:pt idx="28">
                  <c:v>-720</c:v>
                </c:pt>
                <c:pt idx="29">
                  <c:v>-720</c:v>
                </c:pt>
                <c:pt idx="30">
                  <c:v>-720</c:v>
                </c:pt>
                <c:pt idx="31">
                  <c:v>-720</c:v>
                </c:pt>
                <c:pt idx="32">
                  <c:v>-720</c:v>
                </c:pt>
                <c:pt idx="33">
                  <c:v>-720</c:v>
                </c:pt>
                <c:pt idx="34">
                  <c:v>-720</c:v>
                </c:pt>
                <c:pt idx="35">
                  <c:v>-720</c:v>
                </c:pt>
                <c:pt idx="36">
                  <c:v>-720</c:v>
                </c:pt>
                <c:pt idx="37">
                  <c:v>-720</c:v>
                </c:pt>
                <c:pt idx="38">
                  <c:v>-720</c:v>
                </c:pt>
                <c:pt idx="39">
                  <c:v>-720</c:v>
                </c:pt>
                <c:pt idx="40">
                  <c:v>-720</c:v>
                </c:pt>
                <c:pt idx="41">
                  <c:v>-720</c:v>
                </c:pt>
                <c:pt idx="42">
                  <c:v>-720</c:v>
                </c:pt>
                <c:pt idx="43">
                  <c:v>-720</c:v>
                </c:pt>
                <c:pt idx="44">
                  <c:v>-720</c:v>
                </c:pt>
                <c:pt idx="45">
                  <c:v>-720</c:v>
                </c:pt>
                <c:pt idx="46">
                  <c:v>-720</c:v>
                </c:pt>
                <c:pt idx="47">
                  <c:v>-720</c:v>
                </c:pt>
                <c:pt idx="48">
                  <c:v>-720</c:v>
                </c:pt>
                <c:pt idx="49">
                  <c:v>-720</c:v>
                </c:pt>
                <c:pt idx="50">
                  <c:v>-720</c:v>
                </c:pt>
                <c:pt idx="51">
                  <c:v>-720</c:v>
                </c:pt>
                <c:pt idx="52">
                  <c:v>-720</c:v>
                </c:pt>
                <c:pt idx="53">
                  <c:v>-720</c:v>
                </c:pt>
                <c:pt idx="54">
                  <c:v>-720</c:v>
                </c:pt>
                <c:pt idx="55">
                  <c:v>-720</c:v>
                </c:pt>
                <c:pt idx="56">
                  <c:v>-720</c:v>
                </c:pt>
                <c:pt idx="57">
                  <c:v>-720</c:v>
                </c:pt>
                <c:pt idx="58">
                  <c:v>-720</c:v>
                </c:pt>
                <c:pt idx="59">
                  <c:v>-720</c:v>
                </c:pt>
                <c:pt idx="60">
                  <c:v>-720</c:v>
                </c:pt>
                <c:pt idx="61">
                  <c:v>-720</c:v>
                </c:pt>
                <c:pt idx="62">
                  <c:v>-720</c:v>
                </c:pt>
                <c:pt idx="63">
                  <c:v>-720</c:v>
                </c:pt>
                <c:pt idx="64">
                  <c:v>-720</c:v>
                </c:pt>
                <c:pt idx="65">
                  <c:v>-720</c:v>
                </c:pt>
                <c:pt idx="66">
                  <c:v>-720</c:v>
                </c:pt>
                <c:pt idx="67">
                  <c:v>-720</c:v>
                </c:pt>
                <c:pt idx="68">
                  <c:v>-720</c:v>
                </c:pt>
                <c:pt idx="69">
                  <c:v>-720</c:v>
                </c:pt>
                <c:pt idx="70">
                  <c:v>-720</c:v>
                </c:pt>
                <c:pt idx="71">
                  <c:v>-720</c:v>
                </c:pt>
                <c:pt idx="72">
                  <c:v>-720</c:v>
                </c:pt>
                <c:pt idx="73">
                  <c:v>-720</c:v>
                </c:pt>
                <c:pt idx="74">
                  <c:v>-720</c:v>
                </c:pt>
                <c:pt idx="75">
                  <c:v>-720</c:v>
                </c:pt>
                <c:pt idx="76">
                  <c:v>-720</c:v>
                </c:pt>
                <c:pt idx="77">
                  <c:v>-720</c:v>
                </c:pt>
                <c:pt idx="78">
                  <c:v>-720</c:v>
                </c:pt>
                <c:pt idx="79">
                  <c:v>-720</c:v>
                </c:pt>
                <c:pt idx="80">
                  <c:v>-720</c:v>
                </c:pt>
                <c:pt idx="81">
                  <c:v>-720</c:v>
                </c:pt>
                <c:pt idx="82">
                  <c:v>-720</c:v>
                </c:pt>
                <c:pt idx="83">
                  <c:v>-720</c:v>
                </c:pt>
                <c:pt idx="84">
                  <c:v>-720</c:v>
                </c:pt>
                <c:pt idx="85">
                  <c:v>-720</c:v>
                </c:pt>
                <c:pt idx="86">
                  <c:v>-720</c:v>
                </c:pt>
                <c:pt idx="87">
                  <c:v>-720</c:v>
                </c:pt>
                <c:pt idx="88">
                  <c:v>-720</c:v>
                </c:pt>
                <c:pt idx="89">
                  <c:v>-720</c:v>
                </c:pt>
                <c:pt idx="90">
                  <c:v>-720</c:v>
                </c:pt>
                <c:pt idx="91">
                  <c:v>-720</c:v>
                </c:pt>
                <c:pt idx="92">
                  <c:v>-720</c:v>
                </c:pt>
                <c:pt idx="93">
                  <c:v>-720</c:v>
                </c:pt>
                <c:pt idx="94">
                  <c:v>-720</c:v>
                </c:pt>
                <c:pt idx="95">
                  <c:v>-720</c:v>
                </c:pt>
                <c:pt idx="96">
                  <c:v>-720</c:v>
                </c:pt>
                <c:pt idx="97">
                  <c:v>-720</c:v>
                </c:pt>
                <c:pt idx="98">
                  <c:v>-720</c:v>
                </c:pt>
                <c:pt idx="99">
                  <c:v>-720</c:v>
                </c:pt>
                <c:pt idx="100">
                  <c:v>-720</c:v>
                </c:pt>
                <c:pt idx="101">
                  <c:v>-720</c:v>
                </c:pt>
                <c:pt idx="102">
                  <c:v>-720</c:v>
                </c:pt>
                <c:pt idx="103">
                  <c:v>-720</c:v>
                </c:pt>
                <c:pt idx="104">
                  <c:v>-720</c:v>
                </c:pt>
                <c:pt idx="105">
                  <c:v>-720</c:v>
                </c:pt>
                <c:pt idx="106">
                  <c:v>-720</c:v>
                </c:pt>
                <c:pt idx="107">
                  <c:v>-720</c:v>
                </c:pt>
                <c:pt idx="108">
                  <c:v>-720</c:v>
                </c:pt>
                <c:pt idx="109">
                  <c:v>-720</c:v>
                </c:pt>
              </c:numCache>
            </c:numRef>
          </c:yVal>
          <c:smooth val="0"/>
          <c:extLst>
            <c:ext xmlns:c16="http://schemas.microsoft.com/office/drawing/2014/chart" uri="{C3380CC4-5D6E-409C-BE32-E72D297353CC}">
              <c16:uniqueId val="{00000003-78FF-44BB-8052-BDDC26D721F9}"/>
            </c:ext>
          </c:extLst>
        </c:ser>
        <c:ser>
          <c:idx val="2"/>
          <c:order val="3"/>
          <c:tx>
            <c:strRef>
              <c:f>'04-07-25-Scen4-ExFrontloadCargo'!$AO$1</c:f>
              <c:strCache>
                <c:ptCount val="1"/>
                <c:pt idx="0">
                  <c:v>10,000YBP Min</c:v>
                </c:pt>
              </c:strCache>
            </c:strRef>
          </c:tx>
          <c:spPr>
            <a:ln w="19050" cap="rnd">
              <a:solidFill>
                <a:srgbClr val="FFC000"/>
              </a:solidFill>
              <a:prstDash val="sysDot"/>
              <a:round/>
            </a:ln>
            <a:effectLst/>
          </c:spPr>
          <c:marker>
            <c:symbol val="none"/>
          </c:marker>
          <c:xVal>
            <c:numRef>
              <c:f>'04-07-25-Scen4-ExFrontloadCargo'!$A$3:$A$112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'04-07-25-Scen4-ExFrontloadCargo'!$AO$3:$AO$112</c:f>
              <c:numCache>
                <c:formatCode>General</c:formatCode>
                <c:ptCount val="110"/>
                <c:pt idx="0">
                  <c:v>-624</c:v>
                </c:pt>
                <c:pt idx="1">
                  <c:v>-624</c:v>
                </c:pt>
                <c:pt idx="2">
                  <c:v>-624</c:v>
                </c:pt>
                <c:pt idx="3">
                  <c:v>-624</c:v>
                </c:pt>
                <c:pt idx="4">
                  <c:v>-624</c:v>
                </c:pt>
                <c:pt idx="5">
                  <c:v>-624</c:v>
                </c:pt>
                <c:pt idx="6">
                  <c:v>-624</c:v>
                </c:pt>
                <c:pt idx="7">
                  <c:v>-624</c:v>
                </c:pt>
                <c:pt idx="8">
                  <c:v>-624</c:v>
                </c:pt>
                <c:pt idx="9">
                  <c:v>-624</c:v>
                </c:pt>
                <c:pt idx="10">
                  <c:v>-624</c:v>
                </c:pt>
                <c:pt idx="11">
                  <c:v>-624</c:v>
                </c:pt>
                <c:pt idx="12">
                  <c:v>-624</c:v>
                </c:pt>
                <c:pt idx="13">
                  <c:v>-624</c:v>
                </c:pt>
                <c:pt idx="14">
                  <c:v>-624</c:v>
                </c:pt>
                <c:pt idx="15">
                  <c:v>-624</c:v>
                </c:pt>
                <c:pt idx="16">
                  <c:v>-624</c:v>
                </c:pt>
                <c:pt idx="17">
                  <c:v>-624</c:v>
                </c:pt>
                <c:pt idx="18">
                  <c:v>-624</c:v>
                </c:pt>
                <c:pt idx="19">
                  <c:v>-624</c:v>
                </c:pt>
                <c:pt idx="20">
                  <c:v>-624</c:v>
                </c:pt>
                <c:pt idx="21">
                  <c:v>-624</c:v>
                </c:pt>
                <c:pt idx="22">
                  <c:v>-624</c:v>
                </c:pt>
                <c:pt idx="23">
                  <c:v>-624</c:v>
                </c:pt>
                <c:pt idx="24">
                  <c:v>-624</c:v>
                </c:pt>
                <c:pt idx="25">
                  <c:v>-624</c:v>
                </c:pt>
                <c:pt idx="26">
                  <c:v>-624</c:v>
                </c:pt>
                <c:pt idx="27">
                  <c:v>-624</c:v>
                </c:pt>
                <c:pt idx="28">
                  <c:v>-624</c:v>
                </c:pt>
                <c:pt idx="29">
                  <c:v>-624</c:v>
                </c:pt>
                <c:pt idx="30">
                  <c:v>-624</c:v>
                </c:pt>
                <c:pt idx="31">
                  <c:v>-624</c:v>
                </c:pt>
                <c:pt idx="32">
                  <c:v>-624</c:v>
                </c:pt>
                <c:pt idx="33">
                  <c:v>-624</c:v>
                </c:pt>
                <c:pt idx="34">
                  <c:v>-624</c:v>
                </c:pt>
                <c:pt idx="35">
                  <c:v>-624</c:v>
                </c:pt>
                <c:pt idx="36">
                  <c:v>-624</c:v>
                </c:pt>
                <c:pt idx="37">
                  <c:v>-624</c:v>
                </c:pt>
                <c:pt idx="38">
                  <c:v>-624</c:v>
                </c:pt>
                <c:pt idx="39">
                  <c:v>-624</c:v>
                </c:pt>
                <c:pt idx="40">
                  <c:v>-624</c:v>
                </c:pt>
                <c:pt idx="41">
                  <c:v>-624</c:v>
                </c:pt>
                <c:pt idx="42">
                  <c:v>-624</c:v>
                </c:pt>
                <c:pt idx="43">
                  <c:v>-624</c:v>
                </c:pt>
                <c:pt idx="44">
                  <c:v>-624</c:v>
                </c:pt>
                <c:pt idx="45">
                  <c:v>-624</c:v>
                </c:pt>
                <c:pt idx="46">
                  <c:v>-624</c:v>
                </c:pt>
                <c:pt idx="47">
                  <c:v>-624</c:v>
                </c:pt>
                <c:pt idx="48">
                  <c:v>-624</c:v>
                </c:pt>
                <c:pt idx="49">
                  <c:v>-624</c:v>
                </c:pt>
                <c:pt idx="50">
                  <c:v>-624</c:v>
                </c:pt>
                <c:pt idx="51">
                  <c:v>-624</c:v>
                </c:pt>
                <c:pt idx="52">
                  <c:v>-624</c:v>
                </c:pt>
                <c:pt idx="53">
                  <c:v>-624</c:v>
                </c:pt>
                <c:pt idx="54">
                  <c:v>-624</c:v>
                </c:pt>
                <c:pt idx="55">
                  <c:v>-624</c:v>
                </c:pt>
                <c:pt idx="56">
                  <c:v>-624</c:v>
                </c:pt>
                <c:pt idx="57">
                  <c:v>-624</c:v>
                </c:pt>
                <c:pt idx="58">
                  <c:v>-624</c:v>
                </c:pt>
                <c:pt idx="59">
                  <c:v>-624</c:v>
                </c:pt>
                <c:pt idx="60">
                  <c:v>-624</c:v>
                </c:pt>
                <c:pt idx="61">
                  <c:v>-624</c:v>
                </c:pt>
                <c:pt idx="62">
                  <c:v>-624</c:v>
                </c:pt>
                <c:pt idx="63">
                  <c:v>-624</c:v>
                </c:pt>
                <c:pt idx="64">
                  <c:v>-624</c:v>
                </c:pt>
                <c:pt idx="65">
                  <c:v>-624</c:v>
                </c:pt>
                <c:pt idx="66">
                  <c:v>-624</c:v>
                </c:pt>
                <c:pt idx="67">
                  <c:v>-624</c:v>
                </c:pt>
                <c:pt idx="68">
                  <c:v>-624</c:v>
                </c:pt>
                <c:pt idx="69">
                  <c:v>-624</c:v>
                </c:pt>
                <c:pt idx="70">
                  <c:v>-624</c:v>
                </c:pt>
                <c:pt idx="71">
                  <c:v>-624</c:v>
                </c:pt>
                <c:pt idx="72">
                  <c:v>-624</c:v>
                </c:pt>
                <c:pt idx="73">
                  <c:v>-624</c:v>
                </c:pt>
                <c:pt idx="74">
                  <c:v>-624</c:v>
                </c:pt>
                <c:pt idx="75">
                  <c:v>-624</c:v>
                </c:pt>
                <c:pt idx="76">
                  <c:v>-624</c:v>
                </c:pt>
                <c:pt idx="77">
                  <c:v>-624</c:v>
                </c:pt>
                <c:pt idx="78">
                  <c:v>-624</c:v>
                </c:pt>
                <c:pt idx="79">
                  <c:v>-624</c:v>
                </c:pt>
                <c:pt idx="80">
                  <c:v>-624</c:v>
                </c:pt>
                <c:pt idx="81">
                  <c:v>-624</c:v>
                </c:pt>
                <c:pt idx="82">
                  <c:v>-624</c:v>
                </c:pt>
                <c:pt idx="83">
                  <c:v>-624</c:v>
                </c:pt>
                <c:pt idx="84">
                  <c:v>-624</c:v>
                </c:pt>
                <c:pt idx="85">
                  <c:v>-624</c:v>
                </c:pt>
                <c:pt idx="86">
                  <c:v>-624</c:v>
                </c:pt>
                <c:pt idx="87">
                  <c:v>-624</c:v>
                </c:pt>
                <c:pt idx="88">
                  <c:v>-624</c:v>
                </c:pt>
                <c:pt idx="89">
                  <c:v>-624</c:v>
                </c:pt>
                <c:pt idx="90">
                  <c:v>-624</c:v>
                </c:pt>
                <c:pt idx="91">
                  <c:v>-624</c:v>
                </c:pt>
                <c:pt idx="92">
                  <c:v>-624</c:v>
                </c:pt>
                <c:pt idx="93">
                  <c:v>-624</c:v>
                </c:pt>
                <c:pt idx="94">
                  <c:v>-624</c:v>
                </c:pt>
                <c:pt idx="95">
                  <c:v>-624</c:v>
                </c:pt>
                <c:pt idx="96">
                  <c:v>-624</c:v>
                </c:pt>
                <c:pt idx="97">
                  <c:v>-624</c:v>
                </c:pt>
                <c:pt idx="98">
                  <c:v>-624</c:v>
                </c:pt>
                <c:pt idx="99">
                  <c:v>-624</c:v>
                </c:pt>
                <c:pt idx="100">
                  <c:v>-624</c:v>
                </c:pt>
                <c:pt idx="101">
                  <c:v>-624</c:v>
                </c:pt>
                <c:pt idx="102">
                  <c:v>-624</c:v>
                </c:pt>
                <c:pt idx="103">
                  <c:v>-624</c:v>
                </c:pt>
                <c:pt idx="104">
                  <c:v>-624</c:v>
                </c:pt>
                <c:pt idx="105">
                  <c:v>-624</c:v>
                </c:pt>
                <c:pt idx="106">
                  <c:v>-624</c:v>
                </c:pt>
                <c:pt idx="107">
                  <c:v>-624</c:v>
                </c:pt>
                <c:pt idx="108">
                  <c:v>-624</c:v>
                </c:pt>
                <c:pt idx="109">
                  <c:v>-624</c:v>
                </c:pt>
              </c:numCache>
            </c:numRef>
          </c:yVal>
          <c:smooth val="0"/>
          <c:extLst>
            <c:ext xmlns:c16="http://schemas.microsoft.com/office/drawing/2014/chart" uri="{C3380CC4-5D6E-409C-BE32-E72D297353CC}">
              <c16:uniqueId val="{00000004-78FF-44BB-8052-BDDC26D721F9}"/>
            </c:ext>
          </c:extLst>
        </c:ser>
        <c:ser>
          <c:idx val="3"/>
          <c:order val="4"/>
          <c:tx>
            <c:strRef>
              <c:f>'04-07-25-Scen4-ExFrontloadCargo'!$AP$1</c:f>
              <c:strCache>
                <c:ptCount val="1"/>
                <c:pt idx="0">
                  <c:v>10,000YBP Max</c:v>
                </c:pt>
              </c:strCache>
            </c:strRef>
          </c:tx>
          <c:spPr>
            <a:ln w="19050" cap="rnd">
              <a:solidFill>
                <a:srgbClr val="FF0000"/>
              </a:solidFill>
              <a:prstDash val="sysDot"/>
              <a:round/>
            </a:ln>
            <a:effectLst/>
          </c:spPr>
          <c:marker>
            <c:symbol val="none"/>
          </c:marker>
          <c:xVal>
            <c:numRef>
              <c:f>'04-07-25-Scen4-ExFrontloadCargo'!$A$3:$A$112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'04-07-25-Scen4-ExFrontloadCargo'!$AP$3:$AP$112</c:f>
              <c:numCache>
                <c:formatCode>General</c:formatCode>
                <c:ptCount val="110"/>
                <c:pt idx="0">
                  <c:v>-688</c:v>
                </c:pt>
                <c:pt idx="1">
                  <c:v>-688</c:v>
                </c:pt>
                <c:pt idx="2">
                  <c:v>-688</c:v>
                </c:pt>
                <c:pt idx="3">
                  <c:v>-688</c:v>
                </c:pt>
                <c:pt idx="4">
                  <c:v>-688</c:v>
                </c:pt>
                <c:pt idx="5">
                  <c:v>-688</c:v>
                </c:pt>
                <c:pt idx="6">
                  <c:v>-688</c:v>
                </c:pt>
                <c:pt idx="7">
                  <c:v>-688</c:v>
                </c:pt>
                <c:pt idx="8">
                  <c:v>-688</c:v>
                </c:pt>
                <c:pt idx="9">
                  <c:v>-688</c:v>
                </c:pt>
                <c:pt idx="10">
                  <c:v>-688</c:v>
                </c:pt>
                <c:pt idx="11">
                  <c:v>-688</c:v>
                </c:pt>
                <c:pt idx="12">
                  <c:v>-688</c:v>
                </c:pt>
                <c:pt idx="13">
                  <c:v>-688</c:v>
                </c:pt>
                <c:pt idx="14">
                  <c:v>-688</c:v>
                </c:pt>
                <c:pt idx="15">
                  <c:v>-688</c:v>
                </c:pt>
                <c:pt idx="16">
                  <c:v>-688</c:v>
                </c:pt>
                <c:pt idx="17">
                  <c:v>-688</c:v>
                </c:pt>
                <c:pt idx="18">
                  <c:v>-688</c:v>
                </c:pt>
                <c:pt idx="19">
                  <c:v>-688</c:v>
                </c:pt>
                <c:pt idx="20">
                  <c:v>-688</c:v>
                </c:pt>
                <c:pt idx="21">
                  <c:v>-688</c:v>
                </c:pt>
                <c:pt idx="22">
                  <c:v>-688</c:v>
                </c:pt>
                <c:pt idx="23">
                  <c:v>-688</c:v>
                </c:pt>
                <c:pt idx="24">
                  <c:v>-688</c:v>
                </c:pt>
                <c:pt idx="25">
                  <c:v>-688</c:v>
                </c:pt>
                <c:pt idx="26">
                  <c:v>-688</c:v>
                </c:pt>
                <c:pt idx="27">
                  <c:v>-688</c:v>
                </c:pt>
                <c:pt idx="28">
                  <c:v>-688</c:v>
                </c:pt>
                <c:pt idx="29">
                  <c:v>-688</c:v>
                </c:pt>
                <c:pt idx="30">
                  <c:v>-688</c:v>
                </c:pt>
                <c:pt idx="31">
                  <c:v>-688</c:v>
                </c:pt>
                <c:pt idx="32">
                  <c:v>-688</c:v>
                </c:pt>
                <c:pt idx="33">
                  <c:v>-688</c:v>
                </c:pt>
                <c:pt idx="34">
                  <c:v>-688</c:v>
                </c:pt>
                <c:pt idx="35">
                  <c:v>-688</c:v>
                </c:pt>
                <c:pt idx="36">
                  <c:v>-688</c:v>
                </c:pt>
                <c:pt idx="37">
                  <c:v>-688</c:v>
                </c:pt>
                <c:pt idx="38">
                  <c:v>-688</c:v>
                </c:pt>
                <c:pt idx="39">
                  <c:v>-688</c:v>
                </c:pt>
                <c:pt idx="40">
                  <c:v>-688</c:v>
                </c:pt>
                <c:pt idx="41">
                  <c:v>-688</c:v>
                </c:pt>
                <c:pt idx="42">
                  <c:v>-688</c:v>
                </c:pt>
                <c:pt idx="43">
                  <c:v>-688</c:v>
                </c:pt>
                <c:pt idx="44">
                  <c:v>-688</c:v>
                </c:pt>
                <c:pt idx="45">
                  <c:v>-688</c:v>
                </c:pt>
                <c:pt idx="46">
                  <c:v>-688</c:v>
                </c:pt>
                <c:pt idx="47">
                  <c:v>-688</c:v>
                </c:pt>
                <c:pt idx="48">
                  <c:v>-688</c:v>
                </c:pt>
                <c:pt idx="49">
                  <c:v>-688</c:v>
                </c:pt>
                <c:pt idx="50">
                  <c:v>-688</c:v>
                </c:pt>
                <c:pt idx="51">
                  <c:v>-688</c:v>
                </c:pt>
                <c:pt idx="52">
                  <c:v>-688</c:v>
                </c:pt>
                <c:pt idx="53">
                  <c:v>-688</c:v>
                </c:pt>
                <c:pt idx="54">
                  <c:v>-688</c:v>
                </c:pt>
                <c:pt idx="55">
                  <c:v>-688</c:v>
                </c:pt>
                <c:pt idx="56">
                  <c:v>-688</c:v>
                </c:pt>
                <c:pt idx="57">
                  <c:v>-688</c:v>
                </c:pt>
                <c:pt idx="58">
                  <c:v>-688</c:v>
                </c:pt>
                <c:pt idx="59">
                  <c:v>-688</c:v>
                </c:pt>
                <c:pt idx="60">
                  <c:v>-688</c:v>
                </c:pt>
                <c:pt idx="61">
                  <c:v>-688</c:v>
                </c:pt>
                <c:pt idx="62">
                  <c:v>-688</c:v>
                </c:pt>
                <c:pt idx="63">
                  <c:v>-688</c:v>
                </c:pt>
                <c:pt idx="64">
                  <c:v>-688</c:v>
                </c:pt>
                <c:pt idx="65">
                  <c:v>-688</c:v>
                </c:pt>
                <c:pt idx="66">
                  <c:v>-688</c:v>
                </c:pt>
                <c:pt idx="67">
                  <c:v>-688</c:v>
                </c:pt>
                <c:pt idx="68">
                  <c:v>-688</c:v>
                </c:pt>
                <c:pt idx="69">
                  <c:v>-688</c:v>
                </c:pt>
                <c:pt idx="70">
                  <c:v>-688</c:v>
                </c:pt>
                <c:pt idx="71">
                  <c:v>-688</c:v>
                </c:pt>
                <c:pt idx="72">
                  <c:v>-688</c:v>
                </c:pt>
                <c:pt idx="73">
                  <c:v>-688</c:v>
                </c:pt>
                <c:pt idx="74">
                  <c:v>-688</c:v>
                </c:pt>
                <c:pt idx="75">
                  <c:v>-688</c:v>
                </c:pt>
                <c:pt idx="76">
                  <c:v>-688</c:v>
                </c:pt>
                <c:pt idx="77">
                  <c:v>-688</c:v>
                </c:pt>
                <c:pt idx="78">
                  <c:v>-688</c:v>
                </c:pt>
                <c:pt idx="79">
                  <c:v>-688</c:v>
                </c:pt>
                <c:pt idx="80">
                  <c:v>-688</c:v>
                </c:pt>
                <c:pt idx="81">
                  <c:v>-688</c:v>
                </c:pt>
                <c:pt idx="82">
                  <c:v>-688</c:v>
                </c:pt>
                <c:pt idx="83">
                  <c:v>-688</c:v>
                </c:pt>
                <c:pt idx="84">
                  <c:v>-688</c:v>
                </c:pt>
                <c:pt idx="85">
                  <c:v>-688</c:v>
                </c:pt>
                <c:pt idx="86">
                  <c:v>-688</c:v>
                </c:pt>
                <c:pt idx="87">
                  <c:v>-688</c:v>
                </c:pt>
                <c:pt idx="88">
                  <c:v>-688</c:v>
                </c:pt>
                <c:pt idx="89">
                  <c:v>-688</c:v>
                </c:pt>
                <c:pt idx="90">
                  <c:v>-688</c:v>
                </c:pt>
                <c:pt idx="91">
                  <c:v>-688</c:v>
                </c:pt>
                <c:pt idx="92">
                  <c:v>-688</c:v>
                </c:pt>
                <c:pt idx="93">
                  <c:v>-688</c:v>
                </c:pt>
                <c:pt idx="94">
                  <c:v>-688</c:v>
                </c:pt>
                <c:pt idx="95">
                  <c:v>-688</c:v>
                </c:pt>
                <c:pt idx="96">
                  <c:v>-688</c:v>
                </c:pt>
                <c:pt idx="97">
                  <c:v>-688</c:v>
                </c:pt>
                <c:pt idx="98">
                  <c:v>-688</c:v>
                </c:pt>
                <c:pt idx="99">
                  <c:v>-688</c:v>
                </c:pt>
                <c:pt idx="100">
                  <c:v>-688</c:v>
                </c:pt>
                <c:pt idx="101">
                  <c:v>-688</c:v>
                </c:pt>
                <c:pt idx="102">
                  <c:v>-688</c:v>
                </c:pt>
                <c:pt idx="103">
                  <c:v>-688</c:v>
                </c:pt>
                <c:pt idx="104">
                  <c:v>-688</c:v>
                </c:pt>
                <c:pt idx="105">
                  <c:v>-688</c:v>
                </c:pt>
                <c:pt idx="106">
                  <c:v>-688</c:v>
                </c:pt>
                <c:pt idx="107">
                  <c:v>-688</c:v>
                </c:pt>
                <c:pt idx="108">
                  <c:v>-688</c:v>
                </c:pt>
                <c:pt idx="109">
                  <c:v>-688</c:v>
                </c:pt>
              </c:numCache>
            </c:numRef>
          </c:yVal>
          <c:smooth val="0"/>
          <c:extLst>
            <c:ext xmlns:c16="http://schemas.microsoft.com/office/drawing/2014/chart" uri="{C3380CC4-5D6E-409C-BE32-E72D297353CC}">
              <c16:uniqueId val="{00000005-78FF-44BB-8052-BDDC26D721F9}"/>
            </c:ext>
          </c:extLst>
        </c:ser>
        <c:ser>
          <c:idx val="4"/>
          <c:order val="5"/>
          <c:tx>
            <c:strRef>
              <c:f>'04-07-25-Scen4-ExFrontloadCargo'!$AK$1</c:f>
              <c:strCache>
                <c:ptCount val="1"/>
                <c:pt idx="0">
                  <c:v>Input</c:v>
                </c:pt>
              </c:strCache>
            </c:strRef>
          </c:tx>
          <c:spPr>
            <a:ln w="19050" cap="rnd">
              <a:noFill/>
              <a:round/>
            </a:ln>
            <a:effectLst/>
          </c:spPr>
          <c:marker>
            <c:symbol val="triangle"/>
            <c:size val="12"/>
            <c:spPr>
              <a:solidFill>
                <a:srgbClr val="7030A0"/>
              </a:solidFill>
              <a:ln w="9525">
                <a:solidFill>
                  <a:srgbClr val="7030A0"/>
                </a:solidFill>
              </a:ln>
              <a:effectLst/>
            </c:spPr>
          </c:marker>
          <c:dPt>
            <c:idx val="0"/>
            <c:marker>
              <c:symbol val="triangle"/>
              <c:size val="12"/>
              <c:spPr>
                <a:solidFill>
                  <a:srgbClr val="7030A0"/>
                </a:solidFill>
                <a:ln w="9525">
                  <a:solidFill>
                    <a:srgbClr val="7030A0"/>
                  </a:solidFill>
                </a:ln>
                <a:effectLst/>
              </c:spPr>
            </c:marker>
            <c:bubble3D val="0"/>
            <c:extLst>
              <c:ext xmlns:c16="http://schemas.microsoft.com/office/drawing/2014/chart" uri="{C3380CC4-5D6E-409C-BE32-E72D297353CC}">
                <c16:uniqueId val="{00000006-78FF-44BB-8052-BDDC26D721F9}"/>
              </c:ext>
            </c:extLst>
          </c:dPt>
          <c:xVal>
            <c:numRef>
              <c:f>'04-07-25-Scen4-ExFrontloadCargo'!$BB$4:$BB$5</c:f>
              <c:numCache>
                <c:formatCode>m/d/yyyy</c:formatCode>
                <c:ptCount val="2"/>
                <c:pt idx="0">
                  <c:v>45973</c:v>
                </c:pt>
                <c:pt idx="1">
                  <c:v>45978</c:v>
                </c:pt>
              </c:numCache>
            </c:numRef>
          </c:xVal>
          <c:yVal>
            <c:numLit>
              <c:formatCode>General</c:formatCode>
              <c:ptCount val="2"/>
              <c:pt idx="0">
                <c:v>0</c:v>
              </c:pt>
              <c:pt idx="1">
                <c:v>0</c:v>
              </c:pt>
            </c:numLit>
          </c:yVal>
          <c:smooth val="0"/>
          <c:extLst>
            <c:ext xmlns:c16="http://schemas.microsoft.com/office/drawing/2014/chart" uri="{C3380CC4-5D6E-409C-BE32-E72D297353CC}">
              <c16:uniqueId val="{00000007-78FF-44BB-8052-BDDC26D721F9}"/>
            </c:ext>
          </c:extLst>
        </c:ser>
        <c:ser>
          <c:idx val="5"/>
          <c:order val="6"/>
          <c:tx>
            <c:strRef>
              <c:f>'04-07-25-Scen4-ExFrontloadCargo'!$AQ$1</c:f>
              <c:strCache>
                <c:ptCount val="1"/>
                <c:pt idx="0">
                  <c:v>Able to Output</c:v>
                </c:pt>
              </c:strCache>
            </c:strRef>
          </c:tx>
          <c:spPr>
            <a:ln w="19050" cap="rnd">
              <a:noFill/>
              <a:round/>
            </a:ln>
            <a:effectLst/>
          </c:spPr>
          <c:marker>
            <c:symbol val="circle"/>
            <c:size val="12"/>
            <c:spPr>
              <a:solidFill>
                <a:srgbClr val="7030A0"/>
              </a:solidFill>
              <a:ln w="9525">
                <a:solidFill>
                  <a:srgbClr val="7030A0"/>
                </a:solidFill>
              </a:ln>
              <a:effectLst/>
            </c:spPr>
          </c:marker>
          <c:xVal>
            <c:numRef>
              <c:f>'04-07-25-Scen4-ExFrontloadCargo'!$A$3:$A$112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'04-07-25-Scen4-ExFrontloadCargo'!$AQ$3:$AQ$112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0</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6="http://schemas.microsoft.com/office/drawing/2014/chart" uri="{C3380CC4-5D6E-409C-BE32-E72D297353CC}">
              <c16:uniqueId val="{00000008-78FF-44BB-8052-BDDC26D721F9}"/>
            </c:ext>
          </c:extLst>
        </c:ser>
        <c:ser>
          <c:idx val="7"/>
          <c:order val="7"/>
          <c:tx>
            <c:v>Output</c:v>
          </c:tx>
          <c:spPr>
            <a:ln w="19050" cap="rnd">
              <a:noFill/>
              <a:round/>
            </a:ln>
            <a:effectLst/>
          </c:spPr>
          <c:marker>
            <c:symbol val="diamond"/>
            <c:size val="18"/>
            <c:spPr>
              <a:noFill/>
              <a:ln w="31750">
                <a:solidFill>
                  <a:srgbClr val="FF0000"/>
                </a:solidFill>
              </a:ln>
              <a:effectLst/>
            </c:spPr>
          </c:marker>
          <c:xVal>
            <c:numRef>
              <c:f>'04-07-25-Scen4-ExFrontloadCargo'!$BF$4:$BF$5</c:f>
              <c:numCache>
                <c:formatCode>m/d/yyyy</c:formatCode>
                <c:ptCount val="2"/>
                <c:pt idx="0">
                  <c:v>46043</c:v>
                </c:pt>
                <c:pt idx="1">
                  <c:v>46055</c:v>
                </c:pt>
              </c:numCache>
            </c:numRef>
          </c:xVal>
          <c:yVal>
            <c:numLit>
              <c:formatCode>General</c:formatCode>
              <c:ptCount val="2"/>
              <c:pt idx="0">
                <c:v>0</c:v>
              </c:pt>
              <c:pt idx="1">
                <c:v>0</c:v>
              </c:pt>
            </c:numLit>
          </c:yVal>
          <c:smooth val="0"/>
          <c:extLst>
            <c:ext xmlns:c16="http://schemas.microsoft.com/office/drawing/2014/chart" uri="{C3380CC4-5D6E-409C-BE32-E72D297353CC}">
              <c16:uniqueId val="{00000009-78FF-44BB-8052-BDDC26D721F9}"/>
            </c:ext>
          </c:extLst>
        </c:ser>
        <c:ser>
          <c:idx val="12"/>
          <c:order val="8"/>
          <c:tx>
            <c:strRef>
              <c:f>'04-07-25-Scen4-ExFrontloadCargo'!$AR$1</c:f>
              <c:strCache>
                <c:ptCount val="1"/>
                <c:pt idx="0">
                  <c:v>Drilling Fuel Planned</c:v>
                </c:pt>
              </c:strCache>
            </c:strRef>
          </c:tx>
          <c:spPr>
            <a:ln w="19050" cap="rnd">
              <a:noFill/>
              <a:round/>
            </a:ln>
            <a:effectLst/>
          </c:spPr>
          <c:marker>
            <c:symbol val="circle"/>
            <c:size val="10"/>
            <c:spPr>
              <a:solidFill>
                <a:schemeClr val="bg1"/>
              </a:solidFill>
              <a:ln w="31750">
                <a:solidFill>
                  <a:srgbClr val="FF0000"/>
                </a:solidFill>
              </a:ln>
              <a:effectLst/>
            </c:spPr>
          </c:marker>
          <c:dLbls>
            <c:dLbl>
              <c:idx val="0"/>
              <c:tx>
                <c:rich>
                  <a:bodyPr/>
                  <a:lstStyle/>
                  <a:p>
                    <a:fld id="{F88C732B-2803-4581-AB94-678AE010FEC5}"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78FF-44BB-8052-BDDC26D721F9}"/>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78FF-44BB-8052-BDDC26D721F9}"/>
                </c:ext>
              </c:extLst>
            </c:dLbl>
            <c:dLbl>
              <c:idx val="2"/>
              <c:tx>
                <c:rich>
                  <a:bodyPr/>
                  <a:lstStyle/>
                  <a:p>
                    <a:fld id="{89518226-E6E3-4E88-B25A-044D454DA43A}"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8FF-44BB-8052-BDDC26D721F9}"/>
                </c:ext>
              </c:extLst>
            </c:dLbl>
            <c:dLbl>
              <c:idx val="3"/>
              <c:tx>
                <c:rich>
                  <a:bodyPr/>
                  <a:lstStyle/>
                  <a:p>
                    <a:fld id="{B8C780FD-F6D5-4762-9510-0D217489DBCF}"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78FF-44BB-8052-BDDC26D721F9}"/>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78FF-44BB-8052-BDDC26D721F9}"/>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78FF-44BB-8052-BDDC26D721F9}"/>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78FF-44BB-8052-BDDC26D721F9}"/>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78FF-44BB-8052-BDDC26D721F9}"/>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78FF-44BB-8052-BDDC26D721F9}"/>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78FF-44BB-8052-BDDC26D721F9}"/>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78FF-44BB-8052-BDDC26D721F9}"/>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78FF-44BB-8052-BDDC26D721F9}"/>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78FF-44BB-8052-BDDC26D721F9}"/>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78FF-44BB-8052-BDDC26D721F9}"/>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78FF-44BB-8052-BDDC26D721F9}"/>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78FF-44BB-8052-BDDC26D721F9}"/>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78FF-44BB-8052-BDDC26D721F9}"/>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78FF-44BB-8052-BDDC26D721F9}"/>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78FF-44BB-8052-BDDC26D721F9}"/>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78FF-44BB-8052-BDDC26D721F9}"/>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78FF-44BB-8052-BDDC26D721F9}"/>
                </c:ext>
              </c:extLst>
            </c:dLbl>
            <c:dLbl>
              <c:idx val="21"/>
              <c:tx>
                <c:rich>
                  <a:bodyPr/>
                  <a:lstStyle/>
                  <a:p>
                    <a:fld id="{BA3F4582-53C4-4DD5-940C-447B01CF05E3}"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78FF-44BB-8052-BDDC26D721F9}"/>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78FF-44BB-8052-BDDC26D721F9}"/>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78FF-44BB-8052-BDDC26D721F9}"/>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78FF-44BB-8052-BDDC26D721F9}"/>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78FF-44BB-8052-BDDC26D721F9}"/>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78FF-44BB-8052-BDDC26D721F9}"/>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78FF-44BB-8052-BDDC26D721F9}"/>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78FF-44BB-8052-BDDC26D721F9}"/>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78FF-44BB-8052-BDDC26D721F9}"/>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78FF-44BB-8052-BDDC26D721F9}"/>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78FF-44BB-8052-BDDC26D721F9}"/>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78FF-44BB-8052-BDDC26D721F9}"/>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78FF-44BB-8052-BDDC26D721F9}"/>
                </c:ext>
              </c:extLst>
            </c:dLbl>
            <c:dLbl>
              <c:idx val="34"/>
              <c:tx>
                <c:rich>
                  <a:bodyPr/>
                  <a:lstStyle/>
                  <a:p>
                    <a:fld id="{18BF00F4-9E35-41CF-824E-3B970094C8FB}"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C-78FF-44BB-8052-BDDC26D721F9}"/>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78FF-44BB-8052-BDDC26D721F9}"/>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78FF-44BB-8052-BDDC26D721F9}"/>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78FF-44BB-8052-BDDC26D721F9}"/>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78FF-44BB-8052-BDDC26D721F9}"/>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78FF-44BB-8052-BDDC26D721F9}"/>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78FF-44BB-8052-BDDC26D721F9}"/>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78FF-44BB-8052-BDDC26D721F9}"/>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78FF-44BB-8052-BDDC26D721F9}"/>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78FF-44BB-8052-BDDC26D721F9}"/>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78FF-44BB-8052-BDDC26D721F9}"/>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78FF-44BB-8052-BDDC26D721F9}"/>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78FF-44BB-8052-BDDC26D721F9}"/>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78FF-44BB-8052-BDDC26D721F9}"/>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78FF-44BB-8052-BDDC26D721F9}"/>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78FF-44BB-8052-BDDC26D721F9}"/>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78FF-44BB-8052-BDDC26D721F9}"/>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78FF-44BB-8052-BDDC26D721F9}"/>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78FF-44BB-8052-BDDC26D721F9}"/>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78FF-44BB-8052-BDDC26D721F9}"/>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78FF-44BB-8052-BDDC26D721F9}"/>
                </c:ext>
              </c:extLst>
            </c:dLbl>
            <c:dLbl>
              <c:idx val="55"/>
              <c:tx>
                <c:rich>
                  <a:bodyPr/>
                  <a:lstStyle/>
                  <a:p>
                    <a:fld id="{79BC1DA7-CECB-4A3E-A57B-484BF2907E13}"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41-78FF-44BB-8052-BDDC26D721F9}"/>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78FF-44BB-8052-BDDC26D721F9}"/>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78FF-44BB-8052-BDDC26D721F9}"/>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78FF-44BB-8052-BDDC26D721F9}"/>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78FF-44BB-8052-BDDC26D721F9}"/>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78FF-44BB-8052-BDDC26D721F9}"/>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7-78FF-44BB-8052-BDDC26D721F9}"/>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78FF-44BB-8052-BDDC26D721F9}"/>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78FF-44BB-8052-BDDC26D721F9}"/>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78FF-44BB-8052-BDDC26D721F9}"/>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78FF-44BB-8052-BDDC26D721F9}"/>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78FF-44BB-8052-BDDC26D721F9}"/>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78FF-44BB-8052-BDDC26D721F9}"/>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78FF-44BB-8052-BDDC26D721F9}"/>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78FF-44BB-8052-BDDC26D721F9}"/>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78FF-44BB-8052-BDDC26D721F9}"/>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78FF-44BB-8052-BDDC26D721F9}"/>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78FF-44BB-8052-BDDC26D721F9}"/>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78FF-44BB-8052-BDDC26D721F9}"/>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78FF-44BB-8052-BDDC26D721F9}"/>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78FF-44BB-8052-BDDC26D721F9}"/>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78FF-44BB-8052-BDDC26D721F9}"/>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78FF-44BB-8052-BDDC26D721F9}"/>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78FF-44BB-8052-BDDC26D721F9}"/>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78FF-44BB-8052-BDDC26D721F9}"/>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78FF-44BB-8052-BDDC26D721F9}"/>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78FF-44BB-8052-BDDC26D721F9}"/>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78FF-44BB-8052-BDDC26D721F9}"/>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78FF-44BB-8052-BDDC26D721F9}"/>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78FF-44BB-8052-BDDC26D721F9}"/>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F-78FF-44BB-8052-BDDC26D721F9}"/>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0-78FF-44BB-8052-BDDC26D721F9}"/>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1-78FF-44BB-8052-BDDC26D721F9}"/>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2-78FF-44BB-8052-BDDC26D721F9}"/>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3-78FF-44BB-8052-BDDC26D721F9}"/>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4-78FF-44BB-8052-BDDC26D721F9}"/>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5-78FF-44BB-8052-BDDC26D721F9}"/>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6-78FF-44BB-8052-BDDC26D721F9}"/>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7-78FF-44BB-8052-BDDC26D721F9}"/>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8-78FF-44BB-8052-BDDC26D721F9}"/>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9-78FF-44BB-8052-BDDC26D721F9}"/>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A-78FF-44BB-8052-BDDC26D721F9}"/>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B-78FF-44BB-8052-BDDC26D721F9}"/>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C-78FF-44BB-8052-BDDC26D721F9}"/>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D-78FF-44BB-8052-BDDC26D721F9}"/>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E-78FF-44BB-8052-BDDC26D721F9}"/>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F-78FF-44BB-8052-BDDC26D721F9}"/>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0-78FF-44BB-8052-BDDC26D721F9}"/>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1-78FF-44BB-8052-BDDC26D721F9}"/>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2-78FF-44BB-8052-BDDC26D721F9}"/>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3-78FF-44BB-8052-BDDC26D721F9}"/>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4-78FF-44BB-8052-BDDC26D721F9}"/>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5-78FF-44BB-8052-BDDC26D721F9}"/>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6-78FF-44BB-8052-BDDC26D721F9}"/>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7-78FF-44BB-8052-BDDC26D721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FF0000"/>
                      </a:solidFill>
                    </a:ln>
                    <a:solidFill>
                      <a:srgbClr val="FF000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'04-07-25-Scen4-ExFrontloadCargo'!$A$3:$A$112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'04-07-25-Scen4-ExFrontloadCargo'!$AR$3:$AR$112</c:f>
              <c:numCache>
                <c:formatCode>General</c:formatCode>
                <c:ptCount val="110"/>
                <c:pt idx="0">
                  <c:v>-72</c:v>
                </c:pt>
                <c:pt idx="1">
                  <c:v>#N/A</c:v>
                </c:pt>
                <c:pt idx="2">
                  <c:v>-72</c:v>
                </c:pt>
                <c:pt idx="3">
                  <c:v>-72</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-72</c:v>
                </c:pt>
                <c:pt idx="22">
                  <c:v>#N/A</c:v>
                </c:pt>
                <c:pt idx="23">
                  <c:v>#N/A</c:v>
                </c:pt>
                <c:pt idx="24">
                  <c:v>#N/A</c:v>
                </c:pt>
                <c:pt idx="25">
                  <c:v>#N/A</c:v>
                </c:pt>
                <c:pt idx="26">
                  <c:v>#N/A</c:v>
                </c:pt>
                <c:pt idx="27">
                  <c:v>#N/A</c:v>
                </c:pt>
                <c:pt idx="28">
                  <c:v>#N/A</c:v>
                </c:pt>
                <c:pt idx="29">
                  <c:v>#N/A</c:v>
                </c:pt>
                <c:pt idx="30">
                  <c:v>#N/A</c:v>
                </c:pt>
                <c:pt idx="31">
                  <c:v>#N/A</c:v>
                </c:pt>
                <c:pt idx="32">
                  <c:v>#N/A</c:v>
                </c:pt>
                <c:pt idx="33">
                  <c:v>#N/A</c:v>
                </c:pt>
                <c:pt idx="34">
                  <c:v>-72</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-72</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'04-07-25-Scen4-ExFrontloadCargo'!$X$3:$X$112</c15:f>
                <c15:dlblRangeCache>
                  <c:ptCount val="110"/>
                  <c:pt idx="0">
                    <c:v>1</c:v>
                  </c:pt>
                  <c:pt idx="2">
                    <c:v>6</c:v>
                  </c:pt>
                  <c:pt idx="3">
                    <c:v>1</c:v>
                  </c:pt>
                  <c:pt idx="21">
                    <c:v>6</c:v>
                  </c:pt>
                  <c:pt idx="34">
                    <c:v>4</c:v>
                  </c:pt>
                  <c:pt idx="55">
                    <c:v>2</c:v>
                  </c:pt>
                </c15:dlblRangeCache>
              </c15:datalabelsRange>
            </c:ext>
            <c:ext xmlns:c16="http://schemas.microsoft.com/office/drawing/2014/chart" uri="{C3380CC4-5D6E-409C-BE32-E72D297353CC}">
              <c16:uniqueId val="{00000078-78FF-44BB-8052-BDDC26D721F9}"/>
            </c:ext>
          </c:extLst>
        </c:ser>
        <c:ser>
          <c:idx val="13"/>
          <c:order val="9"/>
          <c:tx>
            <c:strRef>
              <c:f>'04-07-25-Scen4-ExFrontloadCargo'!$AS$1</c:f>
              <c:strCache>
                <c:ptCount val="1"/>
                <c:pt idx="0">
                  <c:v>Drilling Fuel Still Needed</c:v>
                </c:pt>
              </c:strCache>
            </c:strRef>
          </c:tx>
          <c:spPr>
            <a:ln w="19050" cap="rnd">
              <a:noFill/>
              <a:round/>
            </a:ln>
            <a:effectLst/>
          </c:spPr>
          <c:marker>
            <c:symbol val="x"/>
            <c:size val="10"/>
            <c:spPr>
              <a:solidFill>
                <a:schemeClr val="bg1"/>
              </a:solidFill>
              <a:ln w="31750">
                <a:solidFill>
                  <a:srgbClr val="FF0000"/>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9-78FF-44BB-8052-BDDC26D721F9}"/>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A-78FF-44BB-8052-BDDC26D721F9}"/>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B-78FF-44BB-8052-BDDC26D721F9}"/>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C-78FF-44BB-8052-BDDC26D721F9}"/>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D-78FF-44BB-8052-BDDC26D721F9}"/>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E-78FF-44BB-8052-BDDC26D721F9}"/>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F-78FF-44BB-8052-BDDC26D721F9}"/>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0-78FF-44BB-8052-BDDC26D721F9}"/>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1-78FF-44BB-8052-BDDC26D721F9}"/>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2-78FF-44BB-8052-BDDC26D721F9}"/>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3-78FF-44BB-8052-BDDC26D721F9}"/>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4-78FF-44BB-8052-BDDC26D721F9}"/>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5-78FF-44BB-8052-BDDC26D721F9}"/>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6-78FF-44BB-8052-BDDC26D721F9}"/>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7-78FF-44BB-8052-BDDC26D721F9}"/>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8-78FF-44BB-8052-BDDC26D721F9}"/>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9-78FF-44BB-8052-BDDC26D721F9}"/>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A-78FF-44BB-8052-BDDC26D721F9}"/>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B-78FF-44BB-8052-BDDC26D721F9}"/>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C-78FF-44BB-8052-BDDC26D721F9}"/>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D-78FF-44BB-8052-BDDC26D721F9}"/>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E-78FF-44BB-8052-BDDC26D721F9}"/>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F-78FF-44BB-8052-BDDC26D721F9}"/>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0-78FF-44BB-8052-BDDC26D721F9}"/>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1-78FF-44BB-8052-BDDC26D721F9}"/>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2-78FF-44BB-8052-BDDC26D721F9}"/>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3-78FF-44BB-8052-BDDC26D721F9}"/>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4-78FF-44BB-8052-BDDC26D721F9}"/>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5-78FF-44BB-8052-BDDC26D721F9}"/>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6-78FF-44BB-8052-BDDC26D721F9}"/>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7-78FF-44BB-8052-BDDC26D721F9}"/>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8-78FF-44BB-8052-BDDC26D721F9}"/>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9-78FF-44BB-8052-BDDC26D721F9}"/>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A-78FF-44BB-8052-BDDC26D721F9}"/>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B-78FF-44BB-8052-BDDC26D721F9}"/>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C-78FF-44BB-8052-BDDC26D721F9}"/>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D-78FF-44BB-8052-BDDC26D721F9}"/>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E-78FF-44BB-8052-BDDC26D721F9}"/>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F-78FF-44BB-8052-BDDC26D721F9}"/>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0-78FF-44BB-8052-BDDC26D721F9}"/>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1-78FF-44BB-8052-BDDC26D721F9}"/>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2-78FF-44BB-8052-BDDC26D721F9}"/>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3-78FF-44BB-8052-BDDC26D721F9}"/>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4-78FF-44BB-8052-BDDC26D721F9}"/>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5-78FF-44BB-8052-BDDC26D721F9}"/>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6-78FF-44BB-8052-BDDC26D721F9}"/>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7-78FF-44BB-8052-BDDC26D721F9}"/>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8-78FF-44BB-8052-BDDC26D721F9}"/>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9-78FF-44BB-8052-BDDC26D721F9}"/>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A-78FF-44BB-8052-BDDC26D721F9}"/>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B-78FF-44BB-8052-BDDC26D721F9}"/>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C-78FF-44BB-8052-BDDC26D721F9}"/>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D-78FF-44BB-8052-BDDC26D721F9}"/>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E-78FF-44BB-8052-BDDC26D721F9}"/>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F-78FF-44BB-8052-BDDC26D721F9}"/>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0-78FF-44BB-8052-BDDC26D721F9}"/>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1-78FF-44BB-8052-BDDC26D721F9}"/>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2-78FF-44BB-8052-BDDC26D721F9}"/>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3-78FF-44BB-8052-BDDC26D721F9}"/>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4-78FF-44BB-8052-BDDC26D721F9}"/>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5-78FF-44BB-8052-BDDC26D721F9}"/>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6-78FF-44BB-8052-BDDC26D721F9}"/>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7-78FF-44BB-8052-BDDC26D721F9}"/>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8-78FF-44BB-8052-BDDC26D721F9}"/>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9-78FF-44BB-8052-BDDC26D721F9}"/>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A-78FF-44BB-8052-BDDC26D721F9}"/>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B-78FF-44BB-8052-BDDC26D721F9}"/>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C-78FF-44BB-8052-BDDC26D721F9}"/>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D-78FF-44BB-8052-BDDC26D721F9}"/>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E-78FF-44BB-8052-BDDC26D721F9}"/>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F-78FF-44BB-8052-BDDC26D721F9}"/>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0-78FF-44BB-8052-BDDC26D721F9}"/>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1-78FF-44BB-8052-BDDC26D721F9}"/>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2-78FF-44BB-8052-BDDC26D721F9}"/>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3-78FF-44BB-8052-BDDC26D721F9}"/>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4-78FF-44BB-8052-BDDC26D721F9}"/>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5-78FF-44BB-8052-BDDC26D721F9}"/>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6-78FF-44BB-8052-BDDC26D721F9}"/>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7-78FF-44BB-8052-BDDC26D721F9}"/>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8-78FF-44BB-8052-BDDC26D721F9}"/>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9-78FF-44BB-8052-BDDC26D721F9}"/>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A-78FF-44BB-8052-BDDC26D721F9}"/>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B-78FF-44BB-8052-BDDC26D721F9}"/>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C-78FF-44BB-8052-BDDC26D721F9}"/>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D-78FF-44BB-8052-BDDC26D721F9}"/>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E-78FF-44BB-8052-BDDC26D721F9}"/>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F-78FF-44BB-8052-BDDC26D721F9}"/>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0-78FF-44BB-8052-BDDC26D721F9}"/>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1-78FF-44BB-8052-BDDC26D721F9}"/>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2-78FF-44BB-8052-BDDC26D721F9}"/>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3-78FF-44BB-8052-BDDC26D721F9}"/>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4-78FF-44BB-8052-BDDC26D721F9}"/>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5-78FF-44BB-8052-BDDC26D721F9}"/>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6-78FF-44BB-8052-BDDC26D721F9}"/>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7-78FF-44BB-8052-BDDC26D721F9}"/>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8-78FF-44BB-8052-BDDC26D721F9}"/>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9-78FF-44BB-8052-BDDC26D721F9}"/>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A-78FF-44BB-8052-BDDC26D721F9}"/>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B-78FF-44BB-8052-BDDC26D721F9}"/>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C-78FF-44BB-8052-BDDC26D721F9}"/>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D-78FF-44BB-8052-BDDC26D721F9}"/>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E-78FF-44BB-8052-BDDC26D721F9}"/>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F-78FF-44BB-8052-BDDC26D721F9}"/>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0-78FF-44BB-8052-BDDC26D721F9}"/>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1-78FF-44BB-8052-BDDC26D721F9}"/>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2-78FF-44BB-8052-BDDC26D721F9}"/>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3-78FF-44BB-8052-BDDC26D721F9}"/>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4-78FF-44BB-8052-BDDC26D721F9}"/>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5-78FF-44BB-8052-BDDC26D721F9}"/>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6-78FF-44BB-8052-BDDC26D721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FF0000"/>
                      </a:solidFill>
                    </a:ln>
                    <a:solidFill>
                      <a:srgbClr val="FF000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'04-07-25-Scen4-ExFrontloadCargo'!$A$3:$A$112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'04-07-25-Scen4-ExFrontloadCargo'!$AS$3:$AS$112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'04-07-25-Scen4-ExFrontloadCargo'!$Y$3:$Y$112</c15:f>
                <c15:dlblRangeCache>
                  <c:ptCount val="11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15:dlblRangeCache>
              </c15:datalabelsRange>
            </c:ext>
            <c:ext xmlns:c16="http://schemas.microsoft.com/office/drawing/2014/chart" uri="{C3380CC4-5D6E-409C-BE32-E72D297353CC}">
              <c16:uniqueId val="{000000E7-78FF-44BB-8052-BDDC26D721F9}"/>
            </c:ext>
          </c:extLst>
        </c:ser>
        <c:ser>
          <c:idx val="8"/>
          <c:order val="10"/>
          <c:tx>
            <c:strRef>
              <c:f>'04-07-25-Scen4-ExFrontloadCargo'!$AU$1</c:f>
              <c:strCache>
                <c:ptCount val="1"/>
                <c:pt idx="0">
                  <c:v>Drill Fluid Still Needed In</c:v>
                </c:pt>
              </c:strCache>
            </c:strRef>
          </c:tx>
          <c:spPr>
            <a:ln w="19050" cap="rnd">
              <a:noFill/>
              <a:round/>
            </a:ln>
            <a:effectLst/>
          </c:spPr>
          <c:marker>
            <c:symbol val="x"/>
            <c:size val="10"/>
            <c:spPr>
              <a:solidFill>
                <a:schemeClr val="bg1"/>
              </a:solidFill>
              <a:ln w="31750">
                <a:solidFill>
                  <a:schemeClr val="tx2">
                    <a:lumMod val="50000"/>
                    <a:lumOff val="50000"/>
                  </a:schemeClr>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8-78FF-44BB-8052-BDDC26D721F9}"/>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9-78FF-44BB-8052-BDDC26D721F9}"/>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A-78FF-44BB-8052-BDDC26D721F9}"/>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B-78FF-44BB-8052-BDDC26D721F9}"/>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C-78FF-44BB-8052-BDDC26D721F9}"/>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D-78FF-44BB-8052-BDDC26D721F9}"/>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E-78FF-44BB-8052-BDDC26D721F9}"/>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F-78FF-44BB-8052-BDDC26D721F9}"/>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0-78FF-44BB-8052-BDDC26D721F9}"/>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1-78FF-44BB-8052-BDDC26D721F9}"/>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2-78FF-44BB-8052-BDDC26D721F9}"/>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3-78FF-44BB-8052-BDDC26D721F9}"/>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4-78FF-44BB-8052-BDDC26D721F9}"/>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5-78FF-44BB-8052-BDDC26D721F9}"/>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6-78FF-44BB-8052-BDDC26D721F9}"/>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7-78FF-44BB-8052-BDDC26D721F9}"/>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8-78FF-44BB-8052-BDDC26D721F9}"/>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9-78FF-44BB-8052-BDDC26D721F9}"/>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A-78FF-44BB-8052-BDDC26D721F9}"/>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B-78FF-44BB-8052-BDDC26D721F9}"/>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C-78FF-44BB-8052-BDDC26D721F9}"/>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D-78FF-44BB-8052-BDDC26D721F9}"/>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E-78FF-44BB-8052-BDDC26D721F9}"/>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F-78FF-44BB-8052-BDDC26D721F9}"/>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0-78FF-44BB-8052-BDDC26D721F9}"/>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1-78FF-44BB-8052-BDDC26D721F9}"/>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2-78FF-44BB-8052-BDDC26D721F9}"/>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3-78FF-44BB-8052-BDDC26D721F9}"/>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4-78FF-44BB-8052-BDDC26D721F9}"/>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5-78FF-44BB-8052-BDDC26D721F9}"/>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6-78FF-44BB-8052-BDDC26D721F9}"/>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7-78FF-44BB-8052-BDDC26D721F9}"/>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8-78FF-44BB-8052-BDDC26D721F9}"/>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9-78FF-44BB-8052-BDDC26D721F9}"/>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A-78FF-44BB-8052-BDDC26D721F9}"/>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B-78FF-44BB-8052-BDDC26D721F9}"/>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C-78FF-44BB-8052-BDDC26D721F9}"/>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D-78FF-44BB-8052-BDDC26D721F9}"/>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E-78FF-44BB-8052-BDDC26D721F9}"/>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F-78FF-44BB-8052-BDDC26D721F9}"/>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0-78FF-44BB-8052-BDDC26D721F9}"/>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1-78FF-44BB-8052-BDDC26D721F9}"/>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2-78FF-44BB-8052-BDDC26D721F9}"/>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3-78FF-44BB-8052-BDDC26D721F9}"/>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4-78FF-44BB-8052-BDDC26D721F9}"/>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5-78FF-44BB-8052-BDDC26D721F9}"/>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6-78FF-44BB-8052-BDDC26D721F9}"/>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7-78FF-44BB-8052-BDDC26D721F9}"/>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8-78FF-44BB-8052-BDDC26D721F9}"/>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9-78FF-44BB-8052-BDDC26D721F9}"/>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A-78FF-44BB-8052-BDDC26D721F9}"/>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B-78FF-44BB-8052-BDDC26D721F9}"/>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C-78FF-44BB-8052-BDDC26D721F9}"/>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D-78FF-44BB-8052-BDDC26D721F9}"/>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E-78FF-44BB-8052-BDDC26D721F9}"/>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F-78FF-44BB-8052-BDDC26D721F9}"/>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0-78FF-44BB-8052-BDDC26D721F9}"/>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1-78FF-44BB-8052-BDDC26D721F9}"/>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2-78FF-44BB-8052-BDDC26D721F9}"/>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3-78FF-44BB-8052-BDDC26D721F9}"/>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4-78FF-44BB-8052-BDDC26D721F9}"/>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5-78FF-44BB-8052-BDDC26D721F9}"/>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6-78FF-44BB-8052-BDDC26D721F9}"/>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7-78FF-44BB-8052-BDDC26D721F9}"/>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8-78FF-44BB-8052-BDDC26D721F9}"/>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9-78FF-44BB-8052-BDDC26D721F9}"/>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A-78FF-44BB-8052-BDDC26D721F9}"/>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B-78FF-44BB-8052-BDDC26D721F9}"/>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C-78FF-44BB-8052-BDDC26D721F9}"/>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D-78FF-44BB-8052-BDDC26D721F9}"/>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E-78FF-44BB-8052-BDDC26D721F9}"/>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F-78FF-44BB-8052-BDDC26D721F9}"/>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0-78FF-44BB-8052-BDDC26D721F9}"/>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1-78FF-44BB-8052-BDDC26D721F9}"/>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2-78FF-44BB-8052-BDDC26D721F9}"/>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3-78FF-44BB-8052-BDDC26D721F9}"/>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4-78FF-44BB-8052-BDDC26D721F9}"/>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5-78FF-44BB-8052-BDDC26D721F9}"/>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6-78FF-44BB-8052-BDDC26D721F9}"/>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7-78FF-44BB-8052-BDDC26D721F9}"/>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8-78FF-44BB-8052-BDDC26D721F9}"/>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9-78FF-44BB-8052-BDDC26D721F9}"/>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A-78FF-44BB-8052-BDDC26D721F9}"/>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B-78FF-44BB-8052-BDDC26D721F9}"/>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C-78FF-44BB-8052-BDDC26D721F9}"/>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D-78FF-44BB-8052-BDDC26D721F9}"/>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E-78FF-44BB-8052-BDDC26D721F9}"/>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F-78FF-44BB-8052-BDDC26D721F9}"/>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0-78FF-44BB-8052-BDDC26D721F9}"/>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1-78FF-44BB-8052-BDDC26D721F9}"/>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2-78FF-44BB-8052-BDDC26D721F9}"/>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3-78FF-44BB-8052-BDDC26D721F9}"/>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4-78FF-44BB-8052-BDDC26D721F9}"/>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5-78FF-44BB-8052-BDDC26D721F9}"/>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6-78FF-44BB-8052-BDDC26D721F9}"/>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7-78FF-44BB-8052-BDDC26D721F9}"/>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8-78FF-44BB-8052-BDDC26D721F9}"/>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9-78FF-44BB-8052-BDDC26D721F9}"/>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A-78FF-44BB-8052-BDDC26D721F9}"/>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B-78FF-44BB-8052-BDDC26D721F9}"/>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C-78FF-44BB-8052-BDDC26D721F9}"/>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D-78FF-44BB-8052-BDDC26D721F9}"/>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E-78FF-44BB-8052-BDDC26D721F9}"/>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F-78FF-44BB-8052-BDDC26D721F9}"/>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0-78FF-44BB-8052-BDDC26D721F9}"/>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1-78FF-44BB-8052-BDDC26D721F9}"/>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2-78FF-44BB-8052-BDDC26D721F9}"/>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3-78FF-44BB-8052-BDDC26D721F9}"/>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4-78FF-44BB-8052-BDDC26D721F9}"/>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5-78FF-44BB-8052-BDDC26D721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2">
                          <a:lumMod val="50000"/>
                          <a:lumOff val="50000"/>
                        </a:schemeClr>
                      </a:solidFill>
                    </a:ln>
                    <a:solidFill>
                      <a:schemeClr val="tx2">
                        <a:lumMod val="50000"/>
                        <a:lumOff val="50000"/>
                      </a:schemeClr>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'04-07-25-Scen4-ExFrontloadCargo'!$A$3:$A$112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'04-07-25-Scen4-ExFrontloadCargo'!$AU$3:$AU$112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'04-07-25-Scen4-ExFrontloadCargo'!$AC$3:$AC$112</c15:f>
                <c15:dlblRangeCache>
                  <c:ptCount val="11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15:dlblRangeCache>
              </c15:datalabelsRange>
            </c:ext>
            <c:ext xmlns:c16="http://schemas.microsoft.com/office/drawing/2014/chart" uri="{C3380CC4-5D6E-409C-BE32-E72D297353CC}">
              <c16:uniqueId val="{00000156-78FF-44BB-8052-BDDC26D721F9}"/>
            </c:ext>
          </c:extLst>
        </c:ser>
        <c:ser>
          <c:idx val="9"/>
          <c:order val="11"/>
          <c:tx>
            <c:strRef>
              <c:f>'04-07-25-Scen4-ExFrontloadCargo'!$AT$1</c:f>
              <c:strCache>
                <c:ptCount val="1"/>
                <c:pt idx="0">
                  <c:v>Drill Fluid Planned In</c:v>
                </c:pt>
              </c:strCache>
            </c:strRef>
          </c:tx>
          <c:spPr>
            <a:ln w="19050" cap="rnd">
              <a:noFill/>
              <a:round/>
            </a:ln>
            <a:effectLst/>
          </c:spPr>
          <c:marker>
            <c:symbol val="circle"/>
            <c:size val="10"/>
            <c:spPr>
              <a:solidFill>
                <a:schemeClr val="bg1"/>
              </a:solidFill>
              <a:ln w="31750">
                <a:solidFill>
                  <a:schemeClr val="tx2">
                    <a:lumMod val="50000"/>
                    <a:lumOff val="50000"/>
                  </a:schemeClr>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7-78FF-44BB-8052-BDDC26D721F9}"/>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8-78FF-44BB-8052-BDDC26D721F9}"/>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9-78FF-44BB-8052-BDDC26D721F9}"/>
                </c:ext>
              </c:extLst>
            </c:dLbl>
            <c:dLbl>
              <c:idx val="3"/>
              <c:tx>
                <c:rich>
                  <a:bodyPr/>
                  <a:lstStyle/>
                  <a:p>
                    <a:fld id="{49C83B91-CB32-43BC-920E-809658957A81}"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5A-78FF-44BB-8052-BDDC26D721F9}"/>
                </c:ext>
              </c:extLst>
            </c:dLbl>
            <c:dLbl>
              <c:idx val="4"/>
              <c:tx>
                <c:rich>
                  <a:bodyPr/>
                  <a:lstStyle/>
                  <a:p>
                    <a:fld id="{83560E93-9012-4AAF-9605-DC24D0A95C8C}"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5B-78FF-44BB-8052-BDDC26D721F9}"/>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C-78FF-44BB-8052-BDDC26D721F9}"/>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D-78FF-44BB-8052-BDDC26D721F9}"/>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E-78FF-44BB-8052-BDDC26D721F9}"/>
                </c:ext>
              </c:extLst>
            </c:dLbl>
            <c:dLbl>
              <c:idx val="8"/>
              <c:tx>
                <c:rich>
                  <a:bodyPr/>
                  <a:lstStyle/>
                  <a:p>
                    <a:fld id="{800543E6-5509-46A6-8A89-3203C705FFF2}"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5F-78FF-44BB-8052-BDDC26D721F9}"/>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0-78FF-44BB-8052-BDDC26D721F9}"/>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1-78FF-44BB-8052-BDDC26D721F9}"/>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2-78FF-44BB-8052-BDDC26D721F9}"/>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3-78FF-44BB-8052-BDDC26D721F9}"/>
                </c:ext>
              </c:extLst>
            </c:dLbl>
            <c:dLbl>
              <c:idx val="13"/>
              <c:tx>
                <c:rich>
                  <a:bodyPr/>
                  <a:lstStyle/>
                  <a:p>
                    <a:fld id="{B6626112-D2E3-436D-9B26-664D60A71884}"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64-78FF-44BB-8052-BDDC26D721F9}"/>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5-78FF-44BB-8052-BDDC26D721F9}"/>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6-78FF-44BB-8052-BDDC26D721F9}"/>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7-78FF-44BB-8052-BDDC26D721F9}"/>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8-78FF-44BB-8052-BDDC26D721F9}"/>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9-78FF-44BB-8052-BDDC26D721F9}"/>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A-78FF-44BB-8052-BDDC26D721F9}"/>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B-78FF-44BB-8052-BDDC26D721F9}"/>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C-78FF-44BB-8052-BDDC26D721F9}"/>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D-78FF-44BB-8052-BDDC26D721F9}"/>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E-78FF-44BB-8052-BDDC26D721F9}"/>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F-78FF-44BB-8052-BDDC26D721F9}"/>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0-78FF-44BB-8052-BDDC26D721F9}"/>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1-78FF-44BB-8052-BDDC26D721F9}"/>
                </c:ext>
              </c:extLst>
            </c:dLbl>
            <c:dLbl>
              <c:idx val="27"/>
              <c:tx>
                <c:rich>
                  <a:bodyPr/>
                  <a:lstStyle/>
                  <a:p>
                    <a:fld id="{71E3FD6A-81A5-4353-A3C9-428E4AC0D2EE}"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2-78FF-44BB-8052-BDDC26D721F9}"/>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3-78FF-44BB-8052-BDDC26D721F9}"/>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4-78FF-44BB-8052-BDDC26D721F9}"/>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5-78FF-44BB-8052-BDDC26D721F9}"/>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6-78FF-44BB-8052-BDDC26D721F9}"/>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7-78FF-44BB-8052-BDDC26D721F9}"/>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8-78FF-44BB-8052-BDDC26D721F9}"/>
                </c:ext>
              </c:extLst>
            </c:dLbl>
            <c:dLbl>
              <c:idx val="34"/>
              <c:tx>
                <c:rich>
                  <a:bodyPr/>
                  <a:lstStyle/>
                  <a:p>
                    <a:fld id="{09CAA1D8-7FF8-4522-BEC8-05F02FEECE40}"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79-78FF-44BB-8052-BDDC26D721F9}"/>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A-78FF-44BB-8052-BDDC26D721F9}"/>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B-78FF-44BB-8052-BDDC26D721F9}"/>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C-78FF-44BB-8052-BDDC26D721F9}"/>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D-78FF-44BB-8052-BDDC26D721F9}"/>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E-78FF-44BB-8052-BDDC26D721F9}"/>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F-78FF-44BB-8052-BDDC26D721F9}"/>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0-78FF-44BB-8052-BDDC26D721F9}"/>
                </c:ext>
              </c:extLst>
            </c:dLbl>
            <c:dLbl>
              <c:idx val="42"/>
              <c:tx>
                <c:rich>
                  <a:bodyPr/>
                  <a:lstStyle/>
                  <a:p>
                    <a:fld id="{4C6341FC-733B-4598-B943-C992E332205F}"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1-78FF-44BB-8052-BDDC26D721F9}"/>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2-78FF-44BB-8052-BDDC26D721F9}"/>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3-78FF-44BB-8052-BDDC26D721F9}"/>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4-78FF-44BB-8052-BDDC26D721F9}"/>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5-78FF-44BB-8052-BDDC26D721F9}"/>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6-78FF-44BB-8052-BDDC26D721F9}"/>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7-78FF-44BB-8052-BDDC26D721F9}"/>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8-78FF-44BB-8052-BDDC26D721F9}"/>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9-78FF-44BB-8052-BDDC26D721F9}"/>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A-78FF-44BB-8052-BDDC26D721F9}"/>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B-78FF-44BB-8052-BDDC26D721F9}"/>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C-78FF-44BB-8052-BDDC26D721F9}"/>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D-78FF-44BB-8052-BDDC26D721F9}"/>
                </c:ext>
              </c:extLst>
            </c:dLbl>
            <c:dLbl>
              <c:idx val="55"/>
              <c:tx>
                <c:rich>
                  <a:bodyPr/>
                  <a:lstStyle/>
                  <a:p>
                    <a:fld id="{A8500880-9C29-45AC-995F-15069F0C94FD}"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8E-78FF-44BB-8052-BDDC26D721F9}"/>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F-78FF-44BB-8052-BDDC26D721F9}"/>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0-78FF-44BB-8052-BDDC26D721F9}"/>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1-78FF-44BB-8052-BDDC26D721F9}"/>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2-78FF-44BB-8052-BDDC26D721F9}"/>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3-78FF-44BB-8052-BDDC26D721F9}"/>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4-78FF-44BB-8052-BDDC26D721F9}"/>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5-78FF-44BB-8052-BDDC26D721F9}"/>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6-78FF-44BB-8052-BDDC26D721F9}"/>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7-78FF-44BB-8052-BDDC26D721F9}"/>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8-78FF-44BB-8052-BDDC26D721F9}"/>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9-78FF-44BB-8052-BDDC26D721F9}"/>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A-78FF-44BB-8052-BDDC26D721F9}"/>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B-78FF-44BB-8052-BDDC26D721F9}"/>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C-78FF-44BB-8052-BDDC26D721F9}"/>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D-78FF-44BB-8052-BDDC26D721F9}"/>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E-78FF-44BB-8052-BDDC26D721F9}"/>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F-78FF-44BB-8052-BDDC26D721F9}"/>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0-78FF-44BB-8052-BDDC26D721F9}"/>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1-78FF-44BB-8052-BDDC26D721F9}"/>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2-78FF-44BB-8052-BDDC26D721F9}"/>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3-78FF-44BB-8052-BDDC26D721F9}"/>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4-78FF-44BB-8052-BDDC26D721F9}"/>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5-78FF-44BB-8052-BDDC26D721F9}"/>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6-78FF-44BB-8052-BDDC26D721F9}"/>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7-78FF-44BB-8052-BDDC26D721F9}"/>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8-78FF-44BB-8052-BDDC26D721F9}"/>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9-78FF-44BB-8052-BDDC26D721F9}"/>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A-78FF-44BB-8052-BDDC26D721F9}"/>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B-78FF-44BB-8052-BDDC26D721F9}"/>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C-78FF-44BB-8052-BDDC26D721F9}"/>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D-78FF-44BB-8052-BDDC26D721F9}"/>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E-78FF-44BB-8052-BDDC26D721F9}"/>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F-78FF-44BB-8052-BDDC26D721F9}"/>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0-78FF-44BB-8052-BDDC26D721F9}"/>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1-78FF-44BB-8052-BDDC26D721F9}"/>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2-78FF-44BB-8052-BDDC26D721F9}"/>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3-78FF-44BB-8052-BDDC26D721F9}"/>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4-78FF-44BB-8052-BDDC26D721F9}"/>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5-78FF-44BB-8052-BDDC26D721F9}"/>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6-78FF-44BB-8052-BDDC26D721F9}"/>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7-78FF-44BB-8052-BDDC26D721F9}"/>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8-78FF-44BB-8052-BDDC26D721F9}"/>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9-78FF-44BB-8052-BDDC26D721F9}"/>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A-78FF-44BB-8052-BDDC26D721F9}"/>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B-78FF-44BB-8052-BDDC26D721F9}"/>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C-78FF-44BB-8052-BDDC26D721F9}"/>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D-78FF-44BB-8052-BDDC26D721F9}"/>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E-78FF-44BB-8052-BDDC26D721F9}"/>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F-78FF-44BB-8052-BDDC26D721F9}"/>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0-78FF-44BB-8052-BDDC26D721F9}"/>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1-78FF-44BB-8052-BDDC26D721F9}"/>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2-78FF-44BB-8052-BDDC26D721F9}"/>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3-78FF-44BB-8052-BDDC26D721F9}"/>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4-78FF-44BB-8052-BDDC26D721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2">
                          <a:lumMod val="50000"/>
                          <a:lumOff val="50000"/>
                        </a:schemeClr>
                      </a:solidFill>
                    </a:ln>
                    <a:solidFill>
                      <a:schemeClr val="tx2">
                        <a:lumMod val="50000"/>
                        <a:lumOff val="50000"/>
                      </a:schemeClr>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'04-07-25-Scen4-ExFrontloadCargo'!$A$3:$A$112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'04-07-25-Scen4-ExFrontloadCargo'!$AT$3:$AT$112</c:f>
              <c:numCache>
                <c:formatCode>General</c:formatCode>
                <c:ptCount val="110"/>
                <c:pt idx="0">
                  <c:v>#N/A</c:v>
                </c:pt>
                <c:pt idx="1">
                  <c:v>#N/A</c:v>
                </c:pt>
                <c:pt idx="2">
                  <c:v>#N/A</c:v>
                </c:pt>
                <c:pt idx="3">
                  <c:v>-144</c:v>
                </c:pt>
                <c:pt idx="4">
                  <c:v>-144</c:v>
                </c:pt>
                <c:pt idx="5">
                  <c:v>#N/A</c:v>
                </c:pt>
                <c:pt idx="6">
                  <c:v>#N/A</c:v>
                </c:pt>
                <c:pt idx="7">
                  <c:v>#N/A</c:v>
                </c:pt>
                <c:pt idx="8">
                  <c:v>-144</c:v>
                </c:pt>
                <c:pt idx="9">
                  <c:v>#N/A</c:v>
                </c:pt>
                <c:pt idx="10">
                  <c:v>#N/A</c:v>
                </c:pt>
                <c:pt idx="11">
                  <c:v>#N/A</c:v>
                </c:pt>
                <c:pt idx="12">
                  <c:v>#N/A</c:v>
                </c:pt>
                <c:pt idx="13">
                  <c:v>-144</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-144</c:v>
                </c:pt>
                <c:pt idx="28">
                  <c:v>#N/A</c:v>
                </c:pt>
                <c:pt idx="29">
                  <c:v>#N/A</c:v>
                </c:pt>
                <c:pt idx="30">
                  <c:v>#N/A</c:v>
                </c:pt>
                <c:pt idx="31">
                  <c:v>#N/A</c:v>
                </c:pt>
                <c:pt idx="32">
                  <c:v>#N/A</c:v>
                </c:pt>
                <c:pt idx="33">
                  <c:v>#N/A</c:v>
                </c:pt>
                <c:pt idx="34">
                  <c:v>-144</c:v>
                </c:pt>
                <c:pt idx="35">
                  <c:v>#N/A</c:v>
                </c:pt>
                <c:pt idx="36">
                  <c:v>#N/A</c:v>
                </c:pt>
                <c:pt idx="37">
                  <c:v>#N/A</c:v>
                </c:pt>
                <c:pt idx="38">
                  <c:v>#N/A</c:v>
                </c:pt>
                <c:pt idx="39">
                  <c:v>#N/A</c:v>
                </c:pt>
                <c:pt idx="40">
                  <c:v>#N/A</c:v>
                </c:pt>
                <c:pt idx="41">
                  <c:v>#N/A</c:v>
                </c:pt>
                <c:pt idx="42">
                  <c:v>-144</c:v>
                </c:pt>
                <c:pt idx="43">
                  <c:v>#N/A</c:v>
                </c:pt>
                <c:pt idx="44">
                  <c:v>#N/A</c:v>
                </c:pt>
                <c:pt idx="45">
                  <c:v>#N/A</c:v>
                </c:pt>
                <c:pt idx="46">
                  <c:v>#N/A</c:v>
                </c:pt>
                <c:pt idx="47">
                  <c:v>#N/A</c:v>
                </c:pt>
                <c:pt idx="48">
                  <c:v>#N/A</c:v>
                </c:pt>
                <c:pt idx="49">
                  <c:v>#N/A</c:v>
                </c:pt>
                <c:pt idx="50">
                  <c:v>#N/A</c:v>
                </c:pt>
                <c:pt idx="51">
                  <c:v>#N/A</c:v>
                </c:pt>
                <c:pt idx="52">
                  <c:v>#N/A</c:v>
                </c:pt>
                <c:pt idx="53">
                  <c:v>#N/A</c:v>
                </c:pt>
                <c:pt idx="54">
                  <c:v>#N/A</c:v>
                </c:pt>
                <c:pt idx="55">
                  <c:v>-144</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'04-07-25-Scen4-ExFrontloadCargo'!$AB$3:$AB$112</c15:f>
                <c15:dlblRangeCache>
                  <c:ptCount val="110"/>
                  <c:pt idx="3">
                    <c:v>5</c:v>
                  </c:pt>
                  <c:pt idx="4">
                    <c:v>6</c:v>
                  </c:pt>
                  <c:pt idx="8">
                    <c:v>6</c:v>
                  </c:pt>
                  <c:pt idx="13">
                    <c:v>6</c:v>
                  </c:pt>
                  <c:pt idx="27">
                    <c:v>6</c:v>
                  </c:pt>
                  <c:pt idx="34">
                    <c:v>2</c:v>
                  </c:pt>
                  <c:pt idx="42">
                    <c:v>6</c:v>
                  </c:pt>
                  <c:pt idx="55">
                    <c:v>3</c:v>
                  </c:pt>
                </c15:dlblRangeCache>
              </c15:datalabelsRange>
            </c:ext>
            <c:ext xmlns:c16="http://schemas.microsoft.com/office/drawing/2014/chart" uri="{C3380CC4-5D6E-409C-BE32-E72D297353CC}">
              <c16:uniqueId val="{000001C5-78FF-44BB-8052-BDDC26D721F9}"/>
            </c:ext>
          </c:extLst>
        </c:ser>
        <c:ser>
          <c:idx val="10"/>
          <c:order val="12"/>
          <c:tx>
            <c:strRef>
              <c:f>'04-07-25-Scen4-ExFrontloadCargo'!$AV$1</c:f>
              <c:strCache>
                <c:ptCount val="1"/>
                <c:pt idx="0">
                  <c:v>Ice Core Boxes Planned OUT</c:v>
                </c:pt>
              </c:strCache>
            </c:strRef>
          </c:tx>
          <c:spPr>
            <a:ln w="19050" cap="rnd">
              <a:noFill/>
              <a:round/>
            </a:ln>
            <a:effectLst/>
          </c:spPr>
          <c:marker>
            <c:symbol val="circle"/>
            <c:size val="10"/>
            <c:spPr>
              <a:solidFill>
                <a:schemeClr val="bg1"/>
              </a:solidFill>
              <a:ln w="31750">
                <a:solidFill>
                  <a:srgbClr val="00B050"/>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6-78FF-44BB-8052-BDDC26D721F9}"/>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7-78FF-44BB-8052-BDDC26D721F9}"/>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8-78FF-44BB-8052-BDDC26D721F9}"/>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9-78FF-44BB-8052-BDDC26D721F9}"/>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A-78FF-44BB-8052-BDDC26D721F9}"/>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B-78FF-44BB-8052-BDDC26D721F9}"/>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C-78FF-44BB-8052-BDDC26D721F9}"/>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D-78FF-44BB-8052-BDDC26D721F9}"/>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E-78FF-44BB-8052-BDDC26D721F9}"/>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F-78FF-44BB-8052-BDDC26D721F9}"/>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0-78FF-44BB-8052-BDDC26D721F9}"/>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1-78FF-44BB-8052-BDDC26D721F9}"/>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2-78FF-44BB-8052-BDDC26D721F9}"/>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3-78FF-44BB-8052-BDDC26D721F9}"/>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4-78FF-44BB-8052-BDDC26D721F9}"/>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5-78FF-44BB-8052-BDDC26D721F9}"/>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6-78FF-44BB-8052-BDDC26D721F9}"/>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7-78FF-44BB-8052-BDDC26D721F9}"/>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8-78FF-44BB-8052-BDDC26D721F9}"/>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9-78FF-44BB-8052-BDDC26D721F9}"/>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A-78FF-44BB-8052-BDDC26D721F9}"/>
                </c:ext>
              </c:extLst>
            </c:dLbl>
            <c:dLbl>
              <c:idx val="21"/>
              <c:tx>
                <c:rich>
                  <a:bodyPr/>
                  <a:lstStyle/>
                  <a:p>
                    <a:fld id="{25433080-1230-40E2-AA4D-D2FACF5EFDF9}"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DB-78FF-44BB-8052-BDDC26D721F9}"/>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C-78FF-44BB-8052-BDDC26D721F9}"/>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D-78FF-44BB-8052-BDDC26D721F9}"/>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E-78FF-44BB-8052-BDDC26D721F9}"/>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F-78FF-44BB-8052-BDDC26D721F9}"/>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0-78FF-44BB-8052-BDDC26D721F9}"/>
                </c:ext>
              </c:extLst>
            </c:dLbl>
            <c:dLbl>
              <c:idx val="27"/>
              <c:tx>
                <c:rich>
                  <a:bodyPr/>
                  <a:lstStyle/>
                  <a:p>
                    <a:fld id="{D19C2DE7-284F-467F-8C50-EBB6446B488C}"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E1-78FF-44BB-8052-BDDC26D721F9}"/>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2-78FF-44BB-8052-BDDC26D721F9}"/>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3-78FF-44BB-8052-BDDC26D721F9}"/>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4-78FF-44BB-8052-BDDC26D721F9}"/>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5-78FF-44BB-8052-BDDC26D721F9}"/>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6-78FF-44BB-8052-BDDC26D721F9}"/>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7-78FF-44BB-8052-BDDC26D721F9}"/>
                </c:ext>
              </c:extLst>
            </c:dLbl>
            <c:dLbl>
              <c:idx val="34"/>
              <c:tx>
                <c:rich>
                  <a:bodyPr/>
                  <a:lstStyle/>
                  <a:p>
                    <a:fld id="{0FCD5BBC-FD53-4154-9782-D9D9C6B8BF48}"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E8-78FF-44BB-8052-BDDC26D721F9}"/>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9-78FF-44BB-8052-BDDC26D721F9}"/>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A-78FF-44BB-8052-BDDC26D721F9}"/>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B-78FF-44BB-8052-BDDC26D721F9}"/>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C-78FF-44BB-8052-BDDC26D721F9}"/>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D-78FF-44BB-8052-BDDC26D721F9}"/>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E-78FF-44BB-8052-BDDC26D721F9}"/>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F-78FF-44BB-8052-BDDC26D721F9}"/>
                </c:ext>
              </c:extLst>
            </c:dLbl>
            <c:dLbl>
              <c:idx val="42"/>
              <c:tx>
                <c:rich>
                  <a:bodyPr/>
                  <a:lstStyle/>
                  <a:p>
                    <a:fld id="{9672744F-EA8D-4C9F-8062-118512382030}"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F0-78FF-44BB-8052-BDDC26D721F9}"/>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1-78FF-44BB-8052-BDDC26D721F9}"/>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2-78FF-44BB-8052-BDDC26D721F9}"/>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3-78FF-44BB-8052-BDDC26D721F9}"/>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4-78FF-44BB-8052-BDDC26D721F9}"/>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5-78FF-44BB-8052-BDDC26D721F9}"/>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6-78FF-44BB-8052-BDDC26D721F9}"/>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7-78FF-44BB-8052-BDDC26D721F9}"/>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8-78FF-44BB-8052-BDDC26D721F9}"/>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9-78FF-44BB-8052-BDDC26D721F9}"/>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A-78FF-44BB-8052-BDDC26D721F9}"/>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B-78FF-44BB-8052-BDDC26D721F9}"/>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C-78FF-44BB-8052-BDDC26D721F9}"/>
                </c:ext>
              </c:extLst>
            </c:dLbl>
            <c:dLbl>
              <c:idx val="55"/>
              <c:tx>
                <c:rich>
                  <a:bodyPr/>
                  <a:lstStyle/>
                  <a:p>
                    <a:fld id="{2AC18F8E-FC01-4F58-ACEC-93B129A33E43}"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FD-78FF-44BB-8052-BDDC26D721F9}"/>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E-78FF-44BB-8052-BDDC26D721F9}"/>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F-78FF-44BB-8052-BDDC26D721F9}"/>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0-78FF-44BB-8052-BDDC26D721F9}"/>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1-78FF-44BB-8052-BDDC26D721F9}"/>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2-78FF-44BB-8052-BDDC26D721F9}"/>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3-78FF-44BB-8052-BDDC26D721F9}"/>
                </c:ext>
              </c:extLst>
            </c:dLbl>
            <c:dLbl>
              <c:idx val="62"/>
              <c:tx>
                <c:rich>
                  <a:bodyPr/>
                  <a:lstStyle/>
                  <a:p>
                    <a:fld id="{80DA8EAB-2EC1-4315-AF1B-D9B7D826AC6B}"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04-78FF-44BB-8052-BDDC26D721F9}"/>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5-78FF-44BB-8052-BDDC26D721F9}"/>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6-78FF-44BB-8052-BDDC26D721F9}"/>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7-78FF-44BB-8052-BDDC26D721F9}"/>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8-78FF-44BB-8052-BDDC26D721F9}"/>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9-78FF-44BB-8052-BDDC26D721F9}"/>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A-78FF-44BB-8052-BDDC26D721F9}"/>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B-78FF-44BB-8052-BDDC26D721F9}"/>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C-78FF-44BB-8052-BDDC26D721F9}"/>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D-78FF-44BB-8052-BDDC26D721F9}"/>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E-78FF-44BB-8052-BDDC26D721F9}"/>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F-78FF-44BB-8052-BDDC26D721F9}"/>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0-78FF-44BB-8052-BDDC26D721F9}"/>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1-78FF-44BB-8052-BDDC26D721F9}"/>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2-78FF-44BB-8052-BDDC26D721F9}"/>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3-78FF-44BB-8052-BDDC26D721F9}"/>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4-78FF-44BB-8052-BDDC26D721F9}"/>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5-78FF-44BB-8052-BDDC26D721F9}"/>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6-78FF-44BB-8052-BDDC26D721F9}"/>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7-78FF-44BB-8052-BDDC26D721F9}"/>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8-78FF-44BB-8052-BDDC26D721F9}"/>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9-78FF-44BB-8052-BDDC26D721F9}"/>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A-78FF-44BB-8052-BDDC26D721F9}"/>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B-78FF-44BB-8052-BDDC26D721F9}"/>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C-78FF-44BB-8052-BDDC26D721F9}"/>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D-78FF-44BB-8052-BDDC26D721F9}"/>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E-78FF-44BB-8052-BDDC26D721F9}"/>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F-78FF-44BB-8052-BDDC26D721F9}"/>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0-78FF-44BB-8052-BDDC26D721F9}"/>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1-78FF-44BB-8052-BDDC26D721F9}"/>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2-78FF-44BB-8052-BDDC26D721F9}"/>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3-78FF-44BB-8052-BDDC26D721F9}"/>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4-78FF-44BB-8052-BDDC26D721F9}"/>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5-78FF-44BB-8052-BDDC26D721F9}"/>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6-78FF-44BB-8052-BDDC26D721F9}"/>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7-78FF-44BB-8052-BDDC26D721F9}"/>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8-78FF-44BB-8052-BDDC26D721F9}"/>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9-78FF-44BB-8052-BDDC26D721F9}"/>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A-78FF-44BB-8052-BDDC26D721F9}"/>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B-78FF-44BB-8052-BDDC26D721F9}"/>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C-78FF-44BB-8052-BDDC26D721F9}"/>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D-78FF-44BB-8052-BDDC26D721F9}"/>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E-78FF-44BB-8052-BDDC26D721F9}"/>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F-78FF-44BB-8052-BDDC26D721F9}"/>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0-78FF-44BB-8052-BDDC26D721F9}"/>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1-78FF-44BB-8052-BDDC26D721F9}"/>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2-78FF-44BB-8052-BDDC26D721F9}"/>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3-78FF-44BB-8052-BDDC26D721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B050"/>
                      </a:solidFill>
                    </a:ln>
                    <a:solidFill>
                      <a:srgbClr val="00B05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'04-07-25-Scen4-ExFrontloadCargo'!$A$3:$A$112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'04-07-25-Scen4-ExFrontloadCargo'!$AV$3:$AV$112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-216</c:v>
                </c:pt>
                <c:pt idx="22">
                  <c:v>#N/A</c:v>
                </c:pt>
                <c:pt idx="23">
                  <c:v>#N/A</c:v>
                </c:pt>
                <c:pt idx="24">
                  <c:v>#N/A</c:v>
                </c:pt>
                <c:pt idx="25">
                  <c:v>#N/A</c:v>
                </c:pt>
                <c:pt idx="26">
                  <c:v>#N/A</c:v>
                </c:pt>
                <c:pt idx="27">
                  <c:v>-216</c:v>
                </c:pt>
                <c:pt idx="28">
                  <c:v>#N/A</c:v>
                </c:pt>
                <c:pt idx="29">
                  <c:v>#N/A</c:v>
                </c:pt>
                <c:pt idx="30">
                  <c:v>#N/A</c:v>
                </c:pt>
                <c:pt idx="31">
                  <c:v>#N/A</c:v>
                </c:pt>
                <c:pt idx="32">
                  <c:v>#N/A</c:v>
                </c:pt>
                <c:pt idx="33">
                  <c:v>#N/A</c:v>
                </c:pt>
                <c:pt idx="34">
                  <c:v>-216</c:v>
                </c:pt>
                <c:pt idx="35">
                  <c:v>#N/A</c:v>
                </c:pt>
                <c:pt idx="36">
                  <c:v>#N/A</c:v>
                </c:pt>
                <c:pt idx="37">
                  <c:v>#N/A</c:v>
                </c:pt>
                <c:pt idx="38">
                  <c:v>#N/A</c:v>
                </c:pt>
                <c:pt idx="39">
                  <c:v>#N/A</c:v>
                </c:pt>
                <c:pt idx="40">
                  <c:v>#N/A</c:v>
                </c:pt>
                <c:pt idx="41">
                  <c:v>#N/A</c:v>
                </c:pt>
                <c:pt idx="42">
                  <c:v>-216</c:v>
                </c:pt>
                <c:pt idx="43">
                  <c:v>#N/A</c:v>
                </c:pt>
                <c:pt idx="44">
                  <c:v>#N/A</c:v>
                </c:pt>
                <c:pt idx="45">
                  <c:v>#N/A</c:v>
                </c:pt>
                <c:pt idx="46">
                  <c:v>#N/A</c:v>
                </c:pt>
                <c:pt idx="47">
                  <c:v>#N/A</c:v>
                </c:pt>
                <c:pt idx="48">
                  <c:v>#N/A</c:v>
                </c:pt>
                <c:pt idx="49">
                  <c:v>#N/A</c:v>
                </c:pt>
                <c:pt idx="50">
                  <c:v>#N/A</c:v>
                </c:pt>
                <c:pt idx="51">
                  <c:v>#N/A</c:v>
                </c:pt>
                <c:pt idx="52">
                  <c:v>#N/A</c:v>
                </c:pt>
                <c:pt idx="53">
                  <c:v>#N/A</c:v>
                </c:pt>
                <c:pt idx="54">
                  <c:v>#N/A</c:v>
                </c:pt>
                <c:pt idx="55">
                  <c:v>-216</c:v>
                </c:pt>
                <c:pt idx="56">
                  <c:v>#N/A</c:v>
                </c:pt>
                <c:pt idx="57">
                  <c:v>#N/A</c:v>
                </c:pt>
                <c:pt idx="58">
                  <c:v>#N/A</c:v>
                </c:pt>
                <c:pt idx="59">
                  <c:v>#N/A</c:v>
                </c:pt>
                <c:pt idx="60">
                  <c:v>#N/A</c:v>
                </c:pt>
                <c:pt idx="61">
                  <c:v>#N/A</c:v>
                </c:pt>
                <c:pt idx="62">
                  <c:v>-216</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'04-07-25-Scen4-ExFrontloadCargo'!$AH$3:$AH$112</c15:f>
                <c15:dlblRangeCache>
                  <c:ptCount val="110"/>
                  <c:pt idx="21">
                    <c:v>20</c:v>
                  </c:pt>
                  <c:pt idx="27">
                    <c:v>20</c:v>
                  </c:pt>
                  <c:pt idx="34">
                    <c:v>20</c:v>
                  </c:pt>
                  <c:pt idx="42">
                    <c:v>20</c:v>
                  </c:pt>
                  <c:pt idx="55">
                    <c:v>20</c:v>
                  </c:pt>
                  <c:pt idx="62">
                    <c:v>9.8</c:v>
                  </c:pt>
                </c15:dlblRangeCache>
              </c15:datalabelsRange>
            </c:ext>
            <c:ext xmlns:c16="http://schemas.microsoft.com/office/drawing/2014/chart" uri="{C3380CC4-5D6E-409C-BE32-E72D297353CC}">
              <c16:uniqueId val="{00000234-78FF-44BB-8052-BDDC26D721F9}"/>
            </c:ext>
          </c:extLst>
        </c:ser>
        <c:ser>
          <c:idx val="11"/>
          <c:order val="13"/>
          <c:tx>
            <c:strRef>
              <c:f>'04-07-25-Scen4-ExFrontloadCargo'!$AW$1</c:f>
              <c:strCache>
                <c:ptCount val="1"/>
                <c:pt idx="0">
                  <c:v>Ice Core Boxes Still Needed OUT</c:v>
                </c:pt>
              </c:strCache>
            </c:strRef>
          </c:tx>
          <c:spPr>
            <a:ln w="19050" cap="rnd">
              <a:noFill/>
              <a:round/>
            </a:ln>
            <a:effectLst/>
          </c:spPr>
          <c:marker>
            <c:symbol val="x"/>
            <c:size val="10"/>
            <c:spPr>
              <a:noFill/>
              <a:ln w="31750">
                <a:solidFill>
                  <a:srgbClr val="00B050"/>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5-78FF-44BB-8052-BDDC26D721F9}"/>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6-78FF-44BB-8052-BDDC26D721F9}"/>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7-78FF-44BB-8052-BDDC26D721F9}"/>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8-78FF-44BB-8052-BDDC26D721F9}"/>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9-78FF-44BB-8052-BDDC26D721F9}"/>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A-78FF-44BB-8052-BDDC26D721F9}"/>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B-78FF-44BB-8052-BDDC26D721F9}"/>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C-78FF-44BB-8052-BDDC26D721F9}"/>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D-78FF-44BB-8052-BDDC26D721F9}"/>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E-78FF-44BB-8052-BDDC26D721F9}"/>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F-78FF-44BB-8052-BDDC26D721F9}"/>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0-78FF-44BB-8052-BDDC26D721F9}"/>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1-78FF-44BB-8052-BDDC26D721F9}"/>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2-78FF-44BB-8052-BDDC26D721F9}"/>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3-78FF-44BB-8052-BDDC26D721F9}"/>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4-78FF-44BB-8052-BDDC26D721F9}"/>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5-78FF-44BB-8052-BDDC26D721F9}"/>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6-78FF-44BB-8052-BDDC26D721F9}"/>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7-78FF-44BB-8052-BDDC26D721F9}"/>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8-78FF-44BB-8052-BDDC26D721F9}"/>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9-78FF-44BB-8052-BDDC26D721F9}"/>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A-78FF-44BB-8052-BDDC26D721F9}"/>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B-78FF-44BB-8052-BDDC26D721F9}"/>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C-78FF-44BB-8052-BDDC26D721F9}"/>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D-78FF-44BB-8052-BDDC26D721F9}"/>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E-78FF-44BB-8052-BDDC26D721F9}"/>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F-78FF-44BB-8052-BDDC26D721F9}"/>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0-78FF-44BB-8052-BDDC26D721F9}"/>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1-78FF-44BB-8052-BDDC26D721F9}"/>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2-78FF-44BB-8052-BDDC26D721F9}"/>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3-78FF-44BB-8052-BDDC26D721F9}"/>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4-78FF-44BB-8052-BDDC26D721F9}"/>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5-78FF-44BB-8052-BDDC26D721F9}"/>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6-78FF-44BB-8052-BDDC26D721F9}"/>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7-78FF-44BB-8052-BDDC26D721F9}"/>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8-78FF-44BB-8052-BDDC26D721F9}"/>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9-78FF-44BB-8052-BDDC26D721F9}"/>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A-78FF-44BB-8052-BDDC26D721F9}"/>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B-78FF-44BB-8052-BDDC26D721F9}"/>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C-78FF-44BB-8052-BDDC26D721F9}"/>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D-78FF-44BB-8052-BDDC26D721F9}"/>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E-78FF-44BB-8052-BDDC26D721F9}"/>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F-78FF-44BB-8052-BDDC26D721F9}"/>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0-78FF-44BB-8052-BDDC26D721F9}"/>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1-78FF-44BB-8052-BDDC26D721F9}"/>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2-78FF-44BB-8052-BDDC26D721F9}"/>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3-78FF-44BB-8052-BDDC26D721F9}"/>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4-78FF-44BB-8052-BDDC26D721F9}"/>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5-78FF-44BB-8052-BDDC26D721F9}"/>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6-78FF-44BB-8052-BDDC26D721F9}"/>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7-78FF-44BB-8052-BDDC26D721F9}"/>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8-78FF-44BB-8052-BDDC26D721F9}"/>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9-78FF-44BB-8052-BDDC26D721F9}"/>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A-78FF-44BB-8052-BDDC26D721F9}"/>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B-78FF-44BB-8052-BDDC26D721F9}"/>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C-78FF-44BB-8052-BDDC26D721F9}"/>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D-78FF-44BB-8052-BDDC26D721F9}"/>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E-78FF-44BB-8052-BDDC26D721F9}"/>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F-78FF-44BB-8052-BDDC26D721F9}"/>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0-78FF-44BB-8052-BDDC26D721F9}"/>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1-78FF-44BB-8052-BDDC26D721F9}"/>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2-78FF-44BB-8052-BDDC26D721F9}"/>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3-78FF-44BB-8052-BDDC26D721F9}"/>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4-78FF-44BB-8052-BDDC26D721F9}"/>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5-78FF-44BB-8052-BDDC26D721F9}"/>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6-78FF-44BB-8052-BDDC26D721F9}"/>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7-78FF-44BB-8052-BDDC26D721F9}"/>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8-78FF-44BB-8052-BDDC26D721F9}"/>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9-78FF-44BB-8052-BDDC26D721F9}"/>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A-78FF-44BB-8052-BDDC26D721F9}"/>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B-78FF-44BB-8052-BDDC26D721F9}"/>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C-78FF-44BB-8052-BDDC26D721F9}"/>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D-78FF-44BB-8052-BDDC26D721F9}"/>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E-78FF-44BB-8052-BDDC26D721F9}"/>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F-78FF-44BB-8052-BDDC26D721F9}"/>
                </c:ext>
              </c:extLst>
            </c:dLbl>
            <c:dLbl>
              <c:idx val="75"/>
              <c:tx>
                <c:rich>
                  <a:bodyPr/>
                  <a:lstStyle/>
                  <a:p>
                    <a:fld id="{31435380-7D66-48C0-A51C-B100CB98446B}"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80-78FF-44BB-8052-BDDC26D721F9}"/>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1-78FF-44BB-8052-BDDC26D721F9}"/>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2-78FF-44BB-8052-BDDC26D721F9}"/>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3-78FF-44BB-8052-BDDC26D721F9}"/>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4-78FF-44BB-8052-BDDC26D721F9}"/>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5-78FF-44BB-8052-BDDC26D721F9}"/>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6-78FF-44BB-8052-BDDC26D721F9}"/>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7-78FF-44BB-8052-BDDC26D721F9}"/>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8-78FF-44BB-8052-BDDC26D721F9}"/>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9-78FF-44BB-8052-BDDC26D721F9}"/>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A-78FF-44BB-8052-BDDC26D721F9}"/>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B-78FF-44BB-8052-BDDC26D721F9}"/>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C-78FF-44BB-8052-BDDC26D721F9}"/>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D-78FF-44BB-8052-BDDC26D721F9}"/>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E-78FF-44BB-8052-BDDC26D721F9}"/>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F-78FF-44BB-8052-BDDC26D721F9}"/>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0-78FF-44BB-8052-BDDC26D721F9}"/>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1-78FF-44BB-8052-BDDC26D721F9}"/>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2-78FF-44BB-8052-BDDC26D721F9}"/>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3-78FF-44BB-8052-BDDC26D721F9}"/>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4-78FF-44BB-8052-BDDC26D721F9}"/>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5-78FF-44BB-8052-BDDC26D721F9}"/>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6-78FF-44BB-8052-BDDC26D721F9}"/>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7-78FF-44BB-8052-BDDC26D721F9}"/>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8-78FF-44BB-8052-BDDC26D721F9}"/>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9-78FF-44BB-8052-BDDC26D721F9}"/>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A-78FF-44BB-8052-BDDC26D721F9}"/>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B-78FF-44BB-8052-BDDC26D721F9}"/>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C-78FF-44BB-8052-BDDC26D721F9}"/>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D-78FF-44BB-8052-BDDC26D721F9}"/>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E-78FF-44BB-8052-BDDC26D721F9}"/>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F-78FF-44BB-8052-BDDC26D721F9}"/>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A0-78FF-44BB-8052-BDDC26D721F9}"/>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A1-78FF-44BB-8052-BDDC26D721F9}"/>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A2-78FF-44BB-8052-BDDC26D721F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B050"/>
                      </a:solidFill>
                    </a:ln>
                    <a:solidFill>
                      <a:srgbClr val="00B05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'04-07-25-Scen4-ExFrontloadCargo'!$A$3:$A$112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'04-07-25-Scen4-ExFrontloadCargo'!$AW$3:$AW$112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-216</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'04-07-25-Scen4-ExFrontloadCargo'!$AI$3:$AI$112</c15:f>
                <c15:dlblRangeCache>
                  <c:ptCount val="110"/>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pt idx="43">
                    <c:v>0.0</c:v>
                  </c:pt>
                  <c:pt idx="44">
                    <c:v>0.0</c:v>
                  </c:pt>
                  <c:pt idx="45">
                    <c:v>0.0</c:v>
                  </c:pt>
                  <c:pt idx="46">
                    <c:v>0.0</c:v>
                  </c:pt>
                  <c:pt idx="47">
                    <c:v>0.0</c:v>
                  </c:pt>
                  <c:pt idx="48">
                    <c:v>0.0</c:v>
                  </c:pt>
                  <c:pt idx="49">
                    <c:v>0.0</c:v>
                  </c:pt>
                  <c:pt idx="50">
                    <c:v>0.0</c:v>
                  </c:pt>
                  <c:pt idx="51">
                    <c:v>0.0</c:v>
                  </c:pt>
                  <c:pt idx="52">
                    <c:v>0.0</c:v>
                  </c:pt>
                  <c:pt idx="53">
                    <c:v>0.0</c:v>
                  </c:pt>
                  <c:pt idx="54">
                    <c:v>0.0</c:v>
                  </c:pt>
                  <c:pt idx="55">
                    <c:v>0.0</c:v>
                  </c:pt>
                  <c:pt idx="56">
                    <c:v>0.0</c:v>
                  </c:pt>
                  <c:pt idx="57">
                    <c:v>0.0</c:v>
                  </c:pt>
                  <c:pt idx="58">
                    <c:v>0.0</c:v>
                  </c:pt>
                  <c:pt idx="59">
                    <c:v>0.0</c:v>
                  </c:pt>
                  <c:pt idx="60">
                    <c:v>0.0</c:v>
                  </c:pt>
                  <c:pt idx="61">
                    <c:v>0.0</c:v>
                  </c:pt>
                  <c:pt idx="62">
                    <c:v>0.0</c:v>
                  </c:pt>
                  <c:pt idx="63">
                    <c:v>0.0</c:v>
                  </c:pt>
                  <c:pt idx="64">
                    <c:v>0.0</c:v>
                  </c:pt>
                  <c:pt idx="65">
                    <c:v>0.0</c:v>
                  </c:pt>
                  <c:pt idx="66">
                    <c:v>0.0</c:v>
                  </c:pt>
                  <c:pt idx="67">
                    <c:v>0.0</c:v>
                  </c:pt>
                  <c:pt idx="68">
                    <c:v>0.0</c:v>
                  </c:pt>
                  <c:pt idx="69">
                    <c:v>0.0</c:v>
                  </c:pt>
                  <c:pt idx="70">
                    <c:v>0.0</c:v>
                  </c:pt>
                  <c:pt idx="71">
                    <c:v>0.0</c:v>
                  </c:pt>
                  <c:pt idx="72">
                    <c:v>0.0</c:v>
                  </c:pt>
                  <c:pt idx="73">
                    <c:v>0.0</c:v>
                  </c:pt>
                  <c:pt idx="74">
                    <c:v>0.0</c:v>
                  </c:pt>
                  <c:pt idx="75">
                    <c:v>0.0</c:v>
                  </c:pt>
                  <c:pt idx="76">
                    <c:v>0.0</c:v>
                  </c:pt>
                  <c:pt idx="77">
                    <c:v>0.0</c:v>
                  </c:pt>
                  <c:pt idx="78">
                    <c:v>0.0</c:v>
                  </c:pt>
                  <c:pt idx="79">
                    <c:v>0.0</c:v>
                  </c:pt>
                  <c:pt idx="80">
                    <c:v>0.0</c:v>
                  </c:pt>
                  <c:pt idx="81">
                    <c:v>0.0</c:v>
                  </c:pt>
                  <c:pt idx="82">
                    <c:v>0.0</c:v>
                  </c:pt>
                  <c:pt idx="83">
                    <c:v>0.0</c:v>
                  </c:pt>
                  <c:pt idx="84">
                    <c:v>0.0</c:v>
                  </c:pt>
                  <c:pt idx="85">
                    <c:v>0.0</c:v>
                  </c:pt>
                  <c:pt idx="86">
                    <c:v>0.0</c:v>
                  </c:pt>
                  <c:pt idx="87">
                    <c:v>0.0</c:v>
                  </c:pt>
                  <c:pt idx="88">
                    <c:v>0.0</c:v>
                  </c:pt>
                  <c:pt idx="89">
                    <c:v>0.0</c:v>
                  </c:pt>
                  <c:pt idx="90">
                    <c:v>0.0</c:v>
                  </c:pt>
                  <c:pt idx="91">
                    <c:v>0.0</c:v>
                  </c:pt>
                  <c:pt idx="92">
                    <c:v>0.0</c:v>
                  </c:pt>
                  <c:pt idx="93">
                    <c:v>0.0</c:v>
                  </c:pt>
                  <c:pt idx="94">
                    <c:v>0.0</c:v>
                  </c:pt>
                  <c:pt idx="95">
                    <c:v>0.0</c:v>
                  </c:pt>
                  <c:pt idx="96">
                    <c:v>0.0</c:v>
                  </c:pt>
                  <c:pt idx="97">
                    <c:v>0.0</c:v>
                  </c:pt>
                  <c:pt idx="98">
                    <c:v>0.0</c:v>
                  </c:pt>
                  <c:pt idx="99">
                    <c:v>0.0</c:v>
                  </c:pt>
                  <c:pt idx="100">
                    <c:v>0.0</c:v>
                  </c:pt>
                  <c:pt idx="101">
                    <c:v>0.0</c:v>
                  </c:pt>
                  <c:pt idx="102">
                    <c:v>0.0</c:v>
                  </c:pt>
                  <c:pt idx="103">
                    <c:v>0.0</c:v>
                  </c:pt>
                  <c:pt idx="104">
                    <c:v>0.0</c:v>
                  </c:pt>
                  <c:pt idx="105">
                    <c:v>0.0</c:v>
                  </c:pt>
                  <c:pt idx="106">
                    <c:v>0.0</c:v>
                  </c:pt>
                  <c:pt idx="107">
                    <c:v>0.0</c:v>
                  </c:pt>
                  <c:pt idx="108">
                    <c:v>0.0</c:v>
                  </c:pt>
                  <c:pt idx="109">
                    <c:v>0.0</c:v>
                  </c:pt>
                </c15:dlblRangeCache>
              </c15:datalabelsRange>
            </c:ext>
            <c:ext xmlns:c16="http://schemas.microsoft.com/office/drawing/2014/chart" uri="{C3380CC4-5D6E-409C-BE32-E72D297353CC}">
              <c16:uniqueId val="{000002A3-78FF-44BB-8052-BDDC26D721F9}"/>
            </c:ext>
          </c:extLst>
        </c:ser>
        <c:dLbls>
          <c:showLegendKey val="0"/>
          <c:showVal val="0"/>
          <c:showCatName val="0"/>
          <c:showSerName val="0"/>
          <c:showPercent val="0"/>
          <c:showBubbleSize val="0"/>
        </c:dLbls>
        <c:axId val="311442800"/>
        <c:axId val="311442320"/>
      </c:scatterChart>
      <c:valAx>
        <c:axId val="31144280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dd/mm" sourceLinked="1"/>
        <c:majorTickMark val="none"/>
        <c:minorTickMark val="none"/>
        <c:tickLblPos val="nextTo"/>
        <c:spPr>
          <a:noFill/>
          <a:ln w="9525" cap="flat" cmpd="sng" algn="ctr">
            <a:solidFill>
              <a:schemeClr val="tx1">
                <a:lumMod val="25000"/>
                <a:lumOff val="7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442320"/>
        <c:crosses val="autoZero"/>
        <c:crossBetween val="midCat"/>
        <c:majorUnit val="7"/>
        <c:minorUnit val="1"/>
      </c:valAx>
      <c:valAx>
        <c:axId val="3114423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44280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Consumables</a:t>
            </a:r>
            <a:r>
              <a:rPr lang="en-GB" b="1" baseline="0"/>
              <a:t> in Camp</a:t>
            </a:r>
            <a:endParaRPr lang="en-GB" b="1"/>
          </a:p>
        </c:rich>
      </c:tx>
      <c:layout>
        <c:manualLayout>
          <c:xMode val="edge"/>
          <c:yMode val="edge"/>
          <c:x val="0.35868508257076437"/>
          <c:y val="3.8523267986456528E-2"/>
        </c:manualLayout>
      </c:layout>
      <c:overlay val="1"/>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scatterChart>
        <c:scatterStyle val="lineMarker"/>
        <c:varyColors val="0"/>
        <c:ser>
          <c:idx val="0"/>
          <c:order val="0"/>
          <c:tx>
            <c:strRef>
              <c:f>'04-07-25-Scen4-ExFrontloadCargo'!$AX$1</c:f>
              <c:strCache>
                <c:ptCount val="1"/>
                <c:pt idx="0">
                  <c:v>Drilling Fuel in Camp</c:v>
                </c:pt>
              </c:strCache>
            </c:strRef>
          </c:tx>
          <c:spPr>
            <a:ln w="19050" cap="rnd">
              <a:solidFill>
                <a:srgbClr val="FF0000"/>
              </a:solidFill>
              <a:round/>
            </a:ln>
            <a:effectLst/>
          </c:spPr>
          <c:marker>
            <c:symbol val="none"/>
          </c:marker>
          <c:xVal>
            <c:numRef>
              <c:f>'04-07-25-Scen4-ExFrontloadCargo'!$A$3:$A$112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'04-07-25-Scen4-ExFrontloadCargo'!$AX$3:$AX$112</c:f>
              <c:numCache>
                <c:formatCode>0</c:formatCode>
                <c:ptCount val="110"/>
                <c:pt idx="0">
                  <c:v>0</c:v>
                </c:pt>
                <c:pt idx="1">
                  <c:v>1</c:v>
                </c:pt>
                <c:pt idx="2">
                  <c:v>1</c:v>
                </c:pt>
                <c:pt idx="3">
                  <c:v>7</c:v>
                </c:pt>
                <c:pt idx="4">
                  <c:v>8</c:v>
                </c:pt>
                <c:pt idx="5">
                  <c:v>8</c:v>
                </c:pt>
                <c:pt idx="6">
                  <c:v>8</c:v>
                </c:pt>
                <c:pt idx="7">
                  <c:v>8</c:v>
                </c:pt>
                <c:pt idx="8">
                  <c:v>8</c:v>
                </c:pt>
                <c:pt idx="9">
                  <c:v>8</c:v>
                </c:pt>
                <c:pt idx="10">
                  <c:v>8</c:v>
                </c:pt>
                <c:pt idx="11">
                  <c:v>8</c:v>
                </c:pt>
                <c:pt idx="12">
                  <c:v>8</c:v>
                </c:pt>
                <c:pt idx="13">
                  <c:v>8</c:v>
                </c:pt>
                <c:pt idx="14">
                  <c:v>7.8396747967479676</c:v>
                </c:pt>
                <c:pt idx="15">
                  <c:v>7.6793495934959353</c:v>
                </c:pt>
                <c:pt idx="16">
                  <c:v>7.5190243902439029</c:v>
                </c:pt>
                <c:pt idx="17">
                  <c:v>7.0380487804878049</c:v>
                </c:pt>
                <c:pt idx="18">
                  <c:v>7.0380487804878049</c:v>
                </c:pt>
                <c:pt idx="19">
                  <c:v>6.5570731707317069</c:v>
                </c:pt>
                <c:pt idx="20">
                  <c:v>6.0760975609756089</c:v>
                </c:pt>
                <c:pt idx="21">
                  <c:v>5.5951219512195109</c:v>
                </c:pt>
                <c:pt idx="22">
                  <c:v>11.114146341463414</c:v>
                </c:pt>
                <c:pt idx="23">
                  <c:v>10.633170731707317</c:v>
                </c:pt>
                <c:pt idx="24">
                  <c:v>10.15219512195122</c:v>
                </c:pt>
                <c:pt idx="25">
                  <c:v>10.15219512195122</c:v>
                </c:pt>
                <c:pt idx="26">
                  <c:v>9.6712195121951225</c:v>
                </c:pt>
                <c:pt idx="27">
                  <c:v>9.1902439024390254</c:v>
                </c:pt>
                <c:pt idx="28">
                  <c:v>8.7092682926829283</c:v>
                </c:pt>
                <c:pt idx="29">
                  <c:v>8.2282926829268312</c:v>
                </c:pt>
                <c:pt idx="30">
                  <c:v>7.7473170731707333</c:v>
                </c:pt>
                <c:pt idx="31">
                  <c:v>7.2663414634146353</c:v>
                </c:pt>
                <c:pt idx="32">
                  <c:v>7.2663414634146353</c:v>
                </c:pt>
                <c:pt idx="33">
                  <c:v>6.7853658536585373</c:v>
                </c:pt>
                <c:pt idx="34">
                  <c:v>6.3043902439024393</c:v>
                </c:pt>
                <c:pt idx="35">
                  <c:v>9.8234146341463422</c:v>
                </c:pt>
                <c:pt idx="36">
                  <c:v>9.3424390243902451</c:v>
                </c:pt>
                <c:pt idx="37">
                  <c:v>8.861463414634148</c:v>
                </c:pt>
                <c:pt idx="38">
                  <c:v>8.3804878048780509</c:v>
                </c:pt>
                <c:pt idx="39">
                  <c:v>8.3804878048780509</c:v>
                </c:pt>
                <c:pt idx="40">
                  <c:v>7.8995121951219529</c:v>
                </c:pt>
                <c:pt idx="41">
                  <c:v>7.4185365853658549</c:v>
                </c:pt>
                <c:pt idx="42">
                  <c:v>6.9375609756097569</c:v>
                </c:pt>
                <c:pt idx="43">
                  <c:v>6.9375609756097569</c:v>
                </c:pt>
                <c:pt idx="44">
                  <c:v>6.4565853658536589</c:v>
                </c:pt>
                <c:pt idx="45">
                  <c:v>5.975609756097561</c:v>
                </c:pt>
                <c:pt idx="46">
                  <c:v>5.6549593495934962</c:v>
                </c:pt>
                <c:pt idx="47">
                  <c:v>5.3343089430894315</c:v>
                </c:pt>
                <c:pt idx="48">
                  <c:v>5.0136585365853668</c:v>
                </c:pt>
                <c:pt idx="49">
                  <c:v>5.0136585365853668</c:v>
                </c:pt>
                <c:pt idx="50">
                  <c:v>4.693008130081302</c:v>
                </c:pt>
                <c:pt idx="51">
                  <c:v>4.3723577235772373</c:v>
                </c:pt>
                <c:pt idx="52">
                  <c:v>4.0517073170731726</c:v>
                </c:pt>
                <c:pt idx="53">
                  <c:v>4.0517073170731726</c:v>
                </c:pt>
                <c:pt idx="54">
                  <c:v>3.7310569105691074</c:v>
                </c:pt>
                <c:pt idx="55">
                  <c:v>3.4104065040650422</c:v>
                </c:pt>
                <c:pt idx="56">
                  <c:v>5.0897560975609775</c:v>
                </c:pt>
                <c:pt idx="57">
                  <c:v>4.7691056910569127</c:v>
                </c:pt>
                <c:pt idx="58">
                  <c:v>4.448455284552848</c:v>
                </c:pt>
                <c:pt idx="59">
                  <c:v>4.1278048780487833</c:v>
                </c:pt>
                <c:pt idx="60">
                  <c:v>4.1278048780487833</c:v>
                </c:pt>
                <c:pt idx="61">
                  <c:v>3.8071544715447181</c:v>
                </c:pt>
                <c:pt idx="62">
                  <c:v>3.4865040650406529</c:v>
                </c:pt>
                <c:pt idx="63">
                  <c:v>2.9011382113821162</c:v>
                </c:pt>
                <c:pt idx="64">
                  <c:v>2.3157723577235796</c:v>
                </c:pt>
                <c:pt idx="65">
                  <c:v>1.7304065040650429</c:v>
                </c:pt>
                <c:pt idx="66">
                  <c:v>1.1450406504065063</c:v>
                </c:pt>
                <c:pt idx="67">
                  <c:v>0.55967479674796961</c:v>
                </c:pt>
                <c:pt idx="68">
                  <c:v>0.26699186991870127</c:v>
                </c:pt>
                <c:pt idx="69">
                  <c:v>0.26699186991870127</c:v>
                </c:pt>
                <c:pt idx="70">
                  <c:v>0.26699186991870127</c:v>
                </c:pt>
                <c:pt idx="71">
                  <c:v>0.26699186991870127</c:v>
                </c:pt>
                <c:pt idx="72">
                  <c:v>0.26699186991870127</c:v>
                </c:pt>
                <c:pt idx="73">
                  <c:v>0.26699186991870127</c:v>
                </c:pt>
                <c:pt idx="74">
                  <c:v>0.26699186991870127</c:v>
                </c:pt>
                <c:pt idx="75">
                  <c:v>0.26699186991870127</c:v>
                </c:pt>
                <c:pt idx="76">
                  <c:v>0.26699186991870127</c:v>
                </c:pt>
                <c:pt idx="77">
                  <c:v>0.26699186991870127</c:v>
                </c:pt>
                <c:pt idx="78">
                  <c:v>0.26699186991870127</c:v>
                </c:pt>
                <c:pt idx="79">
                  <c:v>0.26699186991870127</c:v>
                </c:pt>
                <c:pt idx="80">
                  <c:v>0.26699186991870127</c:v>
                </c:pt>
                <c:pt idx="81">
                  <c:v>0.26699186991870127</c:v>
                </c:pt>
                <c:pt idx="82">
                  <c:v>0.26699186991870127</c:v>
                </c:pt>
                <c:pt idx="83">
                  <c:v>0.26699186991870127</c:v>
                </c:pt>
                <c:pt idx="84">
                  <c:v>0.26699186991870127</c:v>
                </c:pt>
                <c:pt idx="85">
                  <c:v>0.26699186991870127</c:v>
                </c:pt>
                <c:pt idx="86">
                  <c:v>0.26699186991870127</c:v>
                </c:pt>
                <c:pt idx="87">
                  <c:v>0.26699186991870127</c:v>
                </c:pt>
                <c:pt idx="88">
                  <c:v>0.26699186991870127</c:v>
                </c:pt>
                <c:pt idx="89">
                  <c:v>0.26699186991870127</c:v>
                </c:pt>
                <c:pt idx="90">
                  <c:v>0.26699186991870127</c:v>
                </c:pt>
                <c:pt idx="91">
                  <c:v>0.26699186991870127</c:v>
                </c:pt>
                <c:pt idx="92">
                  <c:v>0.26699186991870127</c:v>
                </c:pt>
                <c:pt idx="93">
                  <c:v>0.26699186991870127</c:v>
                </c:pt>
                <c:pt idx="94">
                  <c:v>0.26699186991870127</c:v>
                </c:pt>
                <c:pt idx="95">
                  <c:v>0.26699186991870127</c:v>
                </c:pt>
                <c:pt idx="96">
                  <c:v>0.26699186991870127</c:v>
                </c:pt>
                <c:pt idx="97">
                  <c:v>0.26699186991870127</c:v>
                </c:pt>
                <c:pt idx="98">
                  <c:v>0.26699186991870127</c:v>
                </c:pt>
                <c:pt idx="99">
                  <c:v>0.26699186991870127</c:v>
                </c:pt>
                <c:pt idx="100">
                  <c:v>0.26699186991870127</c:v>
                </c:pt>
                <c:pt idx="101">
                  <c:v>0.26699186991870127</c:v>
                </c:pt>
                <c:pt idx="102">
                  <c:v>0.26699186991870127</c:v>
                </c:pt>
                <c:pt idx="103">
                  <c:v>0.26699186991870127</c:v>
                </c:pt>
                <c:pt idx="104">
                  <c:v>0.26699186991870127</c:v>
                </c:pt>
                <c:pt idx="105">
                  <c:v>0.26699186991870127</c:v>
                </c:pt>
                <c:pt idx="106">
                  <c:v>0.26699186991870127</c:v>
                </c:pt>
                <c:pt idx="107">
                  <c:v>0.26699186991870127</c:v>
                </c:pt>
                <c:pt idx="108">
                  <c:v>0.26699186991870127</c:v>
                </c:pt>
                <c:pt idx="109">
                  <c:v>0.26699186991870127</c:v>
                </c:pt>
              </c:numCache>
            </c:numRef>
          </c:yVal>
          <c:smooth val="0"/>
          <c:extLst>
            <c:ext xmlns:c16="http://schemas.microsoft.com/office/drawing/2014/chart" uri="{C3380CC4-5D6E-409C-BE32-E72D297353CC}">
              <c16:uniqueId val="{00000000-38DF-49BC-9C62-EAB755D3A1C6}"/>
            </c:ext>
          </c:extLst>
        </c:ser>
        <c:ser>
          <c:idx val="1"/>
          <c:order val="1"/>
          <c:tx>
            <c:strRef>
              <c:f>'04-07-25-Scen4-ExFrontloadCargo'!$AY$1</c:f>
              <c:strCache>
                <c:ptCount val="1"/>
                <c:pt idx="0">
                  <c:v>D60 in Camp (excl Borehole)</c:v>
                </c:pt>
              </c:strCache>
            </c:strRef>
          </c:tx>
          <c:spPr>
            <a:ln w="19050" cap="rnd">
              <a:solidFill>
                <a:schemeClr val="tx2">
                  <a:lumMod val="50000"/>
                  <a:lumOff val="50000"/>
                </a:schemeClr>
              </a:solidFill>
              <a:round/>
            </a:ln>
            <a:effectLst/>
          </c:spPr>
          <c:marker>
            <c:symbol val="none"/>
          </c:marker>
          <c:xVal>
            <c:numRef>
              <c:f>'04-07-25-Scen4-ExFrontloadCargo'!$A$3:$A$112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'04-07-25-Scen4-ExFrontloadCargo'!$AY$3:$AY$112</c:f>
              <c:numCache>
                <c:formatCode>0</c:formatCode>
                <c:ptCount val="110"/>
                <c:pt idx="0">
                  <c:v>4</c:v>
                </c:pt>
                <c:pt idx="1">
                  <c:v>4</c:v>
                </c:pt>
                <c:pt idx="2">
                  <c:v>4</c:v>
                </c:pt>
                <c:pt idx="3">
                  <c:v>9</c:v>
                </c:pt>
                <c:pt idx="4">
                  <c:v>15</c:v>
                </c:pt>
                <c:pt idx="5">
                  <c:v>15</c:v>
                </c:pt>
                <c:pt idx="6">
                  <c:v>15</c:v>
                </c:pt>
                <c:pt idx="7">
                  <c:v>15</c:v>
                </c:pt>
                <c:pt idx="8">
                  <c:v>21</c:v>
                </c:pt>
                <c:pt idx="9">
                  <c:v>21</c:v>
                </c:pt>
                <c:pt idx="10">
                  <c:v>21</c:v>
                </c:pt>
                <c:pt idx="11">
                  <c:v>21</c:v>
                </c:pt>
                <c:pt idx="12">
                  <c:v>21</c:v>
                </c:pt>
                <c:pt idx="13">
                  <c:v>27</c:v>
                </c:pt>
                <c:pt idx="14">
                  <c:v>27</c:v>
                </c:pt>
                <c:pt idx="15">
                  <c:v>26.365985758115091</c:v>
                </c:pt>
                <c:pt idx="16">
                  <c:v>25.730805910396562</c:v>
                </c:pt>
                <c:pt idx="17">
                  <c:v>23.880639535375156</c:v>
                </c:pt>
                <c:pt idx="18">
                  <c:v>23.880639535375156</c:v>
                </c:pt>
                <c:pt idx="19">
                  <c:v>22.105704228941754</c:v>
                </c:pt>
                <c:pt idx="20">
                  <c:v>20.397507083522786</c:v>
                </c:pt>
                <c:pt idx="21">
                  <c:v>18.749042209490291</c:v>
                </c:pt>
                <c:pt idx="22">
                  <c:v>17.154449905292541</c:v>
                </c:pt>
                <c:pt idx="23">
                  <c:v>15.608770137977674</c:v>
                </c:pt>
                <c:pt idx="24">
                  <c:v>14.107760273603771</c:v>
                </c:pt>
                <c:pt idx="25">
                  <c:v>14.107760273603771</c:v>
                </c:pt>
                <c:pt idx="26">
                  <c:v>12.647757704298559</c:v>
                </c:pt>
                <c:pt idx="27">
                  <c:v>17.225574552656607</c:v>
                </c:pt>
                <c:pt idx="28">
                  <c:v>15.838415747713977</c:v>
                </c:pt>
                <c:pt idx="29">
                  <c:v>14.483814428486106</c:v>
                </c:pt>
                <c:pt idx="30">
                  <c:v>13.159580395741958</c:v>
                </c:pt>
                <c:pt idx="31">
                  <c:v>11.863758528293104</c:v>
                </c:pt>
                <c:pt idx="32">
                  <c:v>11.863758528293097</c:v>
                </c:pt>
                <c:pt idx="33">
                  <c:v>10.594594906055555</c:v>
                </c:pt>
                <c:pt idx="34">
                  <c:v>11.350508962900378</c:v>
                </c:pt>
                <c:pt idx="35">
                  <c:v>10.130070407227986</c:v>
                </c:pt>
                <c:pt idx="36">
                  <c:v>8.9319799489917386</c:v>
                </c:pt>
                <c:pt idx="37">
                  <c:v>7.7550530928830845</c:v>
                </c:pt>
                <c:pt idx="38">
                  <c:v>6.5982064217532717</c:v>
                </c:pt>
                <c:pt idx="39">
                  <c:v>6.5982064217532717</c:v>
                </c:pt>
                <c:pt idx="40">
                  <c:v>5.4604459179876521</c:v>
                </c:pt>
                <c:pt idx="41">
                  <c:v>4.3408569645377533</c:v>
                </c:pt>
                <c:pt idx="42">
                  <c:v>9.2385957394643512</c:v>
                </c:pt>
                <c:pt idx="43">
                  <c:v>9.2385957394643512</c:v>
                </c:pt>
                <c:pt idx="44">
                  <c:v>8.1528817737315151</c:v>
                </c:pt>
                <c:pt idx="45">
                  <c:v>7.082991485649849</c:v>
                </c:pt>
                <c:pt idx="46">
                  <c:v>6.3781882525437013</c:v>
                </c:pt>
                <c:pt idx="47">
                  <c:v>5.6799304056170143</c:v>
                </c:pt>
                <c:pt idx="48">
                  <c:v>4.9880389050922744</c:v>
                </c:pt>
                <c:pt idx="49">
                  <c:v>4.9880389050922744</c:v>
                </c:pt>
                <c:pt idx="50">
                  <c:v>4.3023427276332171</c:v>
                </c:pt>
                <c:pt idx="51">
                  <c:v>3.6226783726606371</c:v>
                </c:pt>
                <c:pt idx="52">
                  <c:v>2.948889407083378</c:v>
                </c:pt>
                <c:pt idx="53">
                  <c:v>2.948889407083378</c:v>
                </c:pt>
                <c:pt idx="54">
                  <c:v>2.2808260448528515</c:v>
                </c:pt>
                <c:pt idx="55">
                  <c:v>4.6183447581400259</c:v>
                </c:pt>
                <c:pt idx="56">
                  <c:v>3.961307917275434</c:v>
                </c:pt>
                <c:pt idx="57">
                  <c:v>3.3095834568938187</c:v>
                </c:pt>
                <c:pt idx="58">
                  <c:v>2.6630445659893596</c:v>
                </c:pt>
                <c:pt idx="59">
                  <c:v>2.0215693998212814</c:v>
                </c:pt>
                <c:pt idx="60">
                  <c:v>2.0215693998212814</c:v>
                </c:pt>
                <c:pt idx="61">
                  <c:v>1.3850408118159763</c:v>
                </c:pt>
                <c:pt idx="62">
                  <c:v>0.75334610379518097</c:v>
                </c:pt>
                <c:pt idx="63">
                  <c:v>11.51754479997053</c:v>
                </c:pt>
                <c:pt idx="64">
                  <c:v>19.981623778535052</c:v>
                </c:pt>
                <c:pt idx="65">
                  <c:v>26.56497594691243</c:v>
                </c:pt>
                <c:pt idx="66">
                  <c:v>32.145858316395092</c:v>
                </c:pt>
                <c:pt idx="67">
                  <c:v>37.077710150743293</c:v>
                </c:pt>
                <c:pt idx="68">
                  <c:v>39.361355073122482</c:v>
                </c:pt>
                <c:pt idx="69">
                  <c:v>39.361355073122482</c:v>
                </c:pt>
                <c:pt idx="70">
                  <c:v>39.361355073122482</c:v>
                </c:pt>
                <c:pt idx="71">
                  <c:v>39.361355073122482</c:v>
                </c:pt>
                <c:pt idx="72">
                  <c:v>39.361355073122482</c:v>
                </c:pt>
                <c:pt idx="73">
                  <c:v>39.361355073122482</c:v>
                </c:pt>
                <c:pt idx="74">
                  <c:v>39.361355073122482</c:v>
                </c:pt>
                <c:pt idx="75">
                  <c:v>39.361355073122482</c:v>
                </c:pt>
                <c:pt idx="76">
                  <c:v>39.361355073122482</c:v>
                </c:pt>
                <c:pt idx="77">
                  <c:v>39.361355073122482</c:v>
                </c:pt>
                <c:pt idx="78">
                  <c:v>39.361355073122482</c:v>
                </c:pt>
                <c:pt idx="79">
                  <c:v>39.361355073122482</c:v>
                </c:pt>
                <c:pt idx="80">
                  <c:v>39.361355073122482</c:v>
                </c:pt>
                <c:pt idx="81">
                  <c:v>39.361355073122482</c:v>
                </c:pt>
                <c:pt idx="82">
                  <c:v>39.361355073122482</c:v>
                </c:pt>
                <c:pt idx="83">
                  <c:v>39.361355073122482</c:v>
                </c:pt>
                <c:pt idx="84">
                  <c:v>39.361355073122482</c:v>
                </c:pt>
                <c:pt idx="85">
                  <c:v>39.361355073122482</c:v>
                </c:pt>
                <c:pt idx="86">
                  <c:v>39.361355073122482</c:v>
                </c:pt>
                <c:pt idx="87">
                  <c:v>39.361355073122482</c:v>
                </c:pt>
                <c:pt idx="88">
                  <c:v>39.361355073122482</c:v>
                </c:pt>
                <c:pt idx="89">
                  <c:v>39.361355073122482</c:v>
                </c:pt>
                <c:pt idx="90">
                  <c:v>39.361355073122482</c:v>
                </c:pt>
                <c:pt idx="91">
                  <c:v>39.361355073122482</c:v>
                </c:pt>
                <c:pt idx="92">
                  <c:v>39.361355073122482</c:v>
                </c:pt>
                <c:pt idx="93">
                  <c:v>39.361355073122482</c:v>
                </c:pt>
                <c:pt idx="94">
                  <c:v>39.361355073122482</c:v>
                </c:pt>
                <c:pt idx="95">
                  <c:v>39.361355073122482</c:v>
                </c:pt>
                <c:pt idx="96">
                  <c:v>39.361355073122482</c:v>
                </c:pt>
                <c:pt idx="97">
                  <c:v>39.361355073122482</c:v>
                </c:pt>
                <c:pt idx="98">
                  <c:v>39.361355073122482</c:v>
                </c:pt>
                <c:pt idx="99">
                  <c:v>39.361355073122482</c:v>
                </c:pt>
                <c:pt idx="100">
                  <c:v>39.361355073122482</c:v>
                </c:pt>
                <c:pt idx="101">
                  <c:v>39.361355073122482</c:v>
                </c:pt>
                <c:pt idx="102">
                  <c:v>39.361355073122482</c:v>
                </c:pt>
                <c:pt idx="103">
                  <c:v>39.361355073122482</c:v>
                </c:pt>
                <c:pt idx="104">
                  <c:v>39.361355073122482</c:v>
                </c:pt>
                <c:pt idx="105">
                  <c:v>39.361355073122482</c:v>
                </c:pt>
                <c:pt idx="106">
                  <c:v>39.361355073122482</c:v>
                </c:pt>
                <c:pt idx="107">
                  <c:v>39.361355073122482</c:v>
                </c:pt>
                <c:pt idx="108">
                  <c:v>39.361355073122482</c:v>
                </c:pt>
                <c:pt idx="109">
                  <c:v>39.361355073122482</c:v>
                </c:pt>
              </c:numCache>
            </c:numRef>
          </c:yVal>
          <c:smooth val="0"/>
          <c:extLst>
            <c:ext xmlns:c16="http://schemas.microsoft.com/office/drawing/2014/chart" uri="{C3380CC4-5D6E-409C-BE32-E72D297353CC}">
              <c16:uniqueId val="{00000001-38DF-49BC-9C62-EAB755D3A1C6}"/>
            </c:ext>
          </c:extLst>
        </c:ser>
        <c:dLbls>
          <c:showLegendKey val="0"/>
          <c:showVal val="0"/>
          <c:showCatName val="0"/>
          <c:showSerName val="0"/>
          <c:showPercent val="0"/>
          <c:showBubbleSize val="0"/>
        </c:dLbls>
        <c:axId val="980558687"/>
        <c:axId val="980561087"/>
      </c:scatterChart>
      <c:scatterChart>
        <c:scatterStyle val="lineMarker"/>
        <c:varyColors val="0"/>
        <c:ser>
          <c:idx val="2"/>
          <c:order val="2"/>
          <c:tx>
            <c:strRef>
              <c:f>'04-07-25-Scen4-ExFrontloadCargo'!$AZ$1</c:f>
              <c:strCache>
                <c:ptCount val="1"/>
                <c:pt idx="0">
                  <c:v>Filled Core Boxes in Camp</c:v>
                </c:pt>
              </c:strCache>
            </c:strRef>
          </c:tx>
          <c:spPr>
            <a:ln w="19050" cap="rnd">
              <a:solidFill>
                <a:srgbClr val="00B050"/>
              </a:solidFill>
              <a:round/>
            </a:ln>
            <a:effectLst/>
          </c:spPr>
          <c:marker>
            <c:symbol val="none"/>
          </c:marker>
          <c:xVal>
            <c:numRef>
              <c:f>'04-07-25-Scen4-ExFrontloadCargo'!$A$3:$A$112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'04-07-25-Scen4-ExFrontloadCargo'!$AZ$3:$AZ$112</c:f>
              <c:numCache>
                <c:formatCode>0</c:formatCode>
                <c:ptCount val="11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1.6388869864316742</c:v>
                </c:pt>
                <c:pt idx="15">
                  <c:v>3.251702271378941</c:v>
                </c:pt>
                <c:pt idx="16">
                  <c:v>4.8396518906752659</c:v>
                </c:pt>
                <c:pt idx="17">
                  <c:v>9.4650678282287775</c:v>
                </c:pt>
                <c:pt idx="18">
                  <c:v>9.4650678282287775</c:v>
                </c:pt>
                <c:pt idx="19">
                  <c:v>13.902406094312278</c:v>
                </c:pt>
                <c:pt idx="20">
                  <c:v>18.172898957859701</c:v>
                </c:pt>
                <c:pt idx="21">
                  <c:v>2.2940611429409365</c:v>
                </c:pt>
                <c:pt idx="22">
                  <c:v>6.2805419034353172</c:v>
                </c:pt>
                <c:pt idx="23">
                  <c:v>10.144741321722481</c:v>
                </c:pt>
                <c:pt idx="24">
                  <c:v>13.897265982657238</c:v>
                </c:pt>
                <c:pt idx="25">
                  <c:v>13.897265982657238</c:v>
                </c:pt>
                <c:pt idx="26">
                  <c:v>17.547272405920268</c:v>
                </c:pt>
                <c:pt idx="27">
                  <c:v>1.102730285025153</c:v>
                </c:pt>
                <c:pt idx="28">
                  <c:v>4.5706272973817192</c:v>
                </c:pt>
                <c:pt idx="29">
                  <c:v>7.957130595451396</c:v>
                </c:pt>
                <c:pt idx="30">
                  <c:v>11.26771567731177</c:v>
                </c:pt>
                <c:pt idx="31">
                  <c:v>14.507270345933904</c:v>
                </c:pt>
                <c:pt idx="32">
                  <c:v>14.507270345933925</c:v>
                </c:pt>
                <c:pt idx="33">
                  <c:v>17.680179401527774</c:v>
                </c:pt>
                <c:pt idx="34">
                  <c:v>0.79039425941572716</c:v>
                </c:pt>
                <c:pt idx="35">
                  <c:v>3.8414906485967037</c:v>
                </c:pt>
                <c:pt idx="36">
                  <c:v>6.8367167941873248</c:v>
                </c:pt>
                <c:pt idx="37">
                  <c:v>9.7790339344589512</c:v>
                </c:pt>
                <c:pt idx="38">
                  <c:v>12.671150612283483</c:v>
                </c:pt>
                <c:pt idx="39">
                  <c:v>12.671150612283483</c:v>
                </c:pt>
                <c:pt idx="40">
                  <c:v>15.515551871697539</c:v>
                </c:pt>
                <c:pt idx="41">
                  <c:v>18.314524255322283</c:v>
                </c:pt>
                <c:pt idx="42">
                  <c:v>1.0701773180057899</c:v>
                </c:pt>
                <c:pt idx="43">
                  <c:v>1.0701773180057899</c:v>
                </c:pt>
                <c:pt idx="44">
                  <c:v>3.7844622323378871</c:v>
                </c:pt>
                <c:pt idx="45">
                  <c:v>6.4591879525420381</c:v>
                </c:pt>
                <c:pt idx="46">
                  <c:v>8.2211960353074147</c:v>
                </c:pt>
                <c:pt idx="47">
                  <c:v>9.9668406526241284</c:v>
                </c:pt>
                <c:pt idx="48">
                  <c:v>11.696569403935982</c:v>
                </c:pt>
                <c:pt idx="49">
                  <c:v>11.696569403935982</c:v>
                </c:pt>
                <c:pt idx="50">
                  <c:v>13.410809847583621</c:v>
                </c:pt>
                <c:pt idx="51">
                  <c:v>15.109970735015068</c:v>
                </c:pt>
                <c:pt idx="52">
                  <c:v>16.794443148958223</c:v>
                </c:pt>
                <c:pt idx="53">
                  <c:v>16.794443148958223</c:v>
                </c:pt>
                <c:pt idx="54">
                  <c:v>18.464601554534525</c:v>
                </c:pt>
                <c:pt idx="55">
                  <c:v>0.12080477131659961</c:v>
                </c:pt>
                <c:pt idx="56">
                  <c:v>1.7633968734780865</c:v>
                </c:pt>
                <c:pt idx="57">
                  <c:v>3.3927080244321246</c:v>
                </c:pt>
                <c:pt idx="58">
                  <c:v>5.0090552516932689</c:v>
                </c:pt>
                <c:pt idx="59">
                  <c:v>6.6127431671134644</c:v>
                </c:pt>
                <c:pt idx="60">
                  <c:v>6.6127431671134644</c:v>
                </c:pt>
                <c:pt idx="61">
                  <c:v>8.2040646371267343</c:v>
                </c:pt>
                <c:pt idx="62">
                  <c:v>-1.6698592821288827E-2</c:v>
                </c:pt>
                <c:pt idx="63">
                  <c:v>-1.6698592821288827E-2</c:v>
                </c:pt>
                <c:pt idx="64">
                  <c:v>-1.6698592821288827E-2</c:v>
                </c:pt>
                <c:pt idx="65">
                  <c:v>-1.6698592821288827E-2</c:v>
                </c:pt>
                <c:pt idx="66">
                  <c:v>-1.6698592821288827E-2</c:v>
                </c:pt>
                <c:pt idx="67">
                  <c:v>-1.6698592821288827E-2</c:v>
                </c:pt>
                <c:pt idx="68">
                  <c:v>-1.6698592821288827E-2</c:v>
                </c:pt>
                <c:pt idx="69">
                  <c:v>-1.6698592821288827E-2</c:v>
                </c:pt>
                <c:pt idx="70">
                  <c:v>-1.6698592821288827E-2</c:v>
                </c:pt>
                <c:pt idx="71">
                  <c:v>-1.6698592821288827E-2</c:v>
                </c:pt>
                <c:pt idx="72">
                  <c:v>-1.6698592821288827E-2</c:v>
                </c:pt>
                <c:pt idx="73">
                  <c:v>-1.6698592821288827E-2</c:v>
                </c:pt>
                <c:pt idx="74">
                  <c:v>-1.6698592821288827E-2</c:v>
                </c:pt>
                <c:pt idx="75">
                  <c:v>-1.6698592821288827E-2</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numCache>
            </c:numRef>
          </c:yVal>
          <c:smooth val="0"/>
          <c:extLst>
            <c:ext xmlns:c16="http://schemas.microsoft.com/office/drawing/2014/chart" uri="{C3380CC4-5D6E-409C-BE32-E72D297353CC}">
              <c16:uniqueId val="{00000002-38DF-49BC-9C62-EAB755D3A1C6}"/>
            </c:ext>
          </c:extLst>
        </c:ser>
        <c:dLbls>
          <c:showLegendKey val="0"/>
          <c:showVal val="0"/>
          <c:showCatName val="0"/>
          <c:showSerName val="0"/>
          <c:showPercent val="0"/>
          <c:showBubbleSize val="0"/>
        </c:dLbls>
        <c:axId val="1374332383"/>
        <c:axId val="1374338623"/>
      </c:scatterChart>
      <c:valAx>
        <c:axId val="980558687"/>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dd/mm" sourceLinked="1"/>
        <c:majorTickMark val="none"/>
        <c:minorTickMark val="none"/>
        <c:tickLblPos val="nextTo"/>
        <c:spPr>
          <a:noFill/>
          <a:ln w="9525" cap="flat" cmpd="sng" algn="ctr">
            <a:solidFill>
              <a:schemeClr val="tx1">
                <a:lumMod val="25000"/>
                <a:lumOff val="7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561087"/>
        <c:crosses val="autoZero"/>
        <c:crossBetween val="midCat"/>
        <c:majorUnit val="7"/>
        <c:minorUnit val="1"/>
      </c:valAx>
      <c:valAx>
        <c:axId val="980561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Drums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558687"/>
        <c:crosses val="autoZero"/>
        <c:crossBetween val="midCat"/>
      </c:valAx>
      <c:valAx>
        <c:axId val="1374338623"/>
        <c:scaling>
          <c:orientation val="minMax"/>
          <c:min val="0"/>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Core</a:t>
                </a:r>
                <a:r>
                  <a:rPr lang="en-GB" baseline="0"/>
                  <a:t> Boxes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332383"/>
        <c:crosses val="max"/>
        <c:crossBetween val="midCat"/>
      </c:valAx>
      <c:valAx>
        <c:axId val="1374332383"/>
        <c:scaling>
          <c:orientation val="minMax"/>
        </c:scaling>
        <c:delete val="1"/>
        <c:axPos val="b"/>
        <c:numFmt formatCode="dd/mm" sourceLinked="1"/>
        <c:majorTickMark val="out"/>
        <c:minorTickMark val="none"/>
        <c:tickLblPos val="nextTo"/>
        <c:crossAx val="13743386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Drilling Progress &amp; Required</a:t>
            </a:r>
            <a:r>
              <a:rPr lang="en-GB" b="1" baseline="0"/>
              <a:t> Inputs</a:t>
            </a:r>
            <a:endParaRPr lang="en-GB" b="1"/>
          </a:p>
        </c:rich>
      </c:tx>
      <c:layout>
        <c:manualLayout>
          <c:xMode val="edge"/>
          <c:yMode val="edge"/>
          <c:x val="0.32371889389769276"/>
          <c:y val="0.89906318088500958"/>
        </c:manualLayout>
      </c:layout>
      <c:overlay val="1"/>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scatterChart>
        <c:scatterStyle val="lineMarker"/>
        <c:varyColors val="0"/>
        <c:ser>
          <c:idx val="0"/>
          <c:order val="0"/>
          <c:tx>
            <c:strRef>
              <c:f>'04-07-25-Scen5-WorstCargoJIT'!$AL$1</c:f>
              <c:strCache>
                <c:ptCount val="1"/>
                <c:pt idx="0">
                  <c:v>End of Day Drill Depth</c:v>
                </c:pt>
              </c:strCache>
            </c:strRef>
          </c:tx>
          <c:spPr>
            <a:ln w="19050" cap="rnd">
              <a:solidFill>
                <a:srgbClr val="00B050"/>
              </a:solidFill>
              <a:round/>
            </a:ln>
            <a:effectLst/>
          </c:spPr>
          <c:marker>
            <c:symbol val="none"/>
          </c:marker>
          <c:xVal>
            <c:numRef>
              <c:f>'04-07-25-Scen5-WorstCargoJIT'!$A$3:$A$112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'04-07-25-Scen5-WorstCargoJIT'!$AL$3:$AL$112</c:f>
              <c:numCache>
                <c:formatCode>0.00</c:formatCode>
                <c:ptCount val="110"/>
                <c:pt idx="0">
                  <c:v>#N/A</c:v>
                </c:pt>
                <c:pt idx="1">
                  <c:v>#N/A</c:v>
                </c:pt>
                <c:pt idx="2">
                  <c:v>#N/A</c:v>
                </c:pt>
                <c:pt idx="3">
                  <c:v>#N/A</c:v>
                </c:pt>
                <c:pt idx="4">
                  <c:v>#N/A</c:v>
                </c:pt>
                <c:pt idx="5">
                  <c:v>#N/A</c:v>
                </c:pt>
                <c:pt idx="6">
                  <c:v>-70</c:v>
                </c:pt>
                <c:pt idx="7">
                  <c:v>-79.833321918590045</c:v>
                </c:pt>
                <c:pt idx="8">
                  <c:v>-89.510213628273647</c:v>
                </c:pt>
                <c:pt idx="9">
                  <c:v>-99.037911344051594</c:v>
                </c:pt>
                <c:pt idx="10">
                  <c:v>-126.79040696937267</c:v>
                </c:pt>
                <c:pt idx="11">
                  <c:v>-126.79040696937267</c:v>
                </c:pt>
                <c:pt idx="12">
                  <c:v>-153.41443656587367</c:v>
                </c:pt>
                <c:pt idx="13">
                  <c:v>-179.03739374715821</c:v>
                </c:pt>
                <c:pt idx="14">
                  <c:v>-203.76436685764563</c:v>
                </c:pt>
                <c:pt idx="15">
                  <c:v>-227.6832514206119</c:v>
                </c:pt>
                <c:pt idx="16">
                  <c:v>-250.8684479303349</c:v>
                </c:pt>
                <c:pt idx="17">
                  <c:v>-273.38359589594342</c:v>
                </c:pt>
                <c:pt idx="18">
                  <c:v>-273.38359589594342</c:v>
                </c:pt>
                <c:pt idx="19">
                  <c:v>-295.28363443552161</c:v>
                </c:pt>
                <c:pt idx="20">
                  <c:v>-316.6163817101509</c:v>
                </c:pt>
                <c:pt idx="21">
                  <c:v>-337.42376378429032</c:v>
                </c:pt>
                <c:pt idx="22">
                  <c:v>-357.74278357270839</c:v>
                </c:pt>
                <c:pt idx="23">
                  <c:v>-377.60629406387062</c:v>
                </c:pt>
                <c:pt idx="24">
                  <c:v>-397.04362207560342</c:v>
                </c:pt>
                <c:pt idx="25">
                  <c:v>-397.04362207560354</c:v>
                </c:pt>
                <c:pt idx="26">
                  <c:v>-416.08107640916666</c:v>
                </c:pt>
                <c:pt idx="27">
                  <c:v>-434.74236555649435</c:v>
                </c:pt>
                <c:pt idx="28">
                  <c:v>-453.04894389158022</c:v>
                </c:pt>
                <c:pt idx="29">
                  <c:v>-471.02030076512392</c:v>
                </c:pt>
                <c:pt idx="30">
                  <c:v>-488.67420360675374</c:v>
                </c:pt>
                <c:pt idx="31">
                  <c:v>-506.02690367370093</c:v>
                </c:pt>
                <c:pt idx="32">
                  <c:v>-506.02690367370093</c:v>
                </c:pt>
                <c:pt idx="33">
                  <c:v>-523.09331123018524</c:v>
                </c:pt>
                <c:pt idx="34">
                  <c:v>-539.8871455319337</c:v>
                </c:pt>
                <c:pt idx="35">
                  <c:v>-556.42106390803474</c:v>
                </c:pt>
                <c:pt idx="36">
                  <c:v>-572.70677339402732</c:v>
                </c:pt>
                <c:pt idx="37">
                  <c:v>-588.75512771525223</c:v>
                </c:pt>
                <c:pt idx="38">
                  <c:v>-604.57621190383406</c:v>
                </c:pt>
                <c:pt idx="39">
                  <c:v>-604.57621190383406</c:v>
                </c:pt>
                <c:pt idx="40">
                  <c:v>-620.17941642361586</c:v>
                </c:pt>
                <c:pt idx="41">
                  <c:v>-635.57350235060539</c:v>
                </c:pt>
                <c:pt idx="42">
                  <c:v>-650.76665889374931</c:v>
                </c:pt>
                <c:pt idx="43">
                  <c:v>-650.76665889374931</c:v>
                </c:pt>
                <c:pt idx="44">
                  <c:v>-665.76655432827908</c:v>
                </c:pt>
                <c:pt idx="45">
                  <c:v>-680.58038124086875</c:v>
                </c:pt>
                <c:pt idx="46">
                  <c:v>-695.21489684427627</c:v>
                </c:pt>
                <c:pt idx="47">
                  <c:v>-709.67645900268099</c:v>
                </c:pt>
                <c:pt idx="48">
                  <c:v>-709.67645900268099</c:v>
                </c:pt>
                <c:pt idx="49">
                  <c:v>-709.67645900268099</c:v>
                </c:pt>
                <c:pt idx="50">
                  <c:v>-709.67645900268099</c:v>
                </c:pt>
                <c:pt idx="51">
                  <c:v>-709.67645900268099</c:v>
                </c:pt>
                <c:pt idx="52">
                  <c:v>-709.67645900268099</c:v>
                </c:pt>
                <c:pt idx="53">
                  <c:v>-709.67645900268099</c:v>
                </c:pt>
                <c:pt idx="54">
                  <c:v>-709.67645900268099</c:v>
                </c:pt>
                <c:pt idx="55">
                  <c:v>-709.67645900268099</c:v>
                </c:pt>
                <c:pt idx="56">
                  <c:v>-709.67645900268099</c:v>
                </c:pt>
                <c:pt idx="57">
                  <c:v>-709.67645900268099</c:v>
                </c:pt>
                <c:pt idx="58">
                  <c:v>-709.67645900268099</c:v>
                </c:pt>
                <c:pt idx="59">
                  <c:v>-709.67645900268099</c:v>
                </c:pt>
                <c:pt idx="60">
                  <c:v>-709.67645900268099</c:v>
                </c:pt>
                <c:pt idx="61">
                  <c:v>-709.67645900268099</c:v>
                </c:pt>
                <c:pt idx="62">
                  <c:v>-709.67645900268099</c:v>
                </c:pt>
                <c:pt idx="63">
                  <c:v>-709.67645900268099</c:v>
                </c:pt>
                <c:pt idx="64">
                  <c:v>-709.67645900268099</c:v>
                </c:pt>
                <c:pt idx="65">
                  <c:v>-709.67645900268099</c:v>
                </c:pt>
                <c:pt idx="66">
                  <c:v>-709.67645900268099</c:v>
                </c:pt>
                <c:pt idx="67">
                  <c:v>-709.67645900268099</c:v>
                </c:pt>
                <c:pt idx="68">
                  <c:v>-709.67645900268099</c:v>
                </c:pt>
                <c:pt idx="69">
                  <c:v>-709.67645900268099</c:v>
                </c:pt>
                <c:pt idx="70">
                  <c:v>-709.67645900268099</c:v>
                </c:pt>
                <c:pt idx="71">
                  <c:v>-709.67645900268099</c:v>
                </c:pt>
                <c:pt idx="72">
                  <c:v>-709.67645900268099</c:v>
                </c:pt>
                <c:pt idx="73">
                  <c:v>-709.67645900268099</c:v>
                </c:pt>
                <c:pt idx="74">
                  <c:v>-709.67645900268099</c:v>
                </c:pt>
                <c:pt idx="75">
                  <c:v>-709.67645900268099</c:v>
                </c:pt>
                <c:pt idx="76">
                  <c:v>-709.67645900268099</c:v>
                </c:pt>
                <c:pt idx="77">
                  <c:v>-709.67645900268099</c:v>
                </c:pt>
                <c:pt idx="78">
                  <c:v>-709.67645900268099</c:v>
                </c:pt>
                <c:pt idx="79">
                  <c:v>-709.67645900268099</c:v>
                </c:pt>
                <c:pt idx="80">
                  <c:v>-709.67645900268099</c:v>
                </c:pt>
                <c:pt idx="81">
                  <c:v>-709.67645900268099</c:v>
                </c:pt>
                <c:pt idx="82">
                  <c:v>-709.67645900268099</c:v>
                </c:pt>
                <c:pt idx="83">
                  <c:v>-709.67645900268099</c:v>
                </c:pt>
                <c:pt idx="84">
                  <c:v>-709.67645900268099</c:v>
                </c:pt>
                <c:pt idx="85">
                  <c:v>-709.67645900268099</c:v>
                </c:pt>
                <c:pt idx="86">
                  <c:v>-709.67645900268099</c:v>
                </c:pt>
                <c:pt idx="87">
                  <c:v>-709.67645900268099</c:v>
                </c:pt>
                <c:pt idx="88">
                  <c:v>-709.67645900268099</c:v>
                </c:pt>
                <c:pt idx="89">
                  <c:v>-709.67645900268099</c:v>
                </c:pt>
                <c:pt idx="90">
                  <c:v>-709.67645900268099</c:v>
                </c:pt>
                <c:pt idx="91">
                  <c:v>-709.67645900268099</c:v>
                </c:pt>
                <c:pt idx="92">
                  <c:v>-709.67645900268099</c:v>
                </c:pt>
                <c:pt idx="93">
                  <c:v>-709.67645900268099</c:v>
                </c:pt>
                <c:pt idx="94">
                  <c:v>-709.67645900268099</c:v>
                </c:pt>
                <c:pt idx="95">
                  <c:v>-709.67645900268099</c:v>
                </c:pt>
                <c:pt idx="96">
                  <c:v>-709.67645900268099</c:v>
                </c:pt>
                <c:pt idx="97">
                  <c:v>-709.67645900268099</c:v>
                </c:pt>
                <c:pt idx="98">
                  <c:v>-709.67645900268099</c:v>
                </c:pt>
                <c:pt idx="99">
                  <c:v>-709.67645900268099</c:v>
                </c:pt>
                <c:pt idx="100">
                  <c:v>-709.67645900268099</c:v>
                </c:pt>
                <c:pt idx="101">
                  <c:v>-709.67645900268099</c:v>
                </c:pt>
                <c:pt idx="102">
                  <c:v>-709.67645900268099</c:v>
                </c:pt>
                <c:pt idx="103">
                  <c:v>-709.67645900268099</c:v>
                </c:pt>
                <c:pt idx="104">
                  <c:v>-709.67645900268099</c:v>
                </c:pt>
                <c:pt idx="105">
                  <c:v>-709.67645900268099</c:v>
                </c:pt>
                <c:pt idx="106">
                  <c:v>-709.67645900268099</c:v>
                </c:pt>
                <c:pt idx="107">
                  <c:v>-709.67645900268099</c:v>
                </c:pt>
                <c:pt idx="108">
                  <c:v>-709.67645900268099</c:v>
                </c:pt>
                <c:pt idx="109">
                  <c:v>-709.67645900268099</c:v>
                </c:pt>
              </c:numCache>
            </c:numRef>
          </c:yVal>
          <c:smooth val="0"/>
          <c:extLst>
            <c:ext xmlns:c16="http://schemas.microsoft.com/office/drawing/2014/chart" uri="{C3380CC4-5D6E-409C-BE32-E72D297353CC}">
              <c16:uniqueId val="{00000000-0701-4C2E-BCFB-40978D89004F}"/>
            </c:ext>
          </c:extLst>
        </c:ser>
        <c:ser>
          <c:idx val="6"/>
          <c:order val="1"/>
          <c:tx>
            <c:strRef>
              <c:f>'04-07-25-Scen5-WorstCargoJIT'!$AM$1</c:f>
              <c:strCache>
                <c:ptCount val="1"/>
                <c:pt idx="0">
                  <c:v>End of Day Bailing Depth</c:v>
                </c:pt>
              </c:strCache>
            </c:strRef>
          </c:tx>
          <c:spPr>
            <a:ln w="19050" cap="rnd">
              <a:solidFill>
                <a:schemeClr val="tx2">
                  <a:lumMod val="50000"/>
                  <a:lumOff val="50000"/>
                </a:schemeClr>
              </a:solidFill>
              <a:round/>
            </a:ln>
            <a:effectLst/>
          </c:spPr>
          <c:marker>
            <c:symbol val="none"/>
          </c:marker>
          <c:xVal>
            <c:numRef>
              <c:f>'04-07-25-Scen5-WorstCargoJIT'!$A$3:$A$112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'04-07-25-Scen5-WorstCargoJIT'!$AM$3:$AM$112</c:f>
              <c:numCache>
                <c:formatCode>0.00</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-80</c:v>
                </c:pt>
                <c:pt idx="48">
                  <c:v>-259.40331160292249</c:v>
                </c:pt>
                <c:pt idx="49">
                  <c:v>-259.40331160292249</c:v>
                </c:pt>
                <c:pt idx="50">
                  <c:v>-400.47129457899786</c:v>
                </c:pt>
                <c:pt idx="51">
                  <c:v>-510.1938307186208</c:v>
                </c:pt>
                <c:pt idx="52">
                  <c:v>-603.20853687666511</c:v>
                </c:pt>
                <c:pt idx="53">
                  <c:v>-603.20853687666511</c:v>
                </c:pt>
                <c:pt idx="54">
                  <c:v>-685.40606744913521</c:v>
                </c:pt>
                <c:pt idx="55">
                  <c:v>-723.46681615545504</c:v>
                </c:pt>
                <c:pt idx="56">
                  <c:v>-723.46681615545504</c:v>
                </c:pt>
                <c:pt idx="57">
                  <c:v>-723.46681615545504</c:v>
                </c:pt>
                <c:pt idx="58">
                  <c:v>-723.46681615545504</c:v>
                </c:pt>
                <c:pt idx="59">
                  <c:v>-723.46681615545504</c:v>
                </c:pt>
                <c:pt idx="60">
                  <c:v>-723.46681615545504</c:v>
                </c:pt>
                <c:pt idx="61">
                  <c:v>-723.46681615545504</c:v>
                </c:pt>
                <c:pt idx="62">
                  <c:v>-723.46681615545504</c:v>
                </c:pt>
                <c:pt idx="63">
                  <c:v>-723.46681615545504</c:v>
                </c:pt>
                <c:pt idx="64">
                  <c:v>-723.46681615545504</c:v>
                </c:pt>
                <c:pt idx="65">
                  <c:v>-723.46681615545504</c:v>
                </c:pt>
                <c:pt idx="66">
                  <c:v>-723.46681615545504</c:v>
                </c:pt>
                <c:pt idx="67">
                  <c:v>-723.46681615545504</c:v>
                </c:pt>
                <c:pt idx="68">
                  <c:v>-723.46681615545504</c:v>
                </c:pt>
                <c:pt idx="69">
                  <c:v>-723.46681615545504</c:v>
                </c:pt>
                <c:pt idx="70">
                  <c:v>-723.46681615545504</c:v>
                </c:pt>
                <c:pt idx="71">
                  <c:v>-723.46681615545504</c:v>
                </c:pt>
                <c:pt idx="72">
                  <c:v>-723.46681615545504</c:v>
                </c:pt>
                <c:pt idx="73">
                  <c:v>-723.46681615545504</c:v>
                </c:pt>
                <c:pt idx="74">
                  <c:v>-723.46681615545504</c:v>
                </c:pt>
                <c:pt idx="75">
                  <c:v>-723.46681615545504</c:v>
                </c:pt>
                <c:pt idx="76">
                  <c:v>-723.46681615545504</c:v>
                </c:pt>
                <c:pt idx="77">
                  <c:v>-723.46681615545504</c:v>
                </c:pt>
                <c:pt idx="78">
                  <c:v>-723.46681615545504</c:v>
                </c:pt>
                <c:pt idx="79">
                  <c:v>-723.46681615545504</c:v>
                </c:pt>
                <c:pt idx="80">
                  <c:v>-723.46681615545504</c:v>
                </c:pt>
                <c:pt idx="81">
                  <c:v>-723.46681615545504</c:v>
                </c:pt>
                <c:pt idx="82">
                  <c:v>-723.46681615545504</c:v>
                </c:pt>
                <c:pt idx="83">
                  <c:v>-723.46681615545504</c:v>
                </c:pt>
                <c:pt idx="84">
                  <c:v>-723.46681615545504</c:v>
                </c:pt>
                <c:pt idx="85">
                  <c:v>-723.46681615545504</c:v>
                </c:pt>
                <c:pt idx="86">
                  <c:v>-723.46681615545504</c:v>
                </c:pt>
                <c:pt idx="87">
                  <c:v>-723.46681615545504</c:v>
                </c:pt>
                <c:pt idx="88">
                  <c:v>-723.46681615545504</c:v>
                </c:pt>
                <c:pt idx="89">
                  <c:v>-723.46681615545504</c:v>
                </c:pt>
                <c:pt idx="90">
                  <c:v>-723.46681615545504</c:v>
                </c:pt>
                <c:pt idx="91">
                  <c:v>-723.46681615545504</c:v>
                </c:pt>
                <c:pt idx="92">
                  <c:v>-723.46681615545504</c:v>
                </c:pt>
                <c:pt idx="93">
                  <c:v>-723.46681615545504</c:v>
                </c:pt>
                <c:pt idx="94">
                  <c:v>-723.46681615545504</c:v>
                </c:pt>
                <c:pt idx="95">
                  <c:v>-723.46681615545504</c:v>
                </c:pt>
                <c:pt idx="96">
                  <c:v>-723.46681615545504</c:v>
                </c:pt>
                <c:pt idx="97">
                  <c:v>-723.46681615545504</c:v>
                </c:pt>
                <c:pt idx="98">
                  <c:v>-723.46681615545504</c:v>
                </c:pt>
                <c:pt idx="99">
                  <c:v>-723.46681615545504</c:v>
                </c:pt>
                <c:pt idx="100">
                  <c:v>-723.46681615545504</c:v>
                </c:pt>
                <c:pt idx="101">
                  <c:v>-723.46681615545504</c:v>
                </c:pt>
                <c:pt idx="102">
                  <c:v>-723.46681615545504</c:v>
                </c:pt>
                <c:pt idx="103">
                  <c:v>-723.46681615545504</c:v>
                </c:pt>
                <c:pt idx="104">
                  <c:v>-723.46681615545504</c:v>
                </c:pt>
                <c:pt idx="105">
                  <c:v>-723.46681615545504</c:v>
                </c:pt>
                <c:pt idx="106">
                  <c:v>-723.46681615545504</c:v>
                </c:pt>
                <c:pt idx="107">
                  <c:v>-723.46681615545504</c:v>
                </c:pt>
                <c:pt idx="108">
                  <c:v>-723.46681615545504</c:v>
                </c:pt>
                <c:pt idx="109">
                  <c:v>-723.46681615545504</c:v>
                </c:pt>
              </c:numCache>
            </c:numRef>
          </c:yVal>
          <c:smooth val="0"/>
          <c:extLst>
            <c:ext xmlns:c16="http://schemas.microsoft.com/office/drawing/2014/chart" uri="{C3380CC4-5D6E-409C-BE32-E72D297353CC}">
              <c16:uniqueId val="{00000001-0701-4C2E-BCFB-40978D89004F}"/>
            </c:ext>
          </c:extLst>
        </c:ser>
        <c:ser>
          <c:idx val="1"/>
          <c:order val="2"/>
          <c:tx>
            <c:strRef>
              <c:f>'04-07-25-Scen5-WorstCargoJIT'!$AN$1</c:f>
              <c:strCache>
                <c:ptCount val="1"/>
                <c:pt idx="0">
                  <c:v>Bedrock</c:v>
                </c:pt>
              </c:strCache>
            </c:strRef>
          </c:tx>
          <c:spPr>
            <a:ln w="19050" cap="rnd">
              <a:solidFill>
                <a:schemeClr val="tx1"/>
              </a:solidFill>
              <a:round/>
            </a:ln>
            <a:effectLst/>
          </c:spPr>
          <c:marker>
            <c:symbol val="none"/>
          </c:marker>
          <c:dPt>
            <c:idx val="60"/>
            <c:marker>
              <c:symbol val="none"/>
            </c:marker>
            <c:bubble3D val="0"/>
            <c:extLst>
              <c:ext xmlns:c16="http://schemas.microsoft.com/office/drawing/2014/chart" uri="{C3380CC4-5D6E-409C-BE32-E72D297353CC}">
                <c16:uniqueId val="{00000002-0701-4C2E-BCFB-40978D89004F}"/>
              </c:ext>
            </c:extLst>
          </c:dPt>
          <c:xVal>
            <c:numRef>
              <c:f>'04-07-25-Scen5-WorstCargoJIT'!$A$3:$A$112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'04-07-25-Scen5-WorstCargoJIT'!$AN$3:$AN$112</c:f>
              <c:numCache>
                <c:formatCode>General</c:formatCode>
                <c:ptCount val="110"/>
                <c:pt idx="0">
                  <c:v>-720</c:v>
                </c:pt>
                <c:pt idx="1">
                  <c:v>-720</c:v>
                </c:pt>
                <c:pt idx="2">
                  <c:v>-720</c:v>
                </c:pt>
                <c:pt idx="3">
                  <c:v>-720</c:v>
                </c:pt>
                <c:pt idx="4">
                  <c:v>-720</c:v>
                </c:pt>
                <c:pt idx="5">
                  <c:v>-720</c:v>
                </c:pt>
                <c:pt idx="6">
                  <c:v>-720</c:v>
                </c:pt>
                <c:pt idx="7">
                  <c:v>-720</c:v>
                </c:pt>
                <c:pt idx="8">
                  <c:v>-720</c:v>
                </c:pt>
                <c:pt idx="9">
                  <c:v>-720</c:v>
                </c:pt>
                <c:pt idx="10">
                  <c:v>-720</c:v>
                </c:pt>
                <c:pt idx="11">
                  <c:v>-720</c:v>
                </c:pt>
                <c:pt idx="12">
                  <c:v>-720</c:v>
                </c:pt>
                <c:pt idx="13">
                  <c:v>-720</c:v>
                </c:pt>
                <c:pt idx="14">
                  <c:v>-720</c:v>
                </c:pt>
                <c:pt idx="15">
                  <c:v>-720</c:v>
                </c:pt>
                <c:pt idx="16">
                  <c:v>-720</c:v>
                </c:pt>
                <c:pt idx="17">
                  <c:v>-720</c:v>
                </c:pt>
                <c:pt idx="18">
                  <c:v>-720</c:v>
                </c:pt>
                <c:pt idx="19">
                  <c:v>-720</c:v>
                </c:pt>
                <c:pt idx="20">
                  <c:v>-720</c:v>
                </c:pt>
                <c:pt idx="21">
                  <c:v>-720</c:v>
                </c:pt>
                <c:pt idx="22">
                  <c:v>-720</c:v>
                </c:pt>
                <c:pt idx="23">
                  <c:v>-720</c:v>
                </c:pt>
                <c:pt idx="24">
                  <c:v>-720</c:v>
                </c:pt>
                <c:pt idx="25">
                  <c:v>-720</c:v>
                </c:pt>
                <c:pt idx="26">
                  <c:v>-720</c:v>
                </c:pt>
                <c:pt idx="27">
                  <c:v>-720</c:v>
                </c:pt>
                <c:pt idx="28">
                  <c:v>-720</c:v>
                </c:pt>
                <c:pt idx="29">
                  <c:v>-720</c:v>
                </c:pt>
                <c:pt idx="30">
                  <c:v>-720</c:v>
                </c:pt>
                <c:pt idx="31">
                  <c:v>-720</c:v>
                </c:pt>
                <c:pt idx="32">
                  <c:v>-720</c:v>
                </c:pt>
                <c:pt idx="33">
                  <c:v>-720</c:v>
                </c:pt>
                <c:pt idx="34">
                  <c:v>-720</c:v>
                </c:pt>
                <c:pt idx="35">
                  <c:v>-720</c:v>
                </c:pt>
                <c:pt idx="36">
                  <c:v>-720</c:v>
                </c:pt>
                <c:pt idx="37">
                  <c:v>-720</c:v>
                </c:pt>
                <c:pt idx="38">
                  <c:v>-720</c:v>
                </c:pt>
                <c:pt idx="39">
                  <c:v>-720</c:v>
                </c:pt>
                <c:pt idx="40">
                  <c:v>-720</c:v>
                </c:pt>
                <c:pt idx="41">
                  <c:v>-720</c:v>
                </c:pt>
                <c:pt idx="42">
                  <c:v>-720</c:v>
                </c:pt>
                <c:pt idx="43">
                  <c:v>-720</c:v>
                </c:pt>
                <c:pt idx="44">
                  <c:v>-720</c:v>
                </c:pt>
                <c:pt idx="45">
                  <c:v>-720</c:v>
                </c:pt>
                <c:pt idx="46">
                  <c:v>-720</c:v>
                </c:pt>
                <c:pt idx="47">
                  <c:v>-720</c:v>
                </c:pt>
                <c:pt idx="48">
                  <c:v>-720</c:v>
                </c:pt>
                <c:pt idx="49">
                  <c:v>-720</c:v>
                </c:pt>
                <c:pt idx="50">
                  <c:v>-720</c:v>
                </c:pt>
                <c:pt idx="51">
                  <c:v>-720</c:v>
                </c:pt>
                <c:pt idx="52">
                  <c:v>-720</c:v>
                </c:pt>
                <c:pt idx="53">
                  <c:v>-720</c:v>
                </c:pt>
                <c:pt idx="54">
                  <c:v>-720</c:v>
                </c:pt>
                <c:pt idx="55">
                  <c:v>-720</c:v>
                </c:pt>
                <c:pt idx="56">
                  <c:v>-720</c:v>
                </c:pt>
                <c:pt idx="57">
                  <c:v>-720</c:v>
                </c:pt>
                <c:pt idx="58">
                  <c:v>-720</c:v>
                </c:pt>
                <c:pt idx="59">
                  <c:v>-720</c:v>
                </c:pt>
                <c:pt idx="60">
                  <c:v>-720</c:v>
                </c:pt>
                <c:pt idx="61">
                  <c:v>-720</c:v>
                </c:pt>
                <c:pt idx="62">
                  <c:v>-720</c:v>
                </c:pt>
                <c:pt idx="63">
                  <c:v>-720</c:v>
                </c:pt>
                <c:pt idx="64">
                  <c:v>-720</c:v>
                </c:pt>
                <c:pt idx="65">
                  <c:v>-720</c:v>
                </c:pt>
                <c:pt idx="66">
                  <c:v>-720</c:v>
                </c:pt>
                <c:pt idx="67">
                  <c:v>-720</c:v>
                </c:pt>
                <c:pt idx="68">
                  <c:v>-720</c:v>
                </c:pt>
                <c:pt idx="69">
                  <c:v>-720</c:v>
                </c:pt>
                <c:pt idx="70">
                  <c:v>-720</c:v>
                </c:pt>
                <c:pt idx="71">
                  <c:v>-720</c:v>
                </c:pt>
                <c:pt idx="72">
                  <c:v>-720</c:v>
                </c:pt>
                <c:pt idx="73">
                  <c:v>-720</c:v>
                </c:pt>
                <c:pt idx="74">
                  <c:v>-720</c:v>
                </c:pt>
                <c:pt idx="75">
                  <c:v>-720</c:v>
                </c:pt>
                <c:pt idx="76">
                  <c:v>-720</c:v>
                </c:pt>
                <c:pt idx="77">
                  <c:v>-720</c:v>
                </c:pt>
                <c:pt idx="78">
                  <c:v>-720</c:v>
                </c:pt>
                <c:pt idx="79">
                  <c:v>-720</c:v>
                </c:pt>
                <c:pt idx="80">
                  <c:v>-720</c:v>
                </c:pt>
                <c:pt idx="81">
                  <c:v>-720</c:v>
                </c:pt>
                <c:pt idx="82">
                  <c:v>-720</c:v>
                </c:pt>
                <c:pt idx="83">
                  <c:v>-720</c:v>
                </c:pt>
                <c:pt idx="84">
                  <c:v>-720</c:v>
                </c:pt>
                <c:pt idx="85">
                  <c:v>-720</c:v>
                </c:pt>
                <c:pt idx="86">
                  <c:v>-720</c:v>
                </c:pt>
                <c:pt idx="87">
                  <c:v>-720</c:v>
                </c:pt>
                <c:pt idx="88">
                  <c:v>-720</c:v>
                </c:pt>
                <c:pt idx="89">
                  <c:v>-720</c:v>
                </c:pt>
                <c:pt idx="90">
                  <c:v>-720</c:v>
                </c:pt>
                <c:pt idx="91">
                  <c:v>-720</c:v>
                </c:pt>
                <c:pt idx="92">
                  <c:v>-720</c:v>
                </c:pt>
                <c:pt idx="93">
                  <c:v>-720</c:v>
                </c:pt>
                <c:pt idx="94">
                  <c:v>-720</c:v>
                </c:pt>
                <c:pt idx="95">
                  <c:v>-720</c:v>
                </c:pt>
                <c:pt idx="96">
                  <c:v>-720</c:v>
                </c:pt>
                <c:pt idx="97">
                  <c:v>-720</c:v>
                </c:pt>
                <c:pt idx="98">
                  <c:v>-720</c:v>
                </c:pt>
                <c:pt idx="99">
                  <c:v>-720</c:v>
                </c:pt>
                <c:pt idx="100">
                  <c:v>-720</c:v>
                </c:pt>
                <c:pt idx="101">
                  <c:v>-720</c:v>
                </c:pt>
                <c:pt idx="102">
                  <c:v>-720</c:v>
                </c:pt>
                <c:pt idx="103">
                  <c:v>-720</c:v>
                </c:pt>
                <c:pt idx="104">
                  <c:v>-720</c:v>
                </c:pt>
                <c:pt idx="105">
                  <c:v>-720</c:v>
                </c:pt>
                <c:pt idx="106">
                  <c:v>-720</c:v>
                </c:pt>
                <c:pt idx="107">
                  <c:v>-720</c:v>
                </c:pt>
                <c:pt idx="108">
                  <c:v>-720</c:v>
                </c:pt>
                <c:pt idx="109">
                  <c:v>-720</c:v>
                </c:pt>
              </c:numCache>
            </c:numRef>
          </c:yVal>
          <c:smooth val="0"/>
          <c:extLst>
            <c:ext xmlns:c16="http://schemas.microsoft.com/office/drawing/2014/chart" uri="{C3380CC4-5D6E-409C-BE32-E72D297353CC}">
              <c16:uniqueId val="{00000003-0701-4C2E-BCFB-40978D89004F}"/>
            </c:ext>
          </c:extLst>
        </c:ser>
        <c:ser>
          <c:idx val="2"/>
          <c:order val="3"/>
          <c:tx>
            <c:strRef>
              <c:f>'04-07-25-Scen5-WorstCargoJIT'!$AO$1</c:f>
              <c:strCache>
                <c:ptCount val="1"/>
                <c:pt idx="0">
                  <c:v>10,000YBP Min</c:v>
                </c:pt>
              </c:strCache>
            </c:strRef>
          </c:tx>
          <c:spPr>
            <a:ln w="19050" cap="rnd">
              <a:solidFill>
                <a:srgbClr val="FFC000"/>
              </a:solidFill>
              <a:prstDash val="sysDot"/>
              <a:round/>
            </a:ln>
            <a:effectLst/>
          </c:spPr>
          <c:marker>
            <c:symbol val="none"/>
          </c:marker>
          <c:xVal>
            <c:numRef>
              <c:f>'04-07-25-Scen5-WorstCargoJIT'!$A$3:$A$112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'04-07-25-Scen5-WorstCargoJIT'!$AO$3:$AO$112</c:f>
              <c:numCache>
                <c:formatCode>General</c:formatCode>
                <c:ptCount val="110"/>
                <c:pt idx="0">
                  <c:v>-624</c:v>
                </c:pt>
                <c:pt idx="1">
                  <c:v>-624</c:v>
                </c:pt>
                <c:pt idx="2">
                  <c:v>-624</c:v>
                </c:pt>
                <c:pt idx="3">
                  <c:v>-624</c:v>
                </c:pt>
                <c:pt idx="4">
                  <c:v>-624</c:v>
                </c:pt>
                <c:pt idx="5">
                  <c:v>-624</c:v>
                </c:pt>
                <c:pt idx="6">
                  <c:v>-624</c:v>
                </c:pt>
                <c:pt idx="7">
                  <c:v>-624</c:v>
                </c:pt>
                <c:pt idx="8">
                  <c:v>-624</c:v>
                </c:pt>
                <c:pt idx="9">
                  <c:v>-624</c:v>
                </c:pt>
                <c:pt idx="10">
                  <c:v>-624</c:v>
                </c:pt>
                <c:pt idx="11">
                  <c:v>-624</c:v>
                </c:pt>
                <c:pt idx="12">
                  <c:v>-624</c:v>
                </c:pt>
                <c:pt idx="13">
                  <c:v>-624</c:v>
                </c:pt>
                <c:pt idx="14">
                  <c:v>-624</c:v>
                </c:pt>
                <c:pt idx="15">
                  <c:v>-624</c:v>
                </c:pt>
                <c:pt idx="16">
                  <c:v>-624</c:v>
                </c:pt>
                <c:pt idx="17">
                  <c:v>-624</c:v>
                </c:pt>
                <c:pt idx="18">
                  <c:v>-624</c:v>
                </c:pt>
                <c:pt idx="19">
                  <c:v>-624</c:v>
                </c:pt>
                <c:pt idx="20">
                  <c:v>-624</c:v>
                </c:pt>
                <c:pt idx="21">
                  <c:v>-624</c:v>
                </c:pt>
                <c:pt idx="22">
                  <c:v>-624</c:v>
                </c:pt>
                <c:pt idx="23">
                  <c:v>-624</c:v>
                </c:pt>
                <c:pt idx="24">
                  <c:v>-624</c:v>
                </c:pt>
                <c:pt idx="25">
                  <c:v>-624</c:v>
                </c:pt>
                <c:pt idx="26">
                  <c:v>-624</c:v>
                </c:pt>
                <c:pt idx="27">
                  <c:v>-624</c:v>
                </c:pt>
                <c:pt idx="28">
                  <c:v>-624</c:v>
                </c:pt>
                <c:pt idx="29">
                  <c:v>-624</c:v>
                </c:pt>
                <c:pt idx="30">
                  <c:v>-624</c:v>
                </c:pt>
                <c:pt idx="31">
                  <c:v>-624</c:v>
                </c:pt>
                <c:pt idx="32">
                  <c:v>-624</c:v>
                </c:pt>
                <c:pt idx="33">
                  <c:v>-624</c:v>
                </c:pt>
                <c:pt idx="34">
                  <c:v>-624</c:v>
                </c:pt>
                <c:pt idx="35">
                  <c:v>-624</c:v>
                </c:pt>
                <c:pt idx="36">
                  <c:v>-624</c:v>
                </c:pt>
                <c:pt idx="37">
                  <c:v>-624</c:v>
                </c:pt>
                <c:pt idx="38">
                  <c:v>-624</c:v>
                </c:pt>
                <c:pt idx="39">
                  <c:v>-624</c:v>
                </c:pt>
                <c:pt idx="40">
                  <c:v>-624</c:v>
                </c:pt>
                <c:pt idx="41">
                  <c:v>-624</c:v>
                </c:pt>
                <c:pt idx="42">
                  <c:v>-624</c:v>
                </c:pt>
                <c:pt idx="43">
                  <c:v>-624</c:v>
                </c:pt>
                <c:pt idx="44">
                  <c:v>-624</c:v>
                </c:pt>
                <c:pt idx="45">
                  <c:v>-624</c:v>
                </c:pt>
                <c:pt idx="46">
                  <c:v>-624</c:v>
                </c:pt>
                <c:pt idx="47">
                  <c:v>-624</c:v>
                </c:pt>
                <c:pt idx="48">
                  <c:v>-624</c:v>
                </c:pt>
                <c:pt idx="49">
                  <c:v>-624</c:v>
                </c:pt>
                <c:pt idx="50">
                  <c:v>-624</c:v>
                </c:pt>
                <c:pt idx="51">
                  <c:v>-624</c:v>
                </c:pt>
                <c:pt idx="52">
                  <c:v>-624</c:v>
                </c:pt>
                <c:pt idx="53">
                  <c:v>-624</c:v>
                </c:pt>
                <c:pt idx="54">
                  <c:v>-624</c:v>
                </c:pt>
                <c:pt idx="55">
                  <c:v>-624</c:v>
                </c:pt>
                <c:pt idx="56">
                  <c:v>-624</c:v>
                </c:pt>
                <c:pt idx="57">
                  <c:v>-624</c:v>
                </c:pt>
                <c:pt idx="58">
                  <c:v>-624</c:v>
                </c:pt>
                <c:pt idx="59">
                  <c:v>-624</c:v>
                </c:pt>
                <c:pt idx="60">
                  <c:v>-624</c:v>
                </c:pt>
                <c:pt idx="61">
                  <c:v>-624</c:v>
                </c:pt>
                <c:pt idx="62">
                  <c:v>-624</c:v>
                </c:pt>
                <c:pt idx="63">
                  <c:v>-624</c:v>
                </c:pt>
                <c:pt idx="64">
                  <c:v>-624</c:v>
                </c:pt>
                <c:pt idx="65">
                  <c:v>-624</c:v>
                </c:pt>
                <c:pt idx="66">
                  <c:v>-624</c:v>
                </c:pt>
                <c:pt idx="67">
                  <c:v>-624</c:v>
                </c:pt>
                <c:pt idx="68">
                  <c:v>-624</c:v>
                </c:pt>
                <c:pt idx="69">
                  <c:v>-624</c:v>
                </c:pt>
                <c:pt idx="70">
                  <c:v>-624</c:v>
                </c:pt>
                <c:pt idx="71">
                  <c:v>-624</c:v>
                </c:pt>
                <c:pt idx="72">
                  <c:v>-624</c:v>
                </c:pt>
                <c:pt idx="73">
                  <c:v>-624</c:v>
                </c:pt>
                <c:pt idx="74">
                  <c:v>-624</c:v>
                </c:pt>
                <c:pt idx="75">
                  <c:v>-624</c:v>
                </c:pt>
                <c:pt idx="76">
                  <c:v>-624</c:v>
                </c:pt>
                <c:pt idx="77">
                  <c:v>-624</c:v>
                </c:pt>
                <c:pt idx="78">
                  <c:v>-624</c:v>
                </c:pt>
                <c:pt idx="79">
                  <c:v>-624</c:v>
                </c:pt>
                <c:pt idx="80">
                  <c:v>-624</c:v>
                </c:pt>
                <c:pt idx="81">
                  <c:v>-624</c:v>
                </c:pt>
                <c:pt idx="82">
                  <c:v>-624</c:v>
                </c:pt>
                <c:pt idx="83">
                  <c:v>-624</c:v>
                </c:pt>
                <c:pt idx="84">
                  <c:v>-624</c:v>
                </c:pt>
                <c:pt idx="85">
                  <c:v>-624</c:v>
                </c:pt>
                <c:pt idx="86">
                  <c:v>-624</c:v>
                </c:pt>
                <c:pt idx="87">
                  <c:v>-624</c:v>
                </c:pt>
                <c:pt idx="88">
                  <c:v>-624</c:v>
                </c:pt>
                <c:pt idx="89">
                  <c:v>-624</c:v>
                </c:pt>
                <c:pt idx="90">
                  <c:v>-624</c:v>
                </c:pt>
                <c:pt idx="91">
                  <c:v>-624</c:v>
                </c:pt>
                <c:pt idx="92">
                  <c:v>-624</c:v>
                </c:pt>
                <c:pt idx="93">
                  <c:v>-624</c:v>
                </c:pt>
                <c:pt idx="94">
                  <c:v>-624</c:v>
                </c:pt>
                <c:pt idx="95">
                  <c:v>-624</c:v>
                </c:pt>
                <c:pt idx="96">
                  <c:v>-624</c:v>
                </c:pt>
                <c:pt idx="97">
                  <c:v>-624</c:v>
                </c:pt>
                <c:pt idx="98">
                  <c:v>-624</c:v>
                </c:pt>
                <c:pt idx="99">
                  <c:v>-624</c:v>
                </c:pt>
                <c:pt idx="100">
                  <c:v>-624</c:v>
                </c:pt>
                <c:pt idx="101">
                  <c:v>-624</c:v>
                </c:pt>
                <c:pt idx="102">
                  <c:v>-624</c:v>
                </c:pt>
                <c:pt idx="103">
                  <c:v>-624</c:v>
                </c:pt>
                <c:pt idx="104">
                  <c:v>-624</c:v>
                </c:pt>
                <c:pt idx="105">
                  <c:v>-624</c:v>
                </c:pt>
                <c:pt idx="106">
                  <c:v>-624</c:v>
                </c:pt>
                <c:pt idx="107">
                  <c:v>-624</c:v>
                </c:pt>
                <c:pt idx="108">
                  <c:v>-624</c:v>
                </c:pt>
                <c:pt idx="109">
                  <c:v>-624</c:v>
                </c:pt>
              </c:numCache>
            </c:numRef>
          </c:yVal>
          <c:smooth val="0"/>
          <c:extLst>
            <c:ext xmlns:c16="http://schemas.microsoft.com/office/drawing/2014/chart" uri="{C3380CC4-5D6E-409C-BE32-E72D297353CC}">
              <c16:uniqueId val="{00000004-0701-4C2E-BCFB-40978D89004F}"/>
            </c:ext>
          </c:extLst>
        </c:ser>
        <c:ser>
          <c:idx val="3"/>
          <c:order val="4"/>
          <c:tx>
            <c:strRef>
              <c:f>'04-07-25-Scen5-WorstCargoJIT'!$AP$1</c:f>
              <c:strCache>
                <c:ptCount val="1"/>
                <c:pt idx="0">
                  <c:v>10,000YBP Max</c:v>
                </c:pt>
              </c:strCache>
            </c:strRef>
          </c:tx>
          <c:spPr>
            <a:ln w="19050" cap="rnd">
              <a:solidFill>
                <a:srgbClr val="FF0000"/>
              </a:solidFill>
              <a:prstDash val="sysDot"/>
              <a:round/>
            </a:ln>
            <a:effectLst/>
          </c:spPr>
          <c:marker>
            <c:symbol val="none"/>
          </c:marker>
          <c:xVal>
            <c:numRef>
              <c:f>'04-07-25-Scen5-WorstCargoJIT'!$A$3:$A$112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'04-07-25-Scen5-WorstCargoJIT'!$AP$3:$AP$112</c:f>
              <c:numCache>
                <c:formatCode>General</c:formatCode>
                <c:ptCount val="110"/>
                <c:pt idx="0">
                  <c:v>-688</c:v>
                </c:pt>
                <c:pt idx="1">
                  <c:v>-688</c:v>
                </c:pt>
                <c:pt idx="2">
                  <c:v>-688</c:v>
                </c:pt>
                <c:pt idx="3">
                  <c:v>-688</c:v>
                </c:pt>
                <c:pt idx="4">
                  <c:v>-688</c:v>
                </c:pt>
                <c:pt idx="5">
                  <c:v>-688</c:v>
                </c:pt>
                <c:pt idx="6">
                  <c:v>-688</c:v>
                </c:pt>
                <c:pt idx="7">
                  <c:v>-688</c:v>
                </c:pt>
                <c:pt idx="8">
                  <c:v>-688</c:v>
                </c:pt>
                <c:pt idx="9">
                  <c:v>-688</c:v>
                </c:pt>
                <c:pt idx="10">
                  <c:v>-688</c:v>
                </c:pt>
                <c:pt idx="11">
                  <c:v>-688</c:v>
                </c:pt>
                <c:pt idx="12">
                  <c:v>-688</c:v>
                </c:pt>
                <c:pt idx="13">
                  <c:v>-688</c:v>
                </c:pt>
                <c:pt idx="14">
                  <c:v>-688</c:v>
                </c:pt>
                <c:pt idx="15">
                  <c:v>-688</c:v>
                </c:pt>
                <c:pt idx="16">
                  <c:v>-688</c:v>
                </c:pt>
                <c:pt idx="17">
                  <c:v>-688</c:v>
                </c:pt>
                <c:pt idx="18">
                  <c:v>-688</c:v>
                </c:pt>
                <c:pt idx="19">
                  <c:v>-688</c:v>
                </c:pt>
                <c:pt idx="20">
                  <c:v>-688</c:v>
                </c:pt>
                <c:pt idx="21">
                  <c:v>-688</c:v>
                </c:pt>
                <c:pt idx="22">
                  <c:v>-688</c:v>
                </c:pt>
                <c:pt idx="23">
                  <c:v>-688</c:v>
                </c:pt>
                <c:pt idx="24">
                  <c:v>-688</c:v>
                </c:pt>
                <c:pt idx="25">
                  <c:v>-688</c:v>
                </c:pt>
                <c:pt idx="26">
                  <c:v>-688</c:v>
                </c:pt>
                <c:pt idx="27">
                  <c:v>-688</c:v>
                </c:pt>
                <c:pt idx="28">
                  <c:v>-688</c:v>
                </c:pt>
                <c:pt idx="29">
                  <c:v>-688</c:v>
                </c:pt>
                <c:pt idx="30">
                  <c:v>-688</c:v>
                </c:pt>
                <c:pt idx="31">
                  <c:v>-688</c:v>
                </c:pt>
                <c:pt idx="32">
                  <c:v>-688</c:v>
                </c:pt>
                <c:pt idx="33">
                  <c:v>-688</c:v>
                </c:pt>
                <c:pt idx="34">
                  <c:v>-688</c:v>
                </c:pt>
                <c:pt idx="35">
                  <c:v>-688</c:v>
                </c:pt>
                <c:pt idx="36">
                  <c:v>-688</c:v>
                </c:pt>
                <c:pt idx="37">
                  <c:v>-688</c:v>
                </c:pt>
                <c:pt idx="38">
                  <c:v>-688</c:v>
                </c:pt>
                <c:pt idx="39">
                  <c:v>-688</c:v>
                </c:pt>
                <c:pt idx="40">
                  <c:v>-688</c:v>
                </c:pt>
                <c:pt idx="41">
                  <c:v>-688</c:v>
                </c:pt>
                <c:pt idx="42">
                  <c:v>-688</c:v>
                </c:pt>
                <c:pt idx="43">
                  <c:v>-688</c:v>
                </c:pt>
                <c:pt idx="44">
                  <c:v>-688</c:v>
                </c:pt>
                <c:pt idx="45">
                  <c:v>-688</c:v>
                </c:pt>
                <c:pt idx="46">
                  <c:v>-688</c:v>
                </c:pt>
                <c:pt idx="47">
                  <c:v>-688</c:v>
                </c:pt>
                <c:pt idx="48">
                  <c:v>-688</c:v>
                </c:pt>
                <c:pt idx="49">
                  <c:v>-688</c:v>
                </c:pt>
                <c:pt idx="50">
                  <c:v>-688</c:v>
                </c:pt>
                <c:pt idx="51">
                  <c:v>-688</c:v>
                </c:pt>
                <c:pt idx="52">
                  <c:v>-688</c:v>
                </c:pt>
                <c:pt idx="53">
                  <c:v>-688</c:v>
                </c:pt>
                <c:pt idx="54">
                  <c:v>-688</c:v>
                </c:pt>
                <c:pt idx="55">
                  <c:v>-688</c:v>
                </c:pt>
                <c:pt idx="56">
                  <c:v>-688</c:v>
                </c:pt>
                <c:pt idx="57">
                  <c:v>-688</c:v>
                </c:pt>
                <c:pt idx="58">
                  <c:v>-688</c:v>
                </c:pt>
                <c:pt idx="59">
                  <c:v>-688</c:v>
                </c:pt>
                <c:pt idx="60">
                  <c:v>-688</c:v>
                </c:pt>
                <c:pt idx="61">
                  <c:v>-688</c:v>
                </c:pt>
                <c:pt idx="62">
                  <c:v>-688</c:v>
                </c:pt>
                <c:pt idx="63">
                  <c:v>-688</c:v>
                </c:pt>
                <c:pt idx="64">
                  <c:v>-688</c:v>
                </c:pt>
                <c:pt idx="65">
                  <c:v>-688</c:v>
                </c:pt>
                <c:pt idx="66">
                  <c:v>-688</c:v>
                </c:pt>
                <c:pt idx="67">
                  <c:v>-688</c:v>
                </c:pt>
                <c:pt idx="68">
                  <c:v>-688</c:v>
                </c:pt>
                <c:pt idx="69">
                  <c:v>-688</c:v>
                </c:pt>
                <c:pt idx="70">
                  <c:v>-688</c:v>
                </c:pt>
                <c:pt idx="71">
                  <c:v>-688</c:v>
                </c:pt>
                <c:pt idx="72">
                  <c:v>-688</c:v>
                </c:pt>
                <c:pt idx="73">
                  <c:v>-688</c:v>
                </c:pt>
                <c:pt idx="74">
                  <c:v>-688</c:v>
                </c:pt>
                <c:pt idx="75">
                  <c:v>-688</c:v>
                </c:pt>
                <c:pt idx="76">
                  <c:v>-688</c:v>
                </c:pt>
                <c:pt idx="77">
                  <c:v>-688</c:v>
                </c:pt>
                <c:pt idx="78">
                  <c:v>-688</c:v>
                </c:pt>
                <c:pt idx="79">
                  <c:v>-688</c:v>
                </c:pt>
                <c:pt idx="80">
                  <c:v>-688</c:v>
                </c:pt>
                <c:pt idx="81">
                  <c:v>-688</c:v>
                </c:pt>
                <c:pt idx="82">
                  <c:v>-688</c:v>
                </c:pt>
                <c:pt idx="83">
                  <c:v>-688</c:v>
                </c:pt>
                <c:pt idx="84">
                  <c:v>-688</c:v>
                </c:pt>
                <c:pt idx="85">
                  <c:v>-688</c:v>
                </c:pt>
                <c:pt idx="86">
                  <c:v>-688</c:v>
                </c:pt>
                <c:pt idx="87">
                  <c:v>-688</c:v>
                </c:pt>
                <c:pt idx="88">
                  <c:v>-688</c:v>
                </c:pt>
                <c:pt idx="89">
                  <c:v>-688</c:v>
                </c:pt>
                <c:pt idx="90">
                  <c:v>-688</c:v>
                </c:pt>
                <c:pt idx="91">
                  <c:v>-688</c:v>
                </c:pt>
                <c:pt idx="92">
                  <c:v>-688</c:v>
                </c:pt>
                <c:pt idx="93">
                  <c:v>-688</c:v>
                </c:pt>
                <c:pt idx="94">
                  <c:v>-688</c:v>
                </c:pt>
                <c:pt idx="95">
                  <c:v>-688</c:v>
                </c:pt>
                <c:pt idx="96">
                  <c:v>-688</c:v>
                </c:pt>
                <c:pt idx="97">
                  <c:v>-688</c:v>
                </c:pt>
                <c:pt idx="98">
                  <c:v>-688</c:v>
                </c:pt>
                <c:pt idx="99">
                  <c:v>-688</c:v>
                </c:pt>
                <c:pt idx="100">
                  <c:v>-688</c:v>
                </c:pt>
                <c:pt idx="101">
                  <c:v>-688</c:v>
                </c:pt>
                <c:pt idx="102">
                  <c:v>-688</c:v>
                </c:pt>
                <c:pt idx="103">
                  <c:v>-688</c:v>
                </c:pt>
                <c:pt idx="104">
                  <c:v>-688</c:v>
                </c:pt>
                <c:pt idx="105">
                  <c:v>-688</c:v>
                </c:pt>
                <c:pt idx="106">
                  <c:v>-688</c:v>
                </c:pt>
                <c:pt idx="107">
                  <c:v>-688</c:v>
                </c:pt>
                <c:pt idx="108">
                  <c:v>-688</c:v>
                </c:pt>
                <c:pt idx="109">
                  <c:v>-688</c:v>
                </c:pt>
              </c:numCache>
            </c:numRef>
          </c:yVal>
          <c:smooth val="0"/>
          <c:extLst>
            <c:ext xmlns:c16="http://schemas.microsoft.com/office/drawing/2014/chart" uri="{C3380CC4-5D6E-409C-BE32-E72D297353CC}">
              <c16:uniqueId val="{00000005-0701-4C2E-BCFB-40978D89004F}"/>
            </c:ext>
          </c:extLst>
        </c:ser>
        <c:ser>
          <c:idx val="4"/>
          <c:order val="5"/>
          <c:tx>
            <c:strRef>
              <c:f>'04-07-25-Scen5-WorstCargoJIT'!$AK$1</c:f>
              <c:strCache>
                <c:ptCount val="1"/>
                <c:pt idx="0">
                  <c:v>Input</c:v>
                </c:pt>
              </c:strCache>
            </c:strRef>
          </c:tx>
          <c:spPr>
            <a:ln w="19050" cap="rnd">
              <a:noFill/>
              <a:round/>
            </a:ln>
            <a:effectLst/>
          </c:spPr>
          <c:marker>
            <c:symbol val="triangle"/>
            <c:size val="12"/>
            <c:spPr>
              <a:solidFill>
                <a:srgbClr val="7030A0"/>
              </a:solidFill>
              <a:ln w="9525">
                <a:solidFill>
                  <a:srgbClr val="7030A0"/>
                </a:solidFill>
              </a:ln>
              <a:effectLst/>
            </c:spPr>
          </c:marker>
          <c:dPt>
            <c:idx val="0"/>
            <c:marker>
              <c:symbol val="triangle"/>
              <c:size val="12"/>
              <c:spPr>
                <a:solidFill>
                  <a:srgbClr val="7030A0"/>
                </a:solidFill>
                <a:ln w="9525">
                  <a:solidFill>
                    <a:srgbClr val="7030A0"/>
                  </a:solidFill>
                </a:ln>
                <a:effectLst/>
              </c:spPr>
            </c:marker>
            <c:bubble3D val="0"/>
            <c:extLst>
              <c:ext xmlns:c16="http://schemas.microsoft.com/office/drawing/2014/chart" uri="{C3380CC4-5D6E-409C-BE32-E72D297353CC}">
                <c16:uniqueId val="{00000006-0701-4C2E-BCFB-40978D89004F}"/>
              </c:ext>
            </c:extLst>
          </c:dPt>
          <c:xVal>
            <c:numRef>
              <c:f>'04-07-25-Scen5-WorstCargoJIT'!$BB$4:$BB$5</c:f>
              <c:numCache>
                <c:formatCode>m/d/yyyy</c:formatCode>
                <c:ptCount val="2"/>
                <c:pt idx="0">
                  <c:v>45973</c:v>
                </c:pt>
                <c:pt idx="1">
                  <c:v>45978</c:v>
                </c:pt>
              </c:numCache>
            </c:numRef>
          </c:xVal>
          <c:yVal>
            <c:numLit>
              <c:formatCode>General</c:formatCode>
              <c:ptCount val="2"/>
              <c:pt idx="0">
                <c:v>0</c:v>
              </c:pt>
              <c:pt idx="1">
                <c:v>0</c:v>
              </c:pt>
            </c:numLit>
          </c:yVal>
          <c:smooth val="0"/>
          <c:extLst>
            <c:ext xmlns:c16="http://schemas.microsoft.com/office/drawing/2014/chart" uri="{C3380CC4-5D6E-409C-BE32-E72D297353CC}">
              <c16:uniqueId val="{00000007-0701-4C2E-BCFB-40978D89004F}"/>
            </c:ext>
          </c:extLst>
        </c:ser>
        <c:ser>
          <c:idx val="5"/>
          <c:order val="6"/>
          <c:tx>
            <c:strRef>
              <c:f>'04-07-25-Scen5-WorstCargoJIT'!$AQ$1</c:f>
              <c:strCache>
                <c:ptCount val="1"/>
                <c:pt idx="0">
                  <c:v>Able to Output</c:v>
                </c:pt>
              </c:strCache>
            </c:strRef>
          </c:tx>
          <c:spPr>
            <a:ln w="19050" cap="rnd">
              <a:noFill/>
              <a:round/>
            </a:ln>
            <a:effectLst/>
          </c:spPr>
          <c:marker>
            <c:symbol val="circle"/>
            <c:size val="12"/>
            <c:spPr>
              <a:solidFill>
                <a:srgbClr val="7030A0"/>
              </a:solidFill>
              <a:ln w="9525">
                <a:solidFill>
                  <a:srgbClr val="7030A0"/>
                </a:solidFill>
              </a:ln>
              <a:effectLst/>
            </c:spPr>
          </c:marker>
          <c:xVal>
            <c:numRef>
              <c:f>'04-07-25-Scen5-WorstCargoJIT'!$A$3:$A$112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'04-07-25-Scen5-WorstCargoJIT'!$AQ$3:$AQ$112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0</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6="http://schemas.microsoft.com/office/drawing/2014/chart" uri="{C3380CC4-5D6E-409C-BE32-E72D297353CC}">
              <c16:uniqueId val="{00000008-0701-4C2E-BCFB-40978D89004F}"/>
            </c:ext>
          </c:extLst>
        </c:ser>
        <c:ser>
          <c:idx val="7"/>
          <c:order val="7"/>
          <c:tx>
            <c:v>Output</c:v>
          </c:tx>
          <c:spPr>
            <a:ln w="19050" cap="rnd">
              <a:noFill/>
              <a:round/>
            </a:ln>
            <a:effectLst/>
          </c:spPr>
          <c:marker>
            <c:symbol val="diamond"/>
            <c:size val="18"/>
            <c:spPr>
              <a:noFill/>
              <a:ln w="31750">
                <a:solidFill>
                  <a:srgbClr val="FF0000"/>
                </a:solidFill>
              </a:ln>
              <a:effectLst/>
            </c:spPr>
          </c:marker>
          <c:xVal>
            <c:numRef>
              <c:f>'04-07-25-Scen5-WorstCargoJIT'!$BF$4:$BF$5</c:f>
              <c:numCache>
                <c:formatCode>m/d/yyyy</c:formatCode>
                <c:ptCount val="2"/>
                <c:pt idx="0">
                  <c:v>46043</c:v>
                </c:pt>
                <c:pt idx="1">
                  <c:v>46055</c:v>
                </c:pt>
              </c:numCache>
            </c:numRef>
          </c:xVal>
          <c:yVal>
            <c:numLit>
              <c:formatCode>General</c:formatCode>
              <c:ptCount val="2"/>
              <c:pt idx="0">
                <c:v>0</c:v>
              </c:pt>
              <c:pt idx="1">
                <c:v>0</c:v>
              </c:pt>
            </c:numLit>
          </c:yVal>
          <c:smooth val="0"/>
          <c:extLst>
            <c:ext xmlns:c16="http://schemas.microsoft.com/office/drawing/2014/chart" uri="{C3380CC4-5D6E-409C-BE32-E72D297353CC}">
              <c16:uniqueId val="{00000009-0701-4C2E-BCFB-40978D89004F}"/>
            </c:ext>
          </c:extLst>
        </c:ser>
        <c:ser>
          <c:idx val="12"/>
          <c:order val="8"/>
          <c:tx>
            <c:strRef>
              <c:f>'04-07-25-Scen5-WorstCargoJIT'!$AR$1</c:f>
              <c:strCache>
                <c:ptCount val="1"/>
                <c:pt idx="0">
                  <c:v>Drilling Fuel Planned</c:v>
                </c:pt>
              </c:strCache>
            </c:strRef>
          </c:tx>
          <c:spPr>
            <a:ln w="19050" cap="rnd">
              <a:noFill/>
              <a:round/>
            </a:ln>
            <a:effectLst/>
          </c:spPr>
          <c:marker>
            <c:symbol val="circle"/>
            <c:size val="10"/>
            <c:spPr>
              <a:solidFill>
                <a:schemeClr val="bg1"/>
              </a:solidFill>
              <a:ln w="31750">
                <a:solidFill>
                  <a:srgbClr val="FF0000"/>
                </a:solidFill>
              </a:ln>
              <a:effectLst/>
            </c:spPr>
          </c:marker>
          <c:dLbls>
            <c:dLbl>
              <c:idx val="0"/>
              <c:tx>
                <c:rich>
                  <a:bodyPr/>
                  <a:lstStyle/>
                  <a:p>
                    <a:fld id="{F89BC2CE-759C-4C04-9550-93948D22C9AC}"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0701-4C2E-BCFB-40978D89004F}"/>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0701-4C2E-BCFB-40978D89004F}"/>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0701-4C2E-BCFB-40978D89004F}"/>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0701-4C2E-BCFB-40978D89004F}"/>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0701-4C2E-BCFB-40978D89004F}"/>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0701-4C2E-BCFB-40978D89004F}"/>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0701-4C2E-BCFB-40978D89004F}"/>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0701-4C2E-BCFB-40978D89004F}"/>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0701-4C2E-BCFB-40978D89004F}"/>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0701-4C2E-BCFB-40978D89004F}"/>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0701-4C2E-BCFB-40978D89004F}"/>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0701-4C2E-BCFB-40978D89004F}"/>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0701-4C2E-BCFB-40978D89004F}"/>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0701-4C2E-BCFB-40978D89004F}"/>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0701-4C2E-BCFB-40978D89004F}"/>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0701-4C2E-BCFB-40978D89004F}"/>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0701-4C2E-BCFB-40978D89004F}"/>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0701-4C2E-BCFB-40978D89004F}"/>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0701-4C2E-BCFB-40978D89004F}"/>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0701-4C2E-BCFB-40978D89004F}"/>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0701-4C2E-BCFB-40978D89004F}"/>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0701-4C2E-BCFB-40978D89004F}"/>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0701-4C2E-BCFB-40978D89004F}"/>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0701-4C2E-BCFB-40978D89004F}"/>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0701-4C2E-BCFB-40978D89004F}"/>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0701-4C2E-BCFB-40978D89004F}"/>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0701-4C2E-BCFB-40978D89004F}"/>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0701-4C2E-BCFB-40978D89004F}"/>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0701-4C2E-BCFB-40978D89004F}"/>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0701-4C2E-BCFB-40978D89004F}"/>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0701-4C2E-BCFB-40978D89004F}"/>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0701-4C2E-BCFB-40978D89004F}"/>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0701-4C2E-BCFB-40978D89004F}"/>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0701-4C2E-BCFB-40978D89004F}"/>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0701-4C2E-BCFB-40978D89004F}"/>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0701-4C2E-BCFB-40978D89004F}"/>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0701-4C2E-BCFB-40978D89004F}"/>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0701-4C2E-BCFB-40978D89004F}"/>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0701-4C2E-BCFB-40978D89004F}"/>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0701-4C2E-BCFB-40978D89004F}"/>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0701-4C2E-BCFB-40978D89004F}"/>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0701-4C2E-BCFB-40978D89004F}"/>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0701-4C2E-BCFB-40978D89004F}"/>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0701-4C2E-BCFB-40978D89004F}"/>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0701-4C2E-BCFB-40978D89004F}"/>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0701-4C2E-BCFB-40978D89004F}"/>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0701-4C2E-BCFB-40978D89004F}"/>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0701-4C2E-BCFB-40978D89004F}"/>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0701-4C2E-BCFB-40978D89004F}"/>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0701-4C2E-BCFB-40978D89004F}"/>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0701-4C2E-BCFB-40978D89004F}"/>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0701-4C2E-BCFB-40978D89004F}"/>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0701-4C2E-BCFB-40978D89004F}"/>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0701-4C2E-BCFB-40978D89004F}"/>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0701-4C2E-BCFB-40978D89004F}"/>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0701-4C2E-BCFB-40978D89004F}"/>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0701-4C2E-BCFB-40978D89004F}"/>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0701-4C2E-BCFB-40978D89004F}"/>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0701-4C2E-BCFB-40978D89004F}"/>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0701-4C2E-BCFB-40978D89004F}"/>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0701-4C2E-BCFB-40978D89004F}"/>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7-0701-4C2E-BCFB-40978D89004F}"/>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0701-4C2E-BCFB-40978D89004F}"/>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0701-4C2E-BCFB-40978D89004F}"/>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0701-4C2E-BCFB-40978D89004F}"/>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0701-4C2E-BCFB-40978D89004F}"/>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0701-4C2E-BCFB-40978D89004F}"/>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0701-4C2E-BCFB-40978D89004F}"/>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0701-4C2E-BCFB-40978D89004F}"/>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0701-4C2E-BCFB-40978D89004F}"/>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0701-4C2E-BCFB-40978D89004F}"/>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0701-4C2E-BCFB-40978D89004F}"/>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0701-4C2E-BCFB-40978D89004F}"/>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0701-4C2E-BCFB-40978D89004F}"/>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0701-4C2E-BCFB-40978D89004F}"/>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0701-4C2E-BCFB-40978D89004F}"/>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0701-4C2E-BCFB-40978D89004F}"/>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0701-4C2E-BCFB-40978D89004F}"/>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0701-4C2E-BCFB-40978D89004F}"/>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0701-4C2E-BCFB-40978D89004F}"/>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0701-4C2E-BCFB-40978D89004F}"/>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0701-4C2E-BCFB-40978D89004F}"/>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0701-4C2E-BCFB-40978D89004F}"/>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0701-4C2E-BCFB-40978D89004F}"/>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0701-4C2E-BCFB-40978D89004F}"/>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F-0701-4C2E-BCFB-40978D89004F}"/>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0-0701-4C2E-BCFB-40978D89004F}"/>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1-0701-4C2E-BCFB-40978D89004F}"/>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2-0701-4C2E-BCFB-40978D89004F}"/>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3-0701-4C2E-BCFB-40978D89004F}"/>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4-0701-4C2E-BCFB-40978D89004F}"/>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5-0701-4C2E-BCFB-40978D89004F}"/>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6-0701-4C2E-BCFB-40978D89004F}"/>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7-0701-4C2E-BCFB-40978D89004F}"/>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8-0701-4C2E-BCFB-40978D89004F}"/>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9-0701-4C2E-BCFB-40978D89004F}"/>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A-0701-4C2E-BCFB-40978D89004F}"/>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B-0701-4C2E-BCFB-40978D89004F}"/>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C-0701-4C2E-BCFB-40978D89004F}"/>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D-0701-4C2E-BCFB-40978D89004F}"/>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E-0701-4C2E-BCFB-40978D89004F}"/>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F-0701-4C2E-BCFB-40978D89004F}"/>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0-0701-4C2E-BCFB-40978D89004F}"/>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1-0701-4C2E-BCFB-40978D89004F}"/>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2-0701-4C2E-BCFB-40978D89004F}"/>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3-0701-4C2E-BCFB-40978D89004F}"/>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4-0701-4C2E-BCFB-40978D89004F}"/>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5-0701-4C2E-BCFB-40978D89004F}"/>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6-0701-4C2E-BCFB-40978D89004F}"/>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7-0701-4C2E-BCFB-40978D89004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FF0000"/>
                      </a:solidFill>
                    </a:ln>
                    <a:solidFill>
                      <a:srgbClr val="FF000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'04-07-25-Scen5-WorstCargoJIT'!$A$3:$A$112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'04-07-25-Scen5-WorstCargoJIT'!$AR$3:$AR$112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'04-07-25-Scen5-WorstCargoJIT'!$X$3:$X$112</c15:f>
                <c15:dlblRangeCache>
                  <c:ptCount val="110"/>
                </c15:dlblRangeCache>
              </c15:datalabelsRange>
            </c:ext>
            <c:ext xmlns:c16="http://schemas.microsoft.com/office/drawing/2014/chart" uri="{C3380CC4-5D6E-409C-BE32-E72D297353CC}">
              <c16:uniqueId val="{00000078-0701-4C2E-BCFB-40978D89004F}"/>
            </c:ext>
          </c:extLst>
        </c:ser>
        <c:ser>
          <c:idx val="13"/>
          <c:order val="9"/>
          <c:tx>
            <c:strRef>
              <c:f>'04-07-25-Scen5-WorstCargoJIT'!$AS$1</c:f>
              <c:strCache>
                <c:ptCount val="1"/>
                <c:pt idx="0">
                  <c:v>Drilling Fuel Still Needed</c:v>
                </c:pt>
              </c:strCache>
            </c:strRef>
          </c:tx>
          <c:spPr>
            <a:ln w="19050" cap="rnd">
              <a:noFill/>
              <a:round/>
            </a:ln>
            <a:effectLst/>
          </c:spPr>
          <c:marker>
            <c:symbol val="x"/>
            <c:size val="10"/>
            <c:spPr>
              <a:solidFill>
                <a:schemeClr val="bg1"/>
              </a:solidFill>
              <a:ln w="31750">
                <a:solidFill>
                  <a:srgbClr val="FF0000"/>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9-0701-4C2E-BCFB-40978D89004F}"/>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A-0701-4C2E-BCFB-40978D89004F}"/>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B-0701-4C2E-BCFB-40978D89004F}"/>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C-0701-4C2E-BCFB-40978D89004F}"/>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D-0701-4C2E-BCFB-40978D89004F}"/>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E-0701-4C2E-BCFB-40978D89004F}"/>
                </c:ext>
              </c:extLst>
            </c:dLbl>
            <c:dLbl>
              <c:idx val="6"/>
              <c:tx>
                <c:rich>
                  <a:bodyPr/>
                  <a:lstStyle/>
                  <a:p>
                    <a:fld id="{65E946EF-2825-4616-B707-12EE1DACEFA1}"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7F-0701-4C2E-BCFB-40978D89004F}"/>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0-0701-4C2E-BCFB-40978D89004F}"/>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1-0701-4C2E-BCFB-40978D89004F}"/>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2-0701-4C2E-BCFB-40978D89004F}"/>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3-0701-4C2E-BCFB-40978D89004F}"/>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4-0701-4C2E-BCFB-40978D89004F}"/>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5-0701-4C2E-BCFB-40978D89004F}"/>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6-0701-4C2E-BCFB-40978D89004F}"/>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7-0701-4C2E-BCFB-40978D89004F}"/>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8-0701-4C2E-BCFB-40978D89004F}"/>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9-0701-4C2E-BCFB-40978D89004F}"/>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A-0701-4C2E-BCFB-40978D89004F}"/>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B-0701-4C2E-BCFB-40978D89004F}"/>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C-0701-4C2E-BCFB-40978D89004F}"/>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D-0701-4C2E-BCFB-40978D89004F}"/>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E-0701-4C2E-BCFB-40978D89004F}"/>
                </c:ext>
              </c:extLst>
            </c:dLbl>
            <c:dLbl>
              <c:idx val="22"/>
              <c:tx>
                <c:rich>
                  <a:bodyPr/>
                  <a:lstStyle/>
                  <a:p>
                    <a:fld id="{7BB73E62-AFA5-4BDF-A8B4-35CE94D87C7D}"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F-0701-4C2E-BCFB-40978D89004F}"/>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0-0701-4C2E-BCFB-40978D89004F}"/>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1-0701-4C2E-BCFB-40978D89004F}"/>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2-0701-4C2E-BCFB-40978D89004F}"/>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3-0701-4C2E-BCFB-40978D89004F}"/>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4-0701-4C2E-BCFB-40978D89004F}"/>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5-0701-4C2E-BCFB-40978D89004F}"/>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6-0701-4C2E-BCFB-40978D89004F}"/>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7-0701-4C2E-BCFB-40978D89004F}"/>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8-0701-4C2E-BCFB-40978D89004F}"/>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9-0701-4C2E-BCFB-40978D89004F}"/>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A-0701-4C2E-BCFB-40978D89004F}"/>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B-0701-4C2E-BCFB-40978D89004F}"/>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C-0701-4C2E-BCFB-40978D89004F}"/>
                </c:ext>
              </c:extLst>
            </c:dLbl>
            <c:dLbl>
              <c:idx val="36"/>
              <c:tx>
                <c:rich>
                  <a:bodyPr/>
                  <a:lstStyle/>
                  <a:p>
                    <a:fld id="{C0CE22F2-8274-40D1-A547-B79B1EB6DAF5}"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0701-4C2E-BCFB-40978D89004F}"/>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E-0701-4C2E-BCFB-40978D89004F}"/>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F-0701-4C2E-BCFB-40978D89004F}"/>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0-0701-4C2E-BCFB-40978D89004F}"/>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1-0701-4C2E-BCFB-40978D89004F}"/>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2-0701-4C2E-BCFB-40978D89004F}"/>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3-0701-4C2E-BCFB-40978D89004F}"/>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4-0701-4C2E-BCFB-40978D89004F}"/>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5-0701-4C2E-BCFB-40978D89004F}"/>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6-0701-4C2E-BCFB-40978D89004F}"/>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7-0701-4C2E-BCFB-40978D89004F}"/>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8-0701-4C2E-BCFB-40978D89004F}"/>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9-0701-4C2E-BCFB-40978D89004F}"/>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A-0701-4C2E-BCFB-40978D89004F}"/>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B-0701-4C2E-BCFB-40978D89004F}"/>
                </c:ext>
              </c:extLst>
            </c:dLbl>
            <c:dLbl>
              <c:idx val="51"/>
              <c:tx>
                <c:rich>
                  <a:bodyPr/>
                  <a:lstStyle/>
                  <a:p>
                    <a:fld id="{8133738D-3640-42B4-86B2-2AAE44566AC6}"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C-0701-4C2E-BCFB-40978D89004F}"/>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D-0701-4C2E-BCFB-40978D89004F}"/>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E-0701-4C2E-BCFB-40978D89004F}"/>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F-0701-4C2E-BCFB-40978D89004F}"/>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0-0701-4C2E-BCFB-40978D89004F}"/>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1-0701-4C2E-BCFB-40978D89004F}"/>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2-0701-4C2E-BCFB-40978D89004F}"/>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3-0701-4C2E-BCFB-40978D89004F}"/>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4-0701-4C2E-BCFB-40978D89004F}"/>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5-0701-4C2E-BCFB-40978D89004F}"/>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6-0701-4C2E-BCFB-40978D89004F}"/>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7-0701-4C2E-BCFB-40978D89004F}"/>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8-0701-4C2E-BCFB-40978D89004F}"/>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9-0701-4C2E-BCFB-40978D89004F}"/>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A-0701-4C2E-BCFB-40978D89004F}"/>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B-0701-4C2E-BCFB-40978D89004F}"/>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C-0701-4C2E-BCFB-40978D89004F}"/>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D-0701-4C2E-BCFB-40978D89004F}"/>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E-0701-4C2E-BCFB-40978D89004F}"/>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F-0701-4C2E-BCFB-40978D89004F}"/>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0-0701-4C2E-BCFB-40978D89004F}"/>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1-0701-4C2E-BCFB-40978D89004F}"/>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2-0701-4C2E-BCFB-40978D89004F}"/>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3-0701-4C2E-BCFB-40978D89004F}"/>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4-0701-4C2E-BCFB-40978D89004F}"/>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5-0701-4C2E-BCFB-40978D89004F}"/>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6-0701-4C2E-BCFB-40978D89004F}"/>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7-0701-4C2E-BCFB-40978D89004F}"/>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8-0701-4C2E-BCFB-40978D89004F}"/>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9-0701-4C2E-BCFB-40978D89004F}"/>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A-0701-4C2E-BCFB-40978D89004F}"/>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B-0701-4C2E-BCFB-40978D89004F}"/>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C-0701-4C2E-BCFB-40978D89004F}"/>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D-0701-4C2E-BCFB-40978D89004F}"/>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E-0701-4C2E-BCFB-40978D89004F}"/>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F-0701-4C2E-BCFB-40978D89004F}"/>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0-0701-4C2E-BCFB-40978D89004F}"/>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1-0701-4C2E-BCFB-40978D89004F}"/>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2-0701-4C2E-BCFB-40978D89004F}"/>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3-0701-4C2E-BCFB-40978D89004F}"/>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4-0701-4C2E-BCFB-40978D89004F}"/>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5-0701-4C2E-BCFB-40978D89004F}"/>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6-0701-4C2E-BCFB-40978D89004F}"/>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7-0701-4C2E-BCFB-40978D89004F}"/>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8-0701-4C2E-BCFB-40978D89004F}"/>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9-0701-4C2E-BCFB-40978D89004F}"/>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A-0701-4C2E-BCFB-40978D89004F}"/>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B-0701-4C2E-BCFB-40978D89004F}"/>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C-0701-4C2E-BCFB-40978D89004F}"/>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D-0701-4C2E-BCFB-40978D89004F}"/>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E-0701-4C2E-BCFB-40978D89004F}"/>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F-0701-4C2E-BCFB-40978D89004F}"/>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0-0701-4C2E-BCFB-40978D89004F}"/>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1-0701-4C2E-BCFB-40978D89004F}"/>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2-0701-4C2E-BCFB-40978D89004F}"/>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3-0701-4C2E-BCFB-40978D89004F}"/>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4-0701-4C2E-BCFB-40978D89004F}"/>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5-0701-4C2E-BCFB-40978D89004F}"/>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6-0701-4C2E-BCFB-40978D89004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FF0000"/>
                      </a:solidFill>
                    </a:ln>
                    <a:solidFill>
                      <a:srgbClr val="FF000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'04-07-25-Scen5-WorstCargoJIT'!$A$3:$A$112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'04-07-25-Scen5-WorstCargoJIT'!$AS$3:$AS$112</c:f>
              <c:numCache>
                <c:formatCode>General</c:formatCode>
                <c:ptCount val="110"/>
                <c:pt idx="0">
                  <c:v>#N/A</c:v>
                </c:pt>
                <c:pt idx="1">
                  <c:v>#N/A</c:v>
                </c:pt>
                <c:pt idx="2">
                  <c:v>#N/A</c:v>
                </c:pt>
                <c:pt idx="3">
                  <c:v>#N/A</c:v>
                </c:pt>
                <c:pt idx="4">
                  <c:v>#N/A</c:v>
                </c:pt>
                <c:pt idx="5">
                  <c:v>#N/A</c:v>
                </c:pt>
                <c:pt idx="6">
                  <c:v>-72</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-72</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-72</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-72</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'04-07-25-Scen5-WorstCargoJIT'!$Y$3:$Y$112</c15:f>
                <c15:dlblRangeCache>
                  <c:ptCount val="110"/>
                  <c:pt idx="0">
                    <c:v>0</c:v>
                  </c:pt>
                  <c:pt idx="1">
                    <c:v>0</c:v>
                  </c:pt>
                  <c:pt idx="2">
                    <c:v>0</c:v>
                  </c:pt>
                  <c:pt idx="3">
                    <c:v>0</c:v>
                  </c:pt>
                  <c:pt idx="4">
                    <c:v>0</c:v>
                  </c:pt>
                  <c:pt idx="5">
                    <c:v>0</c:v>
                  </c:pt>
                  <c:pt idx="6">
                    <c:v>6</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6</c:v>
                  </c:pt>
                  <c:pt idx="23">
                    <c:v>0</c:v>
                  </c:pt>
                  <c:pt idx="24">
                    <c:v>0</c:v>
                  </c:pt>
                  <c:pt idx="25">
                    <c:v>0</c:v>
                  </c:pt>
                  <c:pt idx="26">
                    <c:v>0</c:v>
                  </c:pt>
                  <c:pt idx="27">
                    <c:v>0</c:v>
                  </c:pt>
                  <c:pt idx="28">
                    <c:v>0</c:v>
                  </c:pt>
                  <c:pt idx="29">
                    <c:v>0</c:v>
                  </c:pt>
                  <c:pt idx="30">
                    <c:v>0</c:v>
                  </c:pt>
                  <c:pt idx="31">
                    <c:v>0</c:v>
                  </c:pt>
                  <c:pt idx="32">
                    <c:v>0</c:v>
                  </c:pt>
                  <c:pt idx="33">
                    <c:v>0</c:v>
                  </c:pt>
                  <c:pt idx="34">
                    <c:v>0</c:v>
                  </c:pt>
                  <c:pt idx="35">
                    <c:v>0</c:v>
                  </c:pt>
                  <c:pt idx="36">
                    <c:v>6</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6</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15:dlblRangeCache>
              </c15:datalabelsRange>
            </c:ext>
            <c:ext xmlns:c16="http://schemas.microsoft.com/office/drawing/2014/chart" uri="{C3380CC4-5D6E-409C-BE32-E72D297353CC}">
              <c16:uniqueId val="{000000E7-0701-4C2E-BCFB-40978D89004F}"/>
            </c:ext>
          </c:extLst>
        </c:ser>
        <c:ser>
          <c:idx val="8"/>
          <c:order val="10"/>
          <c:tx>
            <c:strRef>
              <c:f>'04-07-25-Scen5-WorstCargoJIT'!$AU$1</c:f>
              <c:strCache>
                <c:ptCount val="1"/>
                <c:pt idx="0">
                  <c:v>Drill Fluid Still Needed In</c:v>
                </c:pt>
              </c:strCache>
            </c:strRef>
          </c:tx>
          <c:spPr>
            <a:ln w="19050" cap="rnd">
              <a:noFill/>
              <a:round/>
            </a:ln>
            <a:effectLst/>
          </c:spPr>
          <c:marker>
            <c:symbol val="x"/>
            <c:size val="10"/>
            <c:spPr>
              <a:solidFill>
                <a:schemeClr val="bg1"/>
              </a:solidFill>
              <a:ln w="31750">
                <a:solidFill>
                  <a:schemeClr val="tx2">
                    <a:lumMod val="50000"/>
                    <a:lumOff val="50000"/>
                  </a:schemeClr>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8-0701-4C2E-BCFB-40978D89004F}"/>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9-0701-4C2E-BCFB-40978D89004F}"/>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A-0701-4C2E-BCFB-40978D89004F}"/>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B-0701-4C2E-BCFB-40978D89004F}"/>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C-0701-4C2E-BCFB-40978D89004F}"/>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D-0701-4C2E-BCFB-40978D89004F}"/>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E-0701-4C2E-BCFB-40978D89004F}"/>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F-0701-4C2E-BCFB-40978D89004F}"/>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0-0701-4C2E-BCFB-40978D89004F}"/>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1-0701-4C2E-BCFB-40978D89004F}"/>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2-0701-4C2E-BCFB-40978D89004F}"/>
                </c:ext>
              </c:extLst>
            </c:dLbl>
            <c:dLbl>
              <c:idx val="11"/>
              <c:tx>
                <c:rich>
                  <a:bodyPr/>
                  <a:lstStyle/>
                  <a:p>
                    <a:fld id="{07A82199-B612-4279-AC16-FD3FD64E5E54}"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F3-0701-4C2E-BCFB-40978D89004F}"/>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4-0701-4C2E-BCFB-40978D89004F}"/>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5-0701-4C2E-BCFB-40978D89004F}"/>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6-0701-4C2E-BCFB-40978D89004F}"/>
                </c:ext>
              </c:extLst>
            </c:dLbl>
            <c:dLbl>
              <c:idx val="15"/>
              <c:tx>
                <c:rich>
                  <a:bodyPr/>
                  <a:lstStyle/>
                  <a:p>
                    <a:fld id="{74B89D5A-BAD5-4142-B9E4-A25D509E6B3F}"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F7-0701-4C2E-BCFB-40978D89004F}"/>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8-0701-4C2E-BCFB-40978D89004F}"/>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9-0701-4C2E-BCFB-40978D89004F}"/>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A-0701-4C2E-BCFB-40978D89004F}"/>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B-0701-4C2E-BCFB-40978D89004F}"/>
                </c:ext>
              </c:extLst>
            </c:dLbl>
            <c:dLbl>
              <c:idx val="20"/>
              <c:tx>
                <c:rich>
                  <a:bodyPr/>
                  <a:lstStyle/>
                  <a:p>
                    <a:fld id="{9BA26599-1F56-49E5-AF70-169E55947FD7}"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FC-0701-4C2E-BCFB-40978D89004F}"/>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D-0701-4C2E-BCFB-40978D89004F}"/>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E-0701-4C2E-BCFB-40978D89004F}"/>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F-0701-4C2E-BCFB-40978D89004F}"/>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0-0701-4C2E-BCFB-40978D89004F}"/>
                </c:ext>
              </c:extLst>
            </c:dLbl>
            <c:dLbl>
              <c:idx val="25"/>
              <c:tx>
                <c:rich>
                  <a:bodyPr/>
                  <a:lstStyle/>
                  <a:p>
                    <a:fld id="{3862709F-CB50-4CEF-BF76-9CD302884232}"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1-0701-4C2E-BCFB-40978D89004F}"/>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2-0701-4C2E-BCFB-40978D89004F}"/>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3-0701-4C2E-BCFB-40978D89004F}"/>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4-0701-4C2E-BCFB-40978D89004F}"/>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5-0701-4C2E-BCFB-40978D89004F}"/>
                </c:ext>
              </c:extLst>
            </c:dLbl>
            <c:dLbl>
              <c:idx val="30"/>
              <c:tx>
                <c:rich>
                  <a:bodyPr/>
                  <a:lstStyle/>
                  <a:p>
                    <a:fld id="{6C5C395C-8154-43CC-B8F2-B34B737AA12B}"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6-0701-4C2E-BCFB-40978D89004F}"/>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7-0701-4C2E-BCFB-40978D89004F}"/>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8-0701-4C2E-BCFB-40978D89004F}"/>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9-0701-4C2E-BCFB-40978D89004F}"/>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A-0701-4C2E-BCFB-40978D89004F}"/>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B-0701-4C2E-BCFB-40978D89004F}"/>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C-0701-4C2E-BCFB-40978D89004F}"/>
                </c:ext>
              </c:extLst>
            </c:dLbl>
            <c:dLbl>
              <c:idx val="37"/>
              <c:tx>
                <c:rich>
                  <a:bodyPr/>
                  <a:lstStyle/>
                  <a:p>
                    <a:fld id="{4B2B0290-8C33-4168-844C-FAE1C68AE212}"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D-0701-4C2E-BCFB-40978D89004F}"/>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E-0701-4C2E-BCFB-40978D89004F}"/>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F-0701-4C2E-BCFB-40978D89004F}"/>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0-0701-4C2E-BCFB-40978D89004F}"/>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1-0701-4C2E-BCFB-40978D89004F}"/>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2-0701-4C2E-BCFB-40978D89004F}"/>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3-0701-4C2E-BCFB-40978D89004F}"/>
                </c:ext>
              </c:extLst>
            </c:dLbl>
            <c:dLbl>
              <c:idx val="44"/>
              <c:tx>
                <c:rich>
                  <a:bodyPr/>
                  <a:lstStyle/>
                  <a:p>
                    <a:fld id="{54F7F5A2-8C4F-4E23-9B9B-5792EF6D7C38}"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14-0701-4C2E-BCFB-40978D89004F}"/>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5-0701-4C2E-BCFB-40978D89004F}"/>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6-0701-4C2E-BCFB-40978D89004F}"/>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7-0701-4C2E-BCFB-40978D89004F}"/>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8-0701-4C2E-BCFB-40978D89004F}"/>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9-0701-4C2E-BCFB-40978D89004F}"/>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A-0701-4C2E-BCFB-40978D89004F}"/>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B-0701-4C2E-BCFB-40978D89004F}"/>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C-0701-4C2E-BCFB-40978D89004F}"/>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D-0701-4C2E-BCFB-40978D89004F}"/>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E-0701-4C2E-BCFB-40978D89004F}"/>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F-0701-4C2E-BCFB-40978D89004F}"/>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0-0701-4C2E-BCFB-40978D89004F}"/>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1-0701-4C2E-BCFB-40978D89004F}"/>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2-0701-4C2E-BCFB-40978D89004F}"/>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3-0701-4C2E-BCFB-40978D89004F}"/>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4-0701-4C2E-BCFB-40978D89004F}"/>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5-0701-4C2E-BCFB-40978D89004F}"/>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6-0701-4C2E-BCFB-40978D89004F}"/>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7-0701-4C2E-BCFB-40978D89004F}"/>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8-0701-4C2E-BCFB-40978D89004F}"/>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9-0701-4C2E-BCFB-40978D89004F}"/>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A-0701-4C2E-BCFB-40978D89004F}"/>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B-0701-4C2E-BCFB-40978D89004F}"/>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C-0701-4C2E-BCFB-40978D89004F}"/>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D-0701-4C2E-BCFB-40978D89004F}"/>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E-0701-4C2E-BCFB-40978D89004F}"/>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F-0701-4C2E-BCFB-40978D89004F}"/>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0-0701-4C2E-BCFB-40978D89004F}"/>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1-0701-4C2E-BCFB-40978D89004F}"/>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2-0701-4C2E-BCFB-40978D89004F}"/>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3-0701-4C2E-BCFB-40978D89004F}"/>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4-0701-4C2E-BCFB-40978D89004F}"/>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5-0701-4C2E-BCFB-40978D89004F}"/>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6-0701-4C2E-BCFB-40978D89004F}"/>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7-0701-4C2E-BCFB-40978D89004F}"/>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8-0701-4C2E-BCFB-40978D89004F}"/>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9-0701-4C2E-BCFB-40978D89004F}"/>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A-0701-4C2E-BCFB-40978D89004F}"/>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B-0701-4C2E-BCFB-40978D89004F}"/>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C-0701-4C2E-BCFB-40978D89004F}"/>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D-0701-4C2E-BCFB-40978D89004F}"/>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E-0701-4C2E-BCFB-40978D89004F}"/>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F-0701-4C2E-BCFB-40978D89004F}"/>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0-0701-4C2E-BCFB-40978D89004F}"/>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1-0701-4C2E-BCFB-40978D89004F}"/>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2-0701-4C2E-BCFB-40978D89004F}"/>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3-0701-4C2E-BCFB-40978D89004F}"/>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4-0701-4C2E-BCFB-40978D89004F}"/>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5-0701-4C2E-BCFB-40978D89004F}"/>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6-0701-4C2E-BCFB-40978D89004F}"/>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7-0701-4C2E-BCFB-40978D89004F}"/>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8-0701-4C2E-BCFB-40978D89004F}"/>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9-0701-4C2E-BCFB-40978D89004F}"/>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A-0701-4C2E-BCFB-40978D89004F}"/>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B-0701-4C2E-BCFB-40978D89004F}"/>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C-0701-4C2E-BCFB-40978D89004F}"/>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D-0701-4C2E-BCFB-40978D89004F}"/>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E-0701-4C2E-BCFB-40978D89004F}"/>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F-0701-4C2E-BCFB-40978D89004F}"/>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0-0701-4C2E-BCFB-40978D89004F}"/>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1-0701-4C2E-BCFB-40978D89004F}"/>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2-0701-4C2E-BCFB-40978D89004F}"/>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3-0701-4C2E-BCFB-40978D89004F}"/>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4-0701-4C2E-BCFB-40978D89004F}"/>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5-0701-4C2E-BCFB-40978D89004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2">
                          <a:lumMod val="50000"/>
                          <a:lumOff val="50000"/>
                        </a:schemeClr>
                      </a:solidFill>
                    </a:ln>
                    <a:solidFill>
                      <a:schemeClr val="tx2">
                        <a:lumMod val="50000"/>
                        <a:lumOff val="50000"/>
                      </a:schemeClr>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'04-07-25-Scen5-WorstCargoJIT'!$A$3:$A$112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'04-07-25-Scen5-WorstCargoJIT'!$AU$3:$AU$112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-144</c:v>
                </c:pt>
                <c:pt idx="12">
                  <c:v>#N/A</c:v>
                </c:pt>
                <c:pt idx="13">
                  <c:v>#N/A</c:v>
                </c:pt>
                <c:pt idx="14">
                  <c:v>#N/A</c:v>
                </c:pt>
                <c:pt idx="15">
                  <c:v>-144</c:v>
                </c:pt>
                <c:pt idx="16">
                  <c:v>#N/A</c:v>
                </c:pt>
                <c:pt idx="17">
                  <c:v>#N/A</c:v>
                </c:pt>
                <c:pt idx="18">
                  <c:v>#N/A</c:v>
                </c:pt>
                <c:pt idx="19">
                  <c:v>#N/A</c:v>
                </c:pt>
                <c:pt idx="20">
                  <c:v>-144</c:v>
                </c:pt>
                <c:pt idx="21">
                  <c:v>#N/A</c:v>
                </c:pt>
                <c:pt idx="22">
                  <c:v>#N/A</c:v>
                </c:pt>
                <c:pt idx="23">
                  <c:v>#N/A</c:v>
                </c:pt>
                <c:pt idx="24">
                  <c:v>#N/A</c:v>
                </c:pt>
                <c:pt idx="25">
                  <c:v>-144</c:v>
                </c:pt>
                <c:pt idx="26">
                  <c:v>#N/A</c:v>
                </c:pt>
                <c:pt idx="27">
                  <c:v>#N/A</c:v>
                </c:pt>
                <c:pt idx="28">
                  <c:v>#N/A</c:v>
                </c:pt>
                <c:pt idx="29">
                  <c:v>#N/A</c:v>
                </c:pt>
                <c:pt idx="30">
                  <c:v>-144</c:v>
                </c:pt>
                <c:pt idx="31">
                  <c:v>#N/A</c:v>
                </c:pt>
                <c:pt idx="32">
                  <c:v>#N/A</c:v>
                </c:pt>
                <c:pt idx="33">
                  <c:v>#N/A</c:v>
                </c:pt>
                <c:pt idx="34">
                  <c:v>#N/A</c:v>
                </c:pt>
                <c:pt idx="35">
                  <c:v>#N/A</c:v>
                </c:pt>
                <c:pt idx="36">
                  <c:v>#N/A</c:v>
                </c:pt>
                <c:pt idx="37">
                  <c:v>-144</c:v>
                </c:pt>
                <c:pt idx="38">
                  <c:v>#N/A</c:v>
                </c:pt>
                <c:pt idx="39">
                  <c:v>#N/A</c:v>
                </c:pt>
                <c:pt idx="40">
                  <c:v>#N/A</c:v>
                </c:pt>
                <c:pt idx="41">
                  <c:v>#N/A</c:v>
                </c:pt>
                <c:pt idx="42">
                  <c:v>#N/A</c:v>
                </c:pt>
                <c:pt idx="43">
                  <c:v>#N/A</c:v>
                </c:pt>
                <c:pt idx="44">
                  <c:v>-144</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'04-07-25-Scen5-WorstCargoJIT'!$AC$3:$AC$112</c15:f>
                <c15:dlblRangeCache>
                  <c:ptCount val="110"/>
                  <c:pt idx="0">
                    <c:v>0</c:v>
                  </c:pt>
                  <c:pt idx="1">
                    <c:v>0</c:v>
                  </c:pt>
                  <c:pt idx="2">
                    <c:v>0</c:v>
                  </c:pt>
                  <c:pt idx="3">
                    <c:v>0</c:v>
                  </c:pt>
                  <c:pt idx="4">
                    <c:v>0</c:v>
                  </c:pt>
                  <c:pt idx="5">
                    <c:v>0</c:v>
                  </c:pt>
                  <c:pt idx="6">
                    <c:v>0</c:v>
                  </c:pt>
                  <c:pt idx="7">
                    <c:v>0</c:v>
                  </c:pt>
                  <c:pt idx="8">
                    <c:v>0</c:v>
                  </c:pt>
                  <c:pt idx="9">
                    <c:v>0</c:v>
                  </c:pt>
                  <c:pt idx="10">
                    <c:v>0</c:v>
                  </c:pt>
                  <c:pt idx="11">
                    <c:v>6</c:v>
                  </c:pt>
                  <c:pt idx="12">
                    <c:v>0</c:v>
                  </c:pt>
                  <c:pt idx="13">
                    <c:v>0</c:v>
                  </c:pt>
                  <c:pt idx="14">
                    <c:v>0</c:v>
                  </c:pt>
                  <c:pt idx="15">
                    <c:v>6</c:v>
                  </c:pt>
                  <c:pt idx="16">
                    <c:v>0</c:v>
                  </c:pt>
                  <c:pt idx="17">
                    <c:v>0</c:v>
                  </c:pt>
                  <c:pt idx="18">
                    <c:v>0</c:v>
                  </c:pt>
                  <c:pt idx="19">
                    <c:v>0</c:v>
                  </c:pt>
                  <c:pt idx="20">
                    <c:v>6</c:v>
                  </c:pt>
                  <c:pt idx="21">
                    <c:v>0</c:v>
                  </c:pt>
                  <c:pt idx="22">
                    <c:v>0</c:v>
                  </c:pt>
                  <c:pt idx="23">
                    <c:v>0</c:v>
                  </c:pt>
                  <c:pt idx="24">
                    <c:v>0</c:v>
                  </c:pt>
                  <c:pt idx="25">
                    <c:v>6</c:v>
                  </c:pt>
                  <c:pt idx="26">
                    <c:v>0</c:v>
                  </c:pt>
                  <c:pt idx="27">
                    <c:v>0</c:v>
                  </c:pt>
                  <c:pt idx="28">
                    <c:v>0</c:v>
                  </c:pt>
                  <c:pt idx="29">
                    <c:v>0</c:v>
                  </c:pt>
                  <c:pt idx="30">
                    <c:v>6</c:v>
                  </c:pt>
                  <c:pt idx="31">
                    <c:v>0</c:v>
                  </c:pt>
                  <c:pt idx="32">
                    <c:v>0</c:v>
                  </c:pt>
                  <c:pt idx="33">
                    <c:v>0</c:v>
                  </c:pt>
                  <c:pt idx="34">
                    <c:v>0</c:v>
                  </c:pt>
                  <c:pt idx="35">
                    <c:v>0</c:v>
                  </c:pt>
                  <c:pt idx="36">
                    <c:v>0</c:v>
                  </c:pt>
                  <c:pt idx="37">
                    <c:v>6</c:v>
                  </c:pt>
                  <c:pt idx="38">
                    <c:v>0</c:v>
                  </c:pt>
                  <c:pt idx="39">
                    <c:v>0</c:v>
                  </c:pt>
                  <c:pt idx="40">
                    <c:v>0</c:v>
                  </c:pt>
                  <c:pt idx="41">
                    <c:v>0</c:v>
                  </c:pt>
                  <c:pt idx="42">
                    <c:v>0</c:v>
                  </c:pt>
                  <c:pt idx="43">
                    <c:v>0</c:v>
                  </c:pt>
                  <c:pt idx="44">
                    <c:v>6</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15:dlblRangeCache>
              </c15:datalabelsRange>
            </c:ext>
            <c:ext xmlns:c16="http://schemas.microsoft.com/office/drawing/2014/chart" uri="{C3380CC4-5D6E-409C-BE32-E72D297353CC}">
              <c16:uniqueId val="{00000156-0701-4C2E-BCFB-40978D89004F}"/>
            </c:ext>
          </c:extLst>
        </c:ser>
        <c:ser>
          <c:idx val="9"/>
          <c:order val="11"/>
          <c:tx>
            <c:strRef>
              <c:f>'04-07-25-Scen5-WorstCargoJIT'!$AT$1</c:f>
              <c:strCache>
                <c:ptCount val="1"/>
                <c:pt idx="0">
                  <c:v>Drill Fluid Planned In</c:v>
                </c:pt>
              </c:strCache>
            </c:strRef>
          </c:tx>
          <c:spPr>
            <a:ln w="19050" cap="rnd">
              <a:noFill/>
              <a:round/>
            </a:ln>
            <a:effectLst/>
          </c:spPr>
          <c:marker>
            <c:symbol val="circle"/>
            <c:size val="10"/>
            <c:spPr>
              <a:solidFill>
                <a:schemeClr val="bg1"/>
              </a:solidFill>
              <a:ln w="31750">
                <a:solidFill>
                  <a:schemeClr val="tx2">
                    <a:lumMod val="50000"/>
                    <a:lumOff val="50000"/>
                  </a:schemeClr>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7-0701-4C2E-BCFB-40978D89004F}"/>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8-0701-4C2E-BCFB-40978D89004F}"/>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9-0701-4C2E-BCFB-40978D89004F}"/>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A-0701-4C2E-BCFB-40978D89004F}"/>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B-0701-4C2E-BCFB-40978D89004F}"/>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C-0701-4C2E-BCFB-40978D89004F}"/>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D-0701-4C2E-BCFB-40978D89004F}"/>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E-0701-4C2E-BCFB-40978D89004F}"/>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F-0701-4C2E-BCFB-40978D89004F}"/>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0-0701-4C2E-BCFB-40978D89004F}"/>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1-0701-4C2E-BCFB-40978D89004F}"/>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2-0701-4C2E-BCFB-40978D89004F}"/>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3-0701-4C2E-BCFB-40978D89004F}"/>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4-0701-4C2E-BCFB-40978D89004F}"/>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5-0701-4C2E-BCFB-40978D89004F}"/>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6-0701-4C2E-BCFB-40978D89004F}"/>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7-0701-4C2E-BCFB-40978D89004F}"/>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8-0701-4C2E-BCFB-40978D89004F}"/>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9-0701-4C2E-BCFB-40978D89004F}"/>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A-0701-4C2E-BCFB-40978D89004F}"/>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B-0701-4C2E-BCFB-40978D89004F}"/>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C-0701-4C2E-BCFB-40978D89004F}"/>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D-0701-4C2E-BCFB-40978D89004F}"/>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E-0701-4C2E-BCFB-40978D89004F}"/>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F-0701-4C2E-BCFB-40978D89004F}"/>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0-0701-4C2E-BCFB-40978D89004F}"/>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1-0701-4C2E-BCFB-40978D89004F}"/>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2-0701-4C2E-BCFB-40978D89004F}"/>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3-0701-4C2E-BCFB-40978D89004F}"/>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4-0701-4C2E-BCFB-40978D89004F}"/>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5-0701-4C2E-BCFB-40978D89004F}"/>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6-0701-4C2E-BCFB-40978D89004F}"/>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7-0701-4C2E-BCFB-40978D89004F}"/>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8-0701-4C2E-BCFB-40978D89004F}"/>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9-0701-4C2E-BCFB-40978D89004F}"/>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A-0701-4C2E-BCFB-40978D89004F}"/>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B-0701-4C2E-BCFB-40978D89004F}"/>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C-0701-4C2E-BCFB-40978D89004F}"/>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D-0701-4C2E-BCFB-40978D89004F}"/>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E-0701-4C2E-BCFB-40978D89004F}"/>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F-0701-4C2E-BCFB-40978D89004F}"/>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0-0701-4C2E-BCFB-40978D89004F}"/>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1-0701-4C2E-BCFB-40978D89004F}"/>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2-0701-4C2E-BCFB-40978D89004F}"/>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3-0701-4C2E-BCFB-40978D89004F}"/>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4-0701-4C2E-BCFB-40978D89004F}"/>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5-0701-4C2E-BCFB-40978D89004F}"/>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6-0701-4C2E-BCFB-40978D89004F}"/>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7-0701-4C2E-BCFB-40978D89004F}"/>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8-0701-4C2E-BCFB-40978D89004F}"/>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9-0701-4C2E-BCFB-40978D89004F}"/>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A-0701-4C2E-BCFB-40978D89004F}"/>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B-0701-4C2E-BCFB-40978D89004F}"/>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C-0701-4C2E-BCFB-40978D89004F}"/>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D-0701-4C2E-BCFB-40978D89004F}"/>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E-0701-4C2E-BCFB-40978D89004F}"/>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F-0701-4C2E-BCFB-40978D89004F}"/>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0-0701-4C2E-BCFB-40978D89004F}"/>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1-0701-4C2E-BCFB-40978D89004F}"/>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2-0701-4C2E-BCFB-40978D89004F}"/>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3-0701-4C2E-BCFB-40978D89004F}"/>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4-0701-4C2E-BCFB-40978D89004F}"/>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5-0701-4C2E-BCFB-40978D89004F}"/>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6-0701-4C2E-BCFB-40978D89004F}"/>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7-0701-4C2E-BCFB-40978D89004F}"/>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8-0701-4C2E-BCFB-40978D89004F}"/>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9-0701-4C2E-BCFB-40978D89004F}"/>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A-0701-4C2E-BCFB-40978D89004F}"/>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B-0701-4C2E-BCFB-40978D89004F}"/>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C-0701-4C2E-BCFB-40978D89004F}"/>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D-0701-4C2E-BCFB-40978D89004F}"/>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E-0701-4C2E-BCFB-40978D89004F}"/>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F-0701-4C2E-BCFB-40978D89004F}"/>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0-0701-4C2E-BCFB-40978D89004F}"/>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1-0701-4C2E-BCFB-40978D89004F}"/>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2-0701-4C2E-BCFB-40978D89004F}"/>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3-0701-4C2E-BCFB-40978D89004F}"/>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4-0701-4C2E-BCFB-40978D89004F}"/>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5-0701-4C2E-BCFB-40978D89004F}"/>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6-0701-4C2E-BCFB-40978D89004F}"/>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7-0701-4C2E-BCFB-40978D89004F}"/>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8-0701-4C2E-BCFB-40978D89004F}"/>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9-0701-4C2E-BCFB-40978D89004F}"/>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A-0701-4C2E-BCFB-40978D89004F}"/>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B-0701-4C2E-BCFB-40978D89004F}"/>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C-0701-4C2E-BCFB-40978D89004F}"/>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D-0701-4C2E-BCFB-40978D89004F}"/>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E-0701-4C2E-BCFB-40978D89004F}"/>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F-0701-4C2E-BCFB-40978D89004F}"/>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0-0701-4C2E-BCFB-40978D89004F}"/>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1-0701-4C2E-BCFB-40978D89004F}"/>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2-0701-4C2E-BCFB-40978D89004F}"/>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3-0701-4C2E-BCFB-40978D89004F}"/>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4-0701-4C2E-BCFB-40978D89004F}"/>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5-0701-4C2E-BCFB-40978D89004F}"/>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6-0701-4C2E-BCFB-40978D89004F}"/>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7-0701-4C2E-BCFB-40978D89004F}"/>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8-0701-4C2E-BCFB-40978D89004F}"/>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9-0701-4C2E-BCFB-40978D89004F}"/>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A-0701-4C2E-BCFB-40978D89004F}"/>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B-0701-4C2E-BCFB-40978D89004F}"/>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C-0701-4C2E-BCFB-40978D89004F}"/>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D-0701-4C2E-BCFB-40978D89004F}"/>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E-0701-4C2E-BCFB-40978D89004F}"/>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F-0701-4C2E-BCFB-40978D89004F}"/>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0-0701-4C2E-BCFB-40978D89004F}"/>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1-0701-4C2E-BCFB-40978D89004F}"/>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2-0701-4C2E-BCFB-40978D89004F}"/>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3-0701-4C2E-BCFB-40978D89004F}"/>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4-0701-4C2E-BCFB-40978D89004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2">
                          <a:lumMod val="50000"/>
                          <a:lumOff val="50000"/>
                        </a:schemeClr>
                      </a:solidFill>
                    </a:ln>
                    <a:solidFill>
                      <a:schemeClr val="tx2">
                        <a:lumMod val="50000"/>
                        <a:lumOff val="50000"/>
                      </a:schemeClr>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'04-07-25-Scen5-WorstCargoJIT'!$A$3:$A$112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'04-07-25-Scen5-WorstCargoJIT'!$AT$3:$AT$112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'04-07-25-Scen5-WorstCargoJIT'!$AB$3:$AB$112</c15:f>
                <c15:dlblRangeCache>
                  <c:ptCount val="110"/>
                </c15:dlblRangeCache>
              </c15:datalabelsRange>
            </c:ext>
            <c:ext xmlns:c16="http://schemas.microsoft.com/office/drawing/2014/chart" uri="{C3380CC4-5D6E-409C-BE32-E72D297353CC}">
              <c16:uniqueId val="{000001C5-0701-4C2E-BCFB-40978D89004F}"/>
            </c:ext>
          </c:extLst>
        </c:ser>
        <c:ser>
          <c:idx val="10"/>
          <c:order val="12"/>
          <c:tx>
            <c:strRef>
              <c:f>'04-07-25-Scen5-WorstCargoJIT'!$AV$1</c:f>
              <c:strCache>
                <c:ptCount val="1"/>
                <c:pt idx="0">
                  <c:v>Ice Core Boxes Planned OUT</c:v>
                </c:pt>
              </c:strCache>
            </c:strRef>
          </c:tx>
          <c:spPr>
            <a:ln w="19050" cap="rnd">
              <a:noFill/>
              <a:round/>
            </a:ln>
            <a:effectLst/>
          </c:spPr>
          <c:marker>
            <c:symbol val="circle"/>
            <c:size val="10"/>
            <c:spPr>
              <a:solidFill>
                <a:schemeClr val="bg1"/>
              </a:solidFill>
              <a:ln w="31750">
                <a:solidFill>
                  <a:srgbClr val="00B050"/>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6-0701-4C2E-BCFB-40978D89004F}"/>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7-0701-4C2E-BCFB-40978D89004F}"/>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8-0701-4C2E-BCFB-40978D89004F}"/>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9-0701-4C2E-BCFB-40978D89004F}"/>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A-0701-4C2E-BCFB-40978D89004F}"/>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B-0701-4C2E-BCFB-40978D89004F}"/>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C-0701-4C2E-BCFB-40978D89004F}"/>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D-0701-4C2E-BCFB-40978D89004F}"/>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E-0701-4C2E-BCFB-40978D89004F}"/>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F-0701-4C2E-BCFB-40978D89004F}"/>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0-0701-4C2E-BCFB-40978D89004F}"/>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1-0701-4C2E-BCFB-40978D89004F}"/>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2-0701-4C2E-BCFB-40978D89004F}"/>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3-0701-4C2E-BCFB-40978D89004F}"/>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4-0701-4C2E-BCFB-40978D89004F}"/>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5-0701-4C2E-BCFB-40978D89004F}"/>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6-0701-4C2E-BCFB-40978D89004F}"/>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7-0701-4C2E-BCFB-40978D89004F}"/>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8-0701-4C2E-BCFB-40978D89004F}"/>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9-0701-4C2E-BCFB-40978D89004F}"/>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A-0701-4C2E-BCFB-40978D89004F}"/>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B-0701-4C2E-BCFB-40978D89004F}"/>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C-0701-4C2E-BCFB-40978D89004F}"/>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D-0701-4C2E-BCFB-40978D89004F}"/>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E-0701-4C2E-BCFB-40978D89004F}"/>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F-0701-4C2E-BCFB-40978D89004F}"/>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0-0701-4C2E-BCFB-40978D89004F}"/>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1-0701-4C2E-BCFB-40978D89004F}"/>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2-0701-4C2E-BCFB-40978D89004F}"/>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3-0701-4C2E-BCFB-40978D89004F}"/>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4-0701-4C2E-BCFB-40978D89004F}"/>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5-0701-4C2E-BCFB-40978D89004F}"/>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6-0701-4C2E-BCFB-40978D89004F}"/>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7-0701-4C2E-BCFB-40978D89004F}"/>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8-0701-4C2E-BCFB-40978D89004F}"/>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9-0701-4C2E-BCFB-40978D89004F}"/>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A-0701-4C2E-BCFB-40978D89004F}"/>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B-0701-4C2E-BCFB-40978D89004F}"/>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C-0701-4C2E-BCFB-40978D89004F}"/>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D-0701-4C2E-BCFB-40978D89004F}"/>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E-0701-4C2E-BCFB-40978D89004F}"/>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F-0701-4C2E-BCFB-40978D89004F}"/>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0-0701-4C2E-BCFB-40978D89004F}"/>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1-0701-4C2E-BCFB-40978D89004F}"/>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2-0701-4C2E-BCFB-40978D89004F}"/>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3-0701-4C2E-BCFB-40978D89004F}"/>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4-0701-4C2E-BCFB-40978D89004F}"/>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5-0701-4C2E-BCFB-40978D89004F}"/>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6-0701-4C2E-BCFB-40978D89004F}"/>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7-0701-4C2E-BCFB-40978D89004F}"/>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8-0701-4C2E-BCFB-40978D89004F}"/>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9-0701-4C2E-BCFB-40978D89004F}"/>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A-0701-4C2E-BCFB-40978D89004F}"/>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B-0701-4C2E-BCFB-40978D89004F}"/>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C-0701-4C2E-BCFB-40978D89004F}"/>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D-0701-4C2E-BCFB-40978D89004F}"/>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E-0701-4C2E-BCFB-40978D89004F}"/>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F-0701-4C2E-BCFB-40978D89004F}"/>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0-0701-4C2E-BCFB-40978D89004F}"/>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1-0701-4C2E-BCFB-40978D89004F}"/>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2-0701-4C2E-BCFB-40978D89004F}"/>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3-0701-4C2E-BCFB-40978D89004F}"/>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4-0701-4C2E-BCFB-40978D89004F}"/>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5-0701-4C2E-BCFB-40978D89004F}"/>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6-0701-4C2E-BCFB-40978D89004F}"/>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7-0701-4C2E-BCFB-40978D89004F}"/>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8-0701-4C2E-BCFB-40978D89004F}"/>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9-0701-4C2E-BCFB-40978D89004F}"/>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A-0701-4C2E-BCFB-40978D89004F}"/>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B-0701-4C2E-BCFB-40978D89004F}"/>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C-0701-4C2E-BCFB-40978D89004F}"/>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D-0701-4C2E-BCFB-40978D89004F}"/>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E-0701-4C2E-BCFB-40978D89004F}"/>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F-0701-4C2E-BCFB-40978D89004F}"/>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0-0701-4C2E-BCFB-40978D89004F}"/>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1-0701-4C2E-BCFB-40978D89004F}"/>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2-0701-4C2E-BCFB-40978D89004F}"/>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3-0701-4C2E-BCFB-40978D89004F}"/>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4-0701-4C2E-BCFB-40978D89004F}"/>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5-0701-4C2E-BCFB-40978D89004F}"/>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6-0701-4C2E-BCFB-40978D89004F}"/>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7-0701-4C2E-BCFB-40978D89004F}"/>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8-0701-4C2E-BCFB-40978D89004F}"/>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9-0701-4C2E-BCFB-40978D89004F}"/>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A-0701-4C2E-BCFB-40978D89004F}"/>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B-0701-4C2E-BCFB-40978D89004F}"/>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C-0701-4C2E-BCFB-40978D89004F}"/>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D-0701-4C2E-BCFB-40978D89004F}"/>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E-0701-4C2E-BCFB-40978D89004F}"/>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F-0701-4C2E-BCFB-40978D89004F}"/>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0-0701-4C2E-BCFB-40978D89004F}"/>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1-0701-4C2E-BCFB-40978D89004F}"/>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2-0701-4C2E-BCFB-40978D89004F}"/>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3-0701-4C2E-BCFB-40978D89004F}"/>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4-0701-4C2E-BCFB-40978D89004F}"/>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5-0701-4C2E-BCFB-40978D89004F}"/>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6-0701-4C2E-BCFB-40978D89004F}"/>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7-0701-4C2E-BCFB-40978D89004F}"/>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8-0701-4C2E-BCFB-40978D89004F}"/>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9-0701-4C2E-BCFB-40978D89004F}"/>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A-0701-4C2E-BCFB-40978D89004F}"/>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B-0701-4C2E-BCFB-40978D89004F}"/>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C-0701-4C2E-BCFB-40978D89004F}"/>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D-0701-4C2E-BCFB-40978D89004F}"/>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E-0701-4C2E-BCFB-40978D89004F}"/>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F-0701-4C2E-BCFB-40978D89004F}"/>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0-0701-4C2E-BCFB-40978D89004F}"/>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1-0701-4C2E-BCFB-40978D89004F}"/>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2-0701-4C2E-BCFB-40978D89004F}"/>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3-0701-4C2E-BCFB-40978D89004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B050"/>
                      </a:solidFill>
                    </a:ln>
                    <a:solidFill>
                      <a:srgbClr val="00B05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'04-07-25-Scen5-WorstCargoJIT'!$A$3:$A$112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'04-07-25-Scen5-WorstCargoJIT'!$AV$3:$AV$112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'04-07-25-Scen5-WorstCargoJIT'!$AH$3:$AH$112</c15:f>
                <c15:dlblRangeCache>
                  <c:ptCount val="110"/>
                </c15:dlblRangeCache>
              </c15:datalabelsRange>
            </c:ext>
            <c:ext xmlns:c16="http://schemas.microsoft.com/office/drawing/2014/chart" uri="{C3380CC4-5D6E-409C-BE32-E72D297353CC}">
              <c16:uniqueId val="{00000234-0701-4C2E-BCFB-40978D89004F}"/>
            </c:ext>
          </c:extLst>
        </c:ser>
        <c:ser>
          <c:idx val="11"/>
          <c:order val="13"/>
          <c:tx>
            <c:strRef>
              <c:f>'04-07-25-Scen5-WorstCargoJIT'!$AW$1</c:f>
              <c:strCache>
                <c:ptCount val="1"/>
                <c:pt idx="0">
                  <c:v>Ice Core Boxes Still Needed OUT</c:v>
                </c:pt>
              </c:strCache>
            </c:strRef>
          </c:tx>
          <c:spPr>
            <a:ln w="19050" cap="rnd">
              <a:noFill/>
              <a:round/>
            </a:ln>
            <a:effectLst/>
          </c:spPr>
          <c:marker>
            <c:symbol val="x"/>
            <c:size val="10"/>
            <c:spPr>
              <a:noFill/>
              <a:ln w="31750">
                <a:solidFill>
                  <a:srgbClr val="00B050"/>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5-0701-4C2E-BCFB-40978D89004F}"/>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6-0701-4C2E-BCFB-40978D89004F}"/>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7-0701-4C2E-BCFB-40978D89004F}"/>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8-0701-4C2E-BCFB-40978D89004F}"/>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9-0701-4C2E-BCFB-40978D89004F}"/>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A-0701-4C2E-BCFB-40978D89004F}"/>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B-0701-4C2E-BCFB-40978D89004F}"/>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C-0701-4C2E-BCFB-40978D89004F}"/>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D-0701-4C2E-BCFB-40978D89004F}"/>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E-0701-4C2E-BCFB-40978D89004F}"/>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F-0701-4C2E-BCFB-40978D89004F}"/>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0-0701-4C2E-BCFB-40978D89004F}"/>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1-0701-4C2E-BCFB-40978D89004F}"/>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2-0701-4C2E-BCFB-40978D89004F}"/>
                </c:ext>
              </c:extLst>
            </c:dLbl>
            <c:dLbl>
              <c:idx val="14"/>
              <c:tx>
                <c:rich>
                  <a:bodyPr/>
                  <a:lstStyle/>
                  <a:p>
                    <a:fld id="{30756B9C-733C-4C9B-A308-8E1F2645906A}"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43-0701-4C2E-BCFB-40978D89004F}"/>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4-0701-4C2E-BCFB-40978D89004F}"/>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5-0701-4C2E-BCFB-40978D89004F}"/>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6-0701-4C2E-BCFB-40978D89004F}"/>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7-0701-4C2E-BCFB-40978D89004F}"/>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8-0701-4C2E-BCFB-40978D89004F}"/>
                </c:ext>
              </c:extLst>
            </c:dLbl>
            <c:dLbl>
              <c:idx val="20"/>
              <c:tx>
                <c:rich>
                  <a:bodyPr/>
                  <a:lstStyle/>
                  <a:p>
                    <a:fld id="{B0E25AA2-04F8-48AE-A8AA-D3573341BE30}"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49-0701-4C2E-BCFB-40978D89004F}"/>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A-0701-4C2E-BCFB-40978D89004F}"/>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B-0701-4C2E-BCFB-40978D89004F}"/>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C-0701-4C2E-BCFB-40978D89004F}"/>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D-0701-4C2E-BCFB-40978D89004F}"/>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E-0701-4C2E-BCFB-40978D89004F}"/>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F-0701-4C2E-BCFB-40978D89004F}"/>
                </c:ext>
              </c:extLst>
            </c:dLbl>
            <c:dLbl>
              <c:idx val="27"/>
              <c:tx>
                <c:rich>
                  <a:bodyPr/>
                  <a:lstStyle/>
                  <a:p>
                    <a:fld id="{0DFF0029-877B-428E-B795-54CF6083516A}"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50-0701-4C2E-BCFB-40978D89004F}"/>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1-0701-4C2E-BCFB-40978D89004F}"/>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2-0701-4C2E-BCFB-40978D89004F}"/>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3-0701-4C2E-BCFB-40978D89004F}"/>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4-0701-4C2E-BCFB-40978D89004F}"/>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5-0701-4C2E-BCFB-40978D89004F}"/>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6-0701-4C2E-BCFB-40978D89004F}"/>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7-0701-4C2E-BCFB-40978D89004F}"/>
                </c:ext>
              </c:extLst>
            </c:dLbl>
            <c:dLbl>
              <c:idx val="35"/>
              <c:tx>
                <c:rich>
                  <a:bodyPr/>
                  <a:lstStyle/>
                  <a:p>
                    <a:fld id="{82D727DF-E24B-4ED9-A45B-66792273CA46}"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58-0701-4C2E-BCFB-40978D89004F}"/>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9-0701-4C2E-BCFB-40978D89004F}"/>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A-0701-4C2E-BCFB-40978D89004F}"/>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B-0701-4C2E-BCFB-40978D89004F}"/>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C-0701-4C2E-BCFB-40978D89004F}"/>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D-0701-4C2E-BCFB-40978D89004F}"/>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E-0701-4C2E-BCFB-40978D89004F}"/>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F-0701-4C2E-BCFB-40978D89004F}"/>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0-0701-4C2E-BCFB-40978D89004F}"/>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1-0701-4C2E-BCFB-40978D89004F}"/>
                </c:ext>
              </c:extLst>
            </c:dLbl>
            <c:dLbl>
              <c:idx val="45"/>
              <c:tx>
                <c:rich>
                  <a:bodyPr/>
                  <a:lstStyle/>
                  <a:p>
                    <a:fld id="{08F17A9E-8E3D-4D40-874F-430697591A32}"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62-0701-4C2E-BCFB-40978D89004F}"/>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3-0701-4C2E-BCFB-40978D89004F}"/>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4-0701-4C2E-BCFB-40978D89004F}"/>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5-0701-4C2E-BCFB-40978D89004F}"/>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6-0701-4C2E-BCFB-40978D89004F}"/>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7-0701-4C2E-BCFB-40978D89004F}"/>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8-0701-4C2E-BCFB-40978D89004F}"/>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9-0701-4C2E-BCFB-40978D89004F}"/>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A-0701-4C2E-BCFB-40978D89004F}"/>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B-0701-4C2E-BCFB-40978D89004F}"/>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C-0701-4C2E-BCFB-40978D89004F}"/>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D-0701-4C2E-BCFB-40978D89004F}"/>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E-0701-4C2E-BCFB-40978D89004F}"/>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F-0701-4C2E-BCFB-40978D89004F}"/>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0-0701-4C2E-BCFB-40978D89004F}"/>
                </c:ext>
              </c:extLst>
            </c:dLbl>
            <c:dLbl>
              <c:idx val="60"/>
              <c:tx>
                <c:rich>
                  <a:bodyPr/>
                  <a:lstStyle/>
                  <a:p>
                    <a:fld id="{D89EB0E5-3825-4D07-AD0F-7ED3FDE9183C}"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71-0701-4C2E-BCFB-40978D89004F}"/>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2-0701-4C2E-BCFB-40978D89004F}"/>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3-0701-4C2E-BCFB-40978D89004F}"/>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4-0701-4C2E-BCFB-40978D89004F}"/>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5-0701-4C2E-BCFB-40978D89004F}"/>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6-0701-4C2E-BCFB-40978D89004F}"/>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7-0701-4C2E-BCFB-40978D89004F}"/>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8-0701-4C2E-BCFB-40978D89004F}"/>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9-0701-4C2E-BCFB-40978D89004F}"/>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A-0701-4C2E-BCFB-40978D89004F}"/>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B-0701-4C2E-BCFB-40978D89004F}"/>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C-0701-4C2E-BCFB-40978D89004F}"/>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D-0701-4C2E-BCFB-40978D89004F}"/>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E-0701-4C2E-BCFB-40978D89004F}"/>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F-0701-4C2E-BCFB-40978D89004F}"/>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0-0701-4C2E-BCFB-40978D89004F}"/>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1-0701-4C2E-BCFB-40978D89004F}"/>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2-0701-4C2E-BCFB-40978D89004F}"/>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3-0701-4C2E-BCFB-40978D89004F}"/>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4-0701-4C2E-BCFB-40978D89004F}"/>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5-0701-4C2E-BCFB-40978D89004F}"/>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6-0701-4C2E-BCFB-40978D89004F}"/>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7-0701-4C2E-BCFB-40978D89004F}"/>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8-0701-4C2E-BCFB-40978D89004F}"/>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9-0701-4C2E-BCFB-40978D89004F}"/>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A-0701-4C2E-BCFB-40978D89004F}"/>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B-0701-4C2E-BCFB-40978D89004F}"/>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C-0701-4C2E-BCFB-40978D89004F}"/>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D-0701-4C2E-BCFB-40978D89004F}"/>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E-0701-4C2E-BCFB-40978D89004F}"/>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F-0701-4C2E-BCFB-40978D89004F}"/>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0-0701-4C2E-BCFB-40978D89004F}"/>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1-0701-4C2E-BCFB-40978D89004F}"/>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2-0701-4C2E-BCFB-40978D89004F}"/>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3-0701-4C2E-BCFB-40978D89004F}"/>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4-0701-4C2E-BCFB-40978D89004F}"/>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5-0701-4C2E-BCFB-40978D89004F}"/>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6-0701-4C2E-BCFB-40978D89004F}"/>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7-0701-4C2E-BCFB-40978D89004F}"/>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8-0701-4C2E-BCFB-40978D89004F}"/>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9-0701-4C2E-BCFB-40978D89004F}"/>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A-0701-4C2E-BCFB-40978D89004F}"/>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B-0701-4C2E-BCFB-40978D89004F}"/>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C-0701-4C2E-BCFB-40978D89004F}"/>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D-0701-4C2E-BCFB-40978D89004F}"/>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E-0701-4C2E-BCFB-40978D89004F}"/>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F-0701-4C2E-BCFB-40978D89004F}"/>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A0-0701-4C2E-BCFB-40978D89004F}"/>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A1-0701-4C2E-BCFB-40978D89004F}"/>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A2-0701-4C2E-BCFB-40978D89004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B050"/>
                      </a:solidFill>
                    </a:ln>
                    <a:solidFill>
                      <a:srgbClr val="00B05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'04-07-25-Scen5-WorstCargoJIT'!$A$3:$A$112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'04-07-25-Scen5-WorstCargoJIT'!$AW$3:$AW$112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-216</c:v>
                </c:pt>
                <c:pt idx="15">
                  <c:v>#N/A</c:v>
                </c:pt>
                <c:pt idx="16">
                  <c:v>#N/A</c:v>
                </c:pt>
                <c:pt idx="17">
                  <c:v>#N/A</c:v>
                </c:pt>
                <c:pt idx="18">
                  <c:v>#N/A</c:v>
                </c:pt>
                <c:pt idx="19">
                  <c:v>#N/A</c:v>
                </c:pt>
                <c:pt idx="20">
                  <c:v>-216</c:v>
                </c:pt>
                <c:pt idx="21">
                  <c:v>#N/A</c:v>
                </c:pt>
                <c:pt idx="22">
                  <c:v>#N/A</c:v>
                </c:pt>
                <c:pt idx="23">
                  <c:v>#N/A</c:v>
                </c:pt>
                <c:pt idx="24">
                  <c:v>#N/A</c:v>
                </c:pt>
                <c:pt idx="25">
                  <c:v>#N/A</c:v>
                </c:pt>
                <c:pt idx="26">
                  <c:v>#N/A</c:v>
                </c:pt>
                <c:pt idx="27">
                  <c:v>-216</c:v>
                </c:pt>
                <c:pt idx="28">
                  <c:v>#N/A</c:v>
                </c:pt>
                <c:pt idx="29">
                  <c:v>#N/A</c:v>
                </c:pt>
                <c:pt idx="30">
                  <c:v>#N/A</c:v>
                </c:pt>
                <c:pt idx="31">
                  <c:v>#N/A</c:v>
                </c:pt>
                <c:pt idx="32">
                  <c:v>#N/A</c:v>
                </c:pt>
                <c:pt idx="33">
                  <c:v>#N/A</c:v>
                </c:pt>
                <c:pt idx="34">
                  <c:v>#N/A</c:v>
                </c:pt>
                <c:pt idx="35">
                  <c:v>-216</c:v>
                </c:pt>
                <c:pt idx="36">
                  <c:v>#N/A</c:v>
                </c:pt>
                <c:pt idx="37">
                  <c:v>#N/A</c:v>
                </c:pt>
                <c:pt idx="38">
                  <c:v>#N/A</c:v>
                </c:pt>
                <c:pt idx="39">
                  <c:v>#N/A</c:v>
                </c:pt>
                <c:pt idx="40">
                  <c:v>#N/A</c:v>
                </c:pt>
                <c:pt idx="41">
                  <c:v>#N/A</c:v>
                </c:pt>
                <c:pt idx="42">
                  <c:v>#N/A</c:v>
                </c:pt>
                <c:pt idx="43">
                  <c:v>#N/A</c:v>
                </c:pt>
                <c:pt idx="44">
                  <c:v>#N/A</c:v>
                </c:pt>
                <c:pt idx="45">
                  <c:v>-216</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-216</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'04-07-25-Scen5-WorstCargoJIT'!$AI$3:$AI$112</c15:f>
                <c15:dlblRangeCache>
                  <c:ptCount val="110"/>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20.0</c:v>
                  </c:pt>
                  <c:pt idx="15">
                    <c:v>0.0</c:v>
                  </c:pt>
                  <c:pt idx="16">
                    <c:v>0.0</c:v>
                  </c:pt>
                  <c:pt idx="17">
                    <c:v>0.0</c:v>
                  </c:pt>
                  <c:pt idx="18">
                    <c:v>0.0</c:v>
                  </c:pt>
                  <c:pt idx="19">
                    <c:v>0.0</c:v>
                  </c:pt>
                  <c:pt idx="20">
                    <c:v>20.0</c:v>
                  </c:pt>
                  <c:pt idx="21">
                    <c:v>0.0</c:v>
                  </c:pt>
                  <c:pt idx="22">
                    <c:v>0.0</c:v>
                  </c:pt>
                  <c:pt idx="23">
                    <c:v>0.0</c:v>
                  </c:pt>
                  <c:pt idx="24">
                    <c:v>0.0</c:v>
                  </c:pt>
                  <c:pt idx="25">
                    <c:v>0.0</c:v>
                  </c:pt>
                  <c:pt idx="26">
                    <c:v>0.0</c:v>
                  </c:pt>
                  <c:pt idx="27">
                    <c:v>20.0</c:v>
                  </c:pt>
                  <c:pt idx="28">
                    <c:v>0.0</c:v>
                  </c:pt>
                  <c:pt idx="29">
                    <c:v>0.0</c:v>
                  </c:pt>
                  <c:pt idx="30">
                    <c:v>0.0</c:v>
                  </c:pt>
                  <c:pt idx="31">
                    <c:v>0.0</c:v>
                  </c:pt>
                  <c:pt idx="32">
                    <c:v>0.0</c:v>
                  </c:pt>
                  <c:pt idx="33">
                    <c:v>0.0</c:v>
                  </c:pt>
                  <c:pt idx="34">
                    <c:v>0.0</c:v>
                  </c:pt>
                  <c:pt idx="35">
                    <c:v>20.0</c:v>
                  </c:pt>
                  <c:pt idx="36">
                    <c:v>0.0</c:v>
                  </c:pt>
                  <c:pt idx="37">
                    <c:v>0.0</c:v>
                  </c:pt>
                  <c:pt idx="38">
                    <c:v>0.0</c:v>
                  </c:pt>
                  <c:pt idx="39">
                    <c:v>0.0</c:v>
                  </c:pt>
                  <c:pt idx="40">
                    <c:v>0.0</c:v>
                  </c:pt>
                  <c:pt idx="41">
                    <c:v>0.0</c:v>
                  </c:pt>
                  <c:pt idx="42">
                    <c:v>0.0</c:v>
                  </c:pt>
                  <c:pt idx="43">
                    <c:v>0.0</c:v>
                  </c:pt>
                  <c:pt idx="44">
                    <c:v>0.0</c:v>
                  </c:pt>
                  <c:pt idx="45">
                    <c:v>20.0</c:v>
                  </c:pt>
                  <c:pt idx="46">
                    <c:v>0.0</c:v>
                  </c:pt>
                  <c:pt idx="47">
                    <c:v>0.0</c:v>
                  </c:pt>
                  <c:pt idx="48">
                    <c:v>0.0</c:v>
                  </c:pt>
                  <c:pt idx="49">
                    <c:v>0.0</c:v>
                  </c:pt>
                  <c:pt idx="50">
                    <c:v>0.0</c:v>
                  </c:pt>
                  <c:pt idx="51">
                    <c:v>0.0</c:v>
                  </c:pt>
                  <c:pt idx="52">
                    <c:v>0.0</c:v>
                  </c:pt>
                  <c:pt idx="53">
                    <c:v>0.0</c:v>
                  </c:pt>
                  <c:pt idx="54">
                    <c:v>0.0</c:v>
                  </c:pt>
                  <c:pt idx="55">
                    <c:v>0.0</c:v>
                  </c:pt>
                  <c:pt idx="56">
                    <c:v>0.0</c:v>
                  </c:pt>
                  <c:pt idx="57">
                    <c:v>0.0</c:v>
                  </c:pt>
                  <c:pt idx="58">
                    <c:v>0.0</c:v>
                  </c:pt>
                  <c:pt idx="59">
                    <c:v>0.0</c:v>
                  </c:pt>
                  <c:pt idx="60">
                    <c:v>6.6</c:v>
                  </c:pt>
                  <c:pt idx="61">
                    <c:v>0.0</c:v>
                  </c:pt>
                  <c:pt idx="62">
                    <c:v>0.0</c:v>
                  </c:pt>
                  <c:pt idx="63">
                    <c:v>0.0</c:v>
                  </c:pt>
                  <c:pt idx="64">
                    <c:v>0.0</c:v>
                  </c:pt>
                  <c:pt idx="65">
                    <c:v>0.0</c:v>
                  </c:pt>
                  <c:pt idx="66">
                    <c:v>0.0</c:v>
                  </c:pt>
                  <c:pt idx="67">
                    <c:v>0.0</c:v>
                  </c:pt>
                  <c:pt idx="68">
                    <c:v>0.0</c:v>
                  </c:pt>
                  <c:pt idx="69">
                    <c:v>0.0</c:v>
                  </c:pt>
                  <c:pt idx="70">
                    <c:v>0.0</c:v>
                  </c:pt>
                  <c:pt idx="71">
                    <c:v>0.0</c:v>
                  </c:pt>
                  <c:pt idx="72">
                    <c:v>0.0</c:v>
                  </c:pt>
                  <c:pt idx="73">
                    <c:v>0.0</c:v>
                  </c:pt>
                  <c:pt idx="74">
                    <c:v>0.0</c:v>
                  </c:pt>
                  <c:pt idx="75">
                    <c:v>0.0</c:v>
                  </c:pt>
                  <c:pt idx="76">
                    <c:v>0.0</c:v>
                  </c:pt>
                  <c:pt idx="77">
                    <c:v>0.0</c:v>
                  </c:pt>
                  <c:pt idx="78">
                    <c:v>0.0</c:v>
                  </c:pt>
                  <c:pt idx="79">
                    <c:v>0.0</c:v>
                  </c:pt>
                  <c:pt idx="80">
                    <c:v>0.0</c:v>
                  </c:pt>
                  <c:pt idx="81">
                    <c:v>0.0</c:v>
                  </c:pt>
                  <c:pt idx="82">
                    <c:v>0.0</c:v>
                  </c:pt>
                  <c:pt idx="83">
                    <c:v>0.0</c:v>
                  </c:pt>
                  <c:pt idx="84">
                    <c:v>0.0</c:v>
                  </c:pt>
                  <c:pt idx="85">
                    <c:v>0.0</c:v>
                  </c:pt>
                  <c:pt idx="86">
                    <c:v>0.0</c:v>
                  </c:pt>
                  <c:pt idx="87">
                    <c:v>0.0</c:v>
                  </c:pt>
                  <c:pt idx="88">
                    <c:v>0.0</c:v>
                  </c:pt>
                  <c:pt idx="89">
                    <c:v>0.0</c:v>
                  </c:pt>
                  <c:pt idx="90">
                    <c:v>0.0</c:v>
                  </c:pt>
                  <c:pt idx="91">
                    <c:v>0.0</c:v>
                  </c:pt>
                  <c:pt idx="92">
                    <c:v>0.0</c:v>
                  </c:pt>
                  <c:pt idx="93">
                    <c:v>0.0</c:v>
                  </c:pt>
                  <c:pt idx="94">
                    <c:v>0.0</c:v>
                  </c:pt>
                  <c:pt idx="95">
                    <c:v>0.0</c:v>
                  </c:pt>
                  <c:pt idx="96">
                    <c:v>0.0</c:v>
                  </c:pt>
                  <c:pt idx="97">
                    <c:v>0.0</c:v>
                  </c:pt>
                  <c:pt idx="98">
                    <c:v>0.0</c:v>
                  </c:pt>
                  <c:pt idx="99">
                    <c:v>0.0</c:v>
                  </c:pt>
                  <c:pt idx="100">
                    <c:v>0.0</c:v>
                  </c:pt>
                  <c:pt idx="101">
                    <c:v>0.0</c:v>
                  </c:pt>
                  <c:pt idx="102">
                    <c:v>0.0</c:v>
                  </c:pt>
                  <c:pt idx="103">
                    <c:v>0.0</c:v>
                  </c:pt>
                  <c:pt idx="104">
                    <c:v>0.0</c:v>
                  </c:pt>
                  <c:pt idx="105">
                    <c:v>0.0</c:v>
                  </c:pt>
                  <c:pt idx="106">
                    <c:v>0.0</c:v>
                  </c:pt>
                  <c:pt idx="107">
                    <c:v>0.0</c:v>
                  </c:pt>
                  <c:pt idx="108">
                    <c:v>0.0</c:v>
                  </c:pt>
                  <c:pt idx="109">
                    <c:v>0.0</c:v>
                  </c:pt>
                </c15:dlblRangeCache>
              </c15:datalabelsRange>
            </c:ext>
            <c:ext xmlns:c16="http://schemas.microsoft.com/office/drawing/2014/chart" uri="{C3380CC4-5D6E-409C-BE32-E72D297353CC}">
              <c16:uniqueId val="{000002A3-0701-4C2E-BCFB-40978D89004F}"/>
            </c:ext>
          </c:extLst>
        </c:ser>
        <c:dLbls>
          <c:showLegendKey val="0"/>
          <c:showVal val="0"/>
          <c:showCatName val="0"/>
          <c:showSerName val="0"/>
          <c:showPercent val="0"/>
          <c:showBubbleSize val="0"/>
        </c:dLbls>
        <c:axId val="311442800"/>
        <c:axId val="311442320"/>
      </c:scatterChart>
      <c:valAx>
        <c:axId val="31144280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dd/mm" sourceLinked="1"/>
        <c:majorTickMark val="none"/>
        <c:minorTickMark val="none"/>
        <c:tickLblPos val="nextTo"/>
        <c:spPr>
          <a:noFill/>
          <a:ln w="9525" cap="flat" cmpd="sng" algn="ctr">
            <a:solidFill>
              <a:schemeClr val="tx1">
                <a:lumMod val="25000"/>
                <a:lumOff val="7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442320"/>
        <c:crosses val="autoZero"/>
        <c:crossBetween val="midCat"/>
        <c:majorUnit val="7"/>
        <c:minorUnit val="1"/>
      </c:valAx>
      <c:valAx>
        <c:axId val="3114423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44280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Consumables</a:t>
            </a:r>
            <a:r>
              <a:rPr lang="en-GB" b="1" baseline="0"/>
              <a:t> in Camp</a:t>
            </a:r>
            <a:endParaRPr lang="en-GB" b="1"/>
          </a:p>
        </c:rich>
      </c:tx>
      <c:layout>
        <c:manualLayout>
          <c:xMode val="edge"/>
          <c:yMode val="edge"/>
          <c:x val="0.35868508257076437"/>
          <c:y val="3.8523267986456528E-2"/>
        </c:manualLayout>
      </c:layout>
      <c:overlay val="1"/>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scatterChart>
        <c:scatterStyle val="lineMarker"/>
        <c:varyColors val="0"/>
        <c:ser>
          <c:idx val="0"/>
          <c:order val="0"/>
          <c:tx>
            <c:strRef>
              <c:f>'04-07-25-Scen5-WorstCargoJIT'!$AX$1</c:f>
              <c:strCache>
                <c:ptCount val="1"/>
                <c:pt idx="0">
                  <c:v>Drilling Fuel in Camp</c:v>
                </c:pt>
              </c:strCache>
            </c:strRef>
          </c:tx>
          <c:spPr>
            <a:ln w="19050" cap="rnd">
              <a:solidFill>
                <a:srgbClr val="FF0000"/>
              </a:solidFill>
              <a:round/>
            </a:ln>
            <a:effectLst/>
          </c:spPr>
          <c:marker>
            <c:symbol val="none"/>
          </c:marker>
          <c:xVal>
            <c:numRef>
              <c:f>'04-07-25-Scen5-WorstCargoJIT'!$A$3:$A$112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'04-07-25-Scen5-WorstCargoJIT'!$AX$3:$AX$112</c:f>
              <c:numCache>
                <c:formatCode>0</c:formatCode>
                <c:ptCount val="110"/>
                <c:pt idx="0">
                  <c:v>0</c:v>
                </c:pt>
                <c:pt idx="1">
                  <c:v>0</c:v>
                </c:pt>
                <c:pt idx="2">
                  <c:v>0</c:v>
                </c:pt>
                <c:pt idx="3">
                  <c:v>0</c:v>
                </c:pt>
                <c:pt idx="4">
                  <c:v>0</c:v>
                </c:pt>
                <c:pt idx="5">
                  <c:v>0</c:v>
                </c:pt>
                <c:pt idx="6">
                  <c:v>0</c:v>
                </c:pt>
                <c:pt idx="7">
                  <c:v>5.8396747967479676</c:v>
                </c:pt>
                <c:pt idx="8">
                  <c:v>5.6793495934959353</c:v>
                </c:pt>
                <c:pt idx="9">
                  <c:v>5.5190243902439029</c:v>
                </c:pt>
                <c:pt idx="10">
                  <c:v>5.0380487804878049</c:v>
                </c:pt>
                <c:pt idx="11">
                  <c:v>5.0380487804878049</c:v>
                </c:pt>
                <c:pt idx="12">
                  <c:v>4.5570731707317069</c:v>
                </c:pt>
                <c:pt idx="13">
                  <c:v>4.0760975609756089</c:v>
                </c:pt>
                <c:pt idx="14">
                  <c:v>3.5951219512195114</c:v>
                </c:pt>
                <c:pt idx="15">
                  <c:v>3.1141463414634138</c:v>
                </c:pt>
                <c:pt idx="16">
                  <c:v>2.6331707317073163</c:v>
                </c:pt>
                <c:pt idx="17">
                  <c:v>2.1521951219512188</c:v>
                </c:pt>
                <c:pt idx="18">
                  <c:v>2.1521951219512188</c:v>
                </c:pt>
                <c:pt idx="19">
                  <c:v>1.6712195121951212</c:v>
                </c:pt>
                <c:pt idx="20">
                  <c:v>1.1902439024390237</c:v>
                </c:pt>
                <c:pt idx="21">
                  <c:v>0.70926829268292613</c:v>
                </c:pt>
                <c:pt idx="22">
                  <c:v>0.22829268292682853</c:v>
                </c:pt>
                <c:pt idx="23">
                  <c:v>5.7473170731707306</c:v>
                </c:pt>
                <c:pt idx="24">
                  <c:v>5.2663414634146326</c:v>
                </c:pt>
                <c:pt idx="25">
                  <c:v>5.2663414634146326</c:v>
                </c:pt>
                <c:pt idx="26">
                  <c:v>4.7853658536585346</c:v>
                </c:pt>
                <c:pt idx="27">
                  <c:v>4.3043902439024366</c:v>
                </c:pt>
                <c:pt idx="28">
                  <c:v>3.8234146341463391</c:v>
                </c:pt>
                <c:pt idx="29">
                  <c:v>3.3424390243902415</c:v>
                </c:pt>
                <c:pt idx="30">
                  <c:v>2.861463414634144</c:v>
                </c:pt>
                <c:pt idx="31">
                  <c:v>2.3804878048780465</c:v>
                </c:pt>
                <c:pt idx="32">
                  <c:v>2.3804878048780465</c:v>
                </c:pt>
                <c:pt idx="33">
                  <c:v>1.8995121951219489</c:v>
                </c:pt>
                <c:pt idx="34">
                  <c:v>1.4185365853658514</c:v>
                </c:pt>
                <c:pt idx="35">
                  <c:v>0.93756097560975382</c:v>
                </c:pt>
                <c:pt idx="36">
                  <c:v>0.45658536585365622</c:v>
                </c:pt>
                <c:pt idx="37">
                  <c:v>5.9756097560975583</c:v>
                </c:pt>
                <c:pt idx="38">
                  <c:v>5.4946341463414603</c:v>
                </c:pt>
                <c:pt idx="39">
                  <c:v>5.4946341463414603</c:v>
                </c:pt>
                <c:pt idx="40">
                  <c:v>5.0136585365853623</c:v>
                </c:pt>
                <c:pt idx="41">
                  <c:v>4.5326829268292643</c:v>
                </c:pt>
                <c:pt idx="42">
                  <c:v>4.0517073170731663</c:v>
                </c:pt>
                <c:pt idx="43">
                  <c:v>4.0517073170731663</c:v>
                </c:pt>
                <c:pt idx="44">
                  <c:v>3.5707317073170688</c:v>
                </c:pt>
                <c:pt idx="45">
                  <c:v>3.0897560975609712</c:v>
                </c:pt>
                <c:pt idx="46">
                  <c:v>2.6087804878048737</c:v>
                </c:pt>
                <c:pt idx="47">
                  <c:v>2.1278048780487762</c:v>
                </c:pt>
                <c:pt idx="48">
                  <c:v>1.5424390243902395</c:v>
                </c:pt>
                <c:pt idx="49">
                  <c:v>1.5424390243902395</c:v>
                </c:pt>
                <c:pt idx="50">
                  <c:v>0.95707317073170284</c:v>
                </c:pt>
                <c:pt idx="51">
                  <c:v>0.37170731707316618</c:v>
                </c:pt>
                <c:pt idx="52">
                  <c:v>5.7863414634146295</c:v>
                </c:pt>
                <c:pt idx="53">
                  <c:v>5.7863414634146295</c:v>
                </c:pt>
                <c:pt idx="54">
                  <c:v>5.2009756097560924</c:v>
                </c:pt>
                <c:pt idx="55">
                  <c:v>4.9082926829268239</c:v>
                </c:pt>
                <c:pt idx="56">
                  <c:v>4.9082926829268239</c:v>
                </c:pt>
                <c:pt idx="57">
                  <c:v>4.9082926829268239</c:v>
                </c:pt>
                <c:pt idx="58">
                  <c:v>4.9082926829268239</c:v>
                </c:pt>
                <c:pt idx="59">
                  <c:v>4.9082926829268239</c:v>
                </c:pt>
                <c:pt idx="60">
                  <c:v>4.9082926829268239</c:v>
                </c:pt>
                <c:pt idx="61">
                  <c:v>4.9082926829268239</c:v>
                </c:pt>
                <c:pt idx="62">
                  <c:v>4.9082926829268239</c:v>
                </c:pt>
                <c:pt idx="63">
                  <c:v>4.9082926829268239</c:v>
                </c:pt>
                <c:pt idx="64">
                  <c:v>4.9082926829268239</c:v>
                </c:pt>
                <c:pt idx="65">
                  <c:v>4.9082926829268239</c:v>
                </c:pt>
                <c:pt idx="66">
                  <c:v>4.9082926829268239</c:v>
                </c:pt>
                <c:pt idx="67">
                  <c:v>4.9082926829268239</c:v>
                </c:pt>
                <c:pt idx="68">
                  <c:v>4.9082926829268239</c:v>
                </c:pt>
                <c:pt idx="69">
                  <c:v>4.9082926829268239</c:v>
                </c:pt>
                <c:pt idx="70">
                  <c:v>4.9082926829268239</c:v>
                </c:pt>
                <c:pt idx="71">
                  <c:v>4.9082926829268239</c:v>
                </c:pt>
                <c:pt idx="72">
                  <c:v>4.9082926829268239</c:v>
                </c:pt>
                <c:pt idx="73">
                  <c:v>4.9082926829268239</c:v>
                </c:pt>
                <c:pt idx="74">
                  <c:v>4.9082926829268239</c:v>
                </c:pt>
                <c:pt idx="75">
                  <c:v>4.9082926829268239</c:v>
                </c:pt>
                <c:pt idx="76">
                  <c:v>4.9082926829268239</c:v>
                </c:pt>
                <c:pt idx="77">
                  <c:v>4.9082926829268239</c:v>
                </c:pt>
                <c:pt idx="78">
                  <c:v>4.9082926829268239</c:v>
                </c:pt>
                <c:pt idx="79">
                  <c:v>4.9082926829268239</c:v>
                </c:pt>
                <c:pt idx="80">
                  <c:v>4.9082926829268239</c:v>
                </c:pt>
                <c:pt idx="81">
                  <c:v>4.9082926829268239</c:v>
                </c:pt>
                <c:pt idx="82">
                  <c:v>4.9082926829268239</c:v>
                </c:pt>
                <c:pt idx="83">
                  <c:v>4.9082926829268239</c:v>
                </c:pt>
                <c:pt idx="84">
                  <c:v>4.9082926829268239</c:v>
                </c:pt>
                <c:pt idx="85">
                  <c:v>4.9082926829268239</c:v>
                </c:pt>
                <c:pt idx="86">
                  <c:v>4.9082926829268239</c:v>
                </c:pt>
                <c:pt idx="87">
                  <c:v>4.9082926829268239</c:v>
                </c:pt>
                <c:pt idx="88">
                  <c:v>4.9082926829268239</c:v>
                </c:pt>
                <c:pt idx="89">
                  <c:v>4.9082926829268239</c:v>
                </c:pt>
                <c:pt idx="90">
                  <c:v>4.9082926829268239</c:v>
                </c:pt>
                <c:pt idx="91">
                  <c:v>4.9082926829268239</c:v>
                </c:pt>
                <c:pt idx="92">
                  <c:v>4.9082926829268239</c:v>
                </c:pt>
                <c:pt idx="93">
                  <c:v>4.9082926829268239</c:v>
                </c:pt>
                <c:pt idx="94">
                  <c:v>4.9082926829268239</c:v>
                </c:pt>
                <c:pt idx="95">
                  <c:v>4.9082926829268239</c:v>
                </c:pt>
                <c:pt idx="96">
                  <c:v>4.9082926829268239</c:v>
                </c:pt>
                <c:pt idx="97">
                  <c:v>4.9082926829268239</c:v>
                </c:pt>
                <c:pt idx="98">
                  <c:v>4.9082926829268239</c:v>
                </c:pt>
                <c:pt idx="99">
                  <c:v>4.9082926829268239</c:v>
                </c:pt>
                <c:pt idx="100">
                  <c:v>4.9082926829268239</c:v>
                </c:pt>
                <c:pt idx="101">
                  <c:v>4.9082926829268239</c:v>
                </c:pt>
                <c:pt idx="102">
                  <c:v>4.9082926829268239</c:v>
                </c:pt>
                <c:pt idx="103">
                  <c:v>4.9082926829268239</c:v>
                </c:pt>
                <c:pt idx="104">
                  <c:v>4.9082926829268239</c:v>
                </c:pt>
                <c:pt idx="105">
                  <c:v>4.9082926829268239</c:v>
                </c:pt>
                <c:pt idx="106">
                  <c:v>4.9082926829268239</c:v>
                </c:pt>
                <c:pt idx="107">
                  <c:v>4.9082926829268239</c:v>
                </c:pt>
                <c:pt idx="108">
                  <c:v>4.9082926829268239</c:v>
                </c:pt>
                <c:pt idx="109">
                  <c:v>4.9082926829268239</c:v>
                </c:pt>
              </c:numCache>
            </c:numRef>
          </c:yVal>
          <c:smooth val="0"/>
          <c:extLst>
            <c:ext xmlns:c16="http://schemas.microsoft.com/office/drawing/2014/chart" uri="{C3380CC4-5D6E-409C-BE32-E72D297353CC}">
              <c16:uniqueId val="{00000000-6A8C-4F40-B15A-69CE792F587C}"/>
            </c:ext>
          </c:extLst>
        </c:ser>
        <c:ser>
          <c:idx val="1"/>
          <c:order val="1"/>
          <c:tx>
            <c:strRef>
              <c:f>'04-07-25-Scen5-WorstCargoJIT'!$AY$1</c:f>
              <c:strCache>
                <c:ptCount val="1"/>
                <c:pt idx="0">
                  <c:v>D60 in Camp (excl Borehole)</c:v>
                </c:pt>
              </c:strCache>
            </c:strRef>
          </c:tx>
          <c:spPr>
            <a:ln w="19050" cap="rnd">
              <a:solidFill>
                <a:schemeClr val="tx2">
                  <a:lumMod val="50000"/>
                  <a:lumOff val="50000"/>
                </a:schemeClr>
              </a:solidFill>
              <a:round/>
            </a:ln>
            <a:effectLst/>
          </c:spPr>
          <c:marker>
            <c:symbol val="none"/>
          </c:marker>
          <c:xVal>
            <c:numRef>
              <c:f>'04-07-25-Scen5-WorstCargoJIT'!$A$3:$A$112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'04-07-25-Scen5-WorstCargoJIT'!$AY$3:$AY$112</c:f>
              <c:numCache>
                <c:formatCode>0</c:formatCode>
                <c:ptCount val="110"/>
                <c:pt idx="0">
                  <c:v>4</c:v>
                </c:pt>
                <c:pt idx="1">
                  <c:v>4</c:v>
                </c:pt>
                <c:pt idx="2">
                  <c:v>4</c:v>
                </c:pt>
                <c:pt idx="3">
                  <c:v>4</c:v>
                </c:pt>
                <c:pt idx="4">
                  <c:v>4</c:v>
                </c:pt>
                <c:pt idx="5">
                  <c:v>4</c:v>
                </c:pt>
                <c:pt idx="6">
                  <c:v>4</c:v>
                </c:pt>
                <c:pt idx="7">
                  <c:v>4</c:v>
                </c:pt>
                <c:pt idx="8">
                  <c:v>3.36598575811509</c:v>
                </c:pt>
                <c:pt idx="9">
                  <c:v>2.7308059103965605</c:v>
                </c:pt>
                <c:pt idx="10">
                  <c:v>0.88063953537515527</c:v>
                </c:pt>
                <c:pt idx="11">
                  <c:v>0.88063953537515527</c:v>
                </c:pt>
                <c:pt idx="12">
                  <c:v>5.1057042289417556</c:v>
                </c:pt>
                <c:pt idx="13">
                  <c:v>3.3975070835227861</c:v>
                </c:pt>
                <c:pt idx="14">
                  <c:v>1.7490422094902911</c:v>
                </c:pt>
                <c:pt idx="15">
                  <c:v>0.15444990529254099</c:v>
                </c:pt>
                <c:pt idx="16">
                  <c:v>4.6087701379776735</c:v>
                </c:pt>
                <c:pt idx="17">
                  <c:v>3.1077602736037715</c:v>
                </c:pt>
                <c:pt idx="18">
                  <c:v>3.1077602736037715</c:v>
                </c:pt>
                <c:pt idx="19">
                  <c:v>1.6477577042985594</c:v>
                </c:pt>
                <c:pt idx="20">
                  <c:v>0.22557455265660664</c:v>
                </c:pt>
                <c:pt idx="21">
                  <c:v>4.8384157477139773</c:v>
                </c:pt>
                <c:pt idx="22">
                  <c:v>3.4838144284861059</c:v>
                </c:pt>
                <c:pt idx="23">
                  <c:v>2.1595803957419584</c:v>
                </c:pt>
                <c:pt idx="24">
                  <c:v>0.86375852829310418</c:v>
                </c:pt>
                <c:pt idx="25">
                  <c:v>0.86375852829309707</c:v>
                </c:pt>
                <c:pt idx="26">
                  <c:v>5.5945949060555549</c:v>
                </c:pt>
                <c:pt idx="27">
                  <c:v>4.3505089629003777</c:v>
                </c:pt>
                <c:pt idx="28">
                  <c:v>3.1300704072279864</c:v>
                </c:pt>
                <c:pt idx="29">
                  <c:v>1.9319799489917386</c:v>
                </c:pt>
                <c:pt idx="30">
                  <c:v>0.75505309288308453</c:v>
                </c:pt>
                <c:pt idx="31">
                  <c:v>5.5982064217532717</c:v>
                </c:pt>
                <c:pt idx="32">
                  <c:v>5.5982064217532717</c:v>
                </c:pt>
                <c:pt idx="33">
                  <c:v>4.4604459179876521</c:v>
                </c:pt>
                <c:pt idx="34">
                  <c:v>3.3408569645377533</c:v>
                </c:pt>
                <c:pt idx="35">
                  <c:v>2.2385957394643512</c:v>
                </c:pt>
                <c:pt idx="36">
                  <c:v>1.1528817737315151</c:v>
                </c:pt>
                <c:pt idx="37">
                  <c:v>8.2991485649849039E-2</c:v>
                </c:pt>
                <c:pt idx="38">
                  <c:v>5.0282525397443933</c:v>
                </c:pt>
                <c:pt idx="39">
                  <c:v>5.0282525397443933</c:v>
                </c:pt>
                <c:pt idx="40">
                  <c:v>3.9880389050922744</c:v>
                </c:pt>
                <c:pt idx="41">
                  <c:v>2.961766509959638</c:v>
                </c:pt>
                <c:pt idx="42">
                  <c:v>1.948889407083378</c:v>
                </c:pt>
                <c:pt idx="43">
                  <c:v>1.948889407083378</c:v>
                </c:pt>
                <c:pt idx="44">
                  <c:v>0.94889637811472483</c:v>
                </c:pt>
                <c:pt idx="45">
                  <c:v>5.9613079172754198</c:v>
                </c:pt>
                <c:pt idx="46">
                  <c:v>4.9856735437149169</c:v>
                </c:pt>
                <c:pt idx="47">
                  <c:v>4.0215693998212672</c:v>
                </c:pt>
                <c:pt idx="48">
                  <c:v>14.785768095996616</c:v>
                </c:pt>
                <c:pt idx="49">
                  <c:v>14.785768095996616</c:v>
                </c:pt>
                <c:pt idx="50">
                  <c:v>23.249847074561139</c:v>
                </c:pt>
                <c:pt idx="51">
                  <c:v>29.833199242938516</c:v>
                </c:pt>
                <c:pt idx="52">
                  <c:v>35.414081612421171</c:v>
                </c:pt>
                <c:pt idx="53">
                  <c:v>35.414081612421171</c:v>
                </c:pt>
                <c:pt idx="54">
                  <c:v>40.345933446769379</c:v>
                </c:pt>
                <c:pt idx="55">
                  <c:v>42.629578369148568</c:v>
                </c:pt>
                <c:pt idx="56">
                  <c:v>42.629578369148568</c:v>
                </c:pt>
                <c:pt idx="57">
                  <c:v>42.629578369148568</c:v>
                </c:pt>
                <c:pt idx="58">
                  <c:v>42.629578369148568</c:v>
                </c:pt>
                <c:pt idx="59">
                  <c:v>42.629578369148568</c:v>
                </c:pt>
                <c:pt idx="60">
                  <c:v>42.629578369148568</c:v>
                </c:pt>
                <c:pt idx="61">
                  <c:v>42.629578369148568</c:v>
                </c:pt>
                <c:pt idx="62">
                  <c:v>42.629578369148568</c:v>
                </c:pt>
                <c:pt idx="63">
                  <c:v>42.629578369148568</c:v>
                </c:pt>
                <c:pt idx="64">
                  <c:v>42.629578369148568</c:v>
                </c:pt>
                <c:pt idx="65">
                  <c:v>42.629578369148568</c:v>
                </c:pt>
                <c:pt idx="66">
                  <c:v>42.629578369148568</c:v>
                </c:pt>
                <c:pt idx="67">
                  <c:v>42.629578369148568</c:v>
                </c:pt>
                <c:pt idx="68">
                  <c:v>42.629578369148568</c:v>
                </c:pt>
                <c:pt idx="69">
                  <c:v>42.629578369148568</c:v>
                </c:pt>
                <c:pt idx="70">
                  <c:v>42.629578369148568</c:v>
                </c:pt>
                <c:pt idx="71">
                  <c:v>42.629578369148568</c:v>
                </c:pt>
                <c:pt idx="72">
                  <c:v>42.629578369148568</c:v>
                </c:pt>
                <c:pt idx="73">
                  <c:v>42.629578369148568</c:v>
                </c:pt>
                <c:pt idx="74">
                  <c:v>42.629578369148568</c:v>
                </c:pt>
                <c:pt idx="75">
                  <c:v>42.629578369148568</c:v>
                </c:pt>
                <c:pt idx="76">
                  <c:v>42.629578369148568</c:v>
                </c:pt>
                <c:pt idx="77">
                  <c:v>42.629578369148568</c:v>
                </c:pt>
                <c:pt idx="78">
                  <c:v>42.629578369148568</c:v>
                </c:pt>
                <c:pt idx="79">
                  <c:v>42.629578369148568</c:v>
                </c:pt>
                <c:pt idx="80">
                  <c:v>42.629578369148568</c:v>
                </c:pt>
                <c:pt idx="81">
                  <c:v>42.629578369148568</c:v>
                </c:pt>
                <c:pt idx="82">
                  <c:v>42.629578369148568</c:v>
                </c:pt>
                <c:pt idx="83">
                  <c:v>42.629578369148568</c:v>
                </c:pt>
                <c:pt idx="84">
                  <c:v>42.629578369148568</c:v>
                </c:pt>
                <c:pt idx="85">
                  <c:v>42.629578369148568</c:v>
                </c:pt>
                <c:pt idx="86">
                  <c:v>42.629578369148568</c:v>
                </c:pt>
                <c:pt idx="87">
                  <c:v>42.629578369148568</c:v>
                </c:pt>
                <c:pt idx="88">
                  <c:v>42.629578369148568</c:v>
                </c:pt>
                <c:pt idx="89">
                  <c:v>42.629578369148568</c:v>
                </c:pt>
                <c:pt idx="90">
                  <c:v>42.629578369148568</c:v>
                </c:pt>
                <c:pt idx="91">
                  <c:v>42.629578369148568</c:v>
                </c:pt>
                <c:pt idx="92">
                  <c:v>42.629578369148568</c:v>
                </c:pt>
                <c:pt idx="93">
                  <c:v>42.629578369148568</c:v>
                </c:pt>
                <c:pt idx="94">
                  <c:v>42.629578369148568</c:v>
                </c:pt>
                <c:pt idx="95">
                  <c:v>42.629578369148568</c:v>
                </c:pt>
                <c:pt idx="96">
                  <c:v>42.629578369148568</c:v>
                </c:pt>
                <c:pt idx="97">
                  <c:v>42.629578369148568</c:v>
                </c:pt>
                <c:pt idx="98">
                  <c:v>42.629578369148568</c:v>
                </c:pt>
                <c:pt idx="99">
                  <c:v>42.629578369148568</c:v>
                </c:pt>
                <c:pt idx="100">
                  <c:v>42.629578369148568</c:v>
                </c:pt>
                <c:pt idx="101">
                  <c:v>42.629578369148568</c:v>
                </c:pt>
                <c:pt idx="102">
                  <c:v>42.629578369148568</c:v>
                </c:pt>
                <c:pt idx="103">
                  <c:v>42.629578369148568</c:v>
                </c:pt>
                <c:pt idx="104">
                  <c:v>42.629578369148568</c:v>
                </c:pt>
                <c:pt idx="105">
                  <c:v>42.629578369148568</c:v>
                </c:pt>
                <c:pt idx="106">
                  <c:v>42.629578369148568</c:v>
                </c:pt>
                <c:pt idx="107">
                  <c:v>42.629578369148568</c:v>
                </c:pt>
                <c:pt idx="108">
                  <c:v>42.629578369148568</c:v>
                </c:pt>
                <c:pt idx="109">
                  <c:v>42.629578369148568</c:v>
                </c:pt>
              </c:numCache>
            </c:numRef>
          </c:yVal>
          <c:smooth val="0"/>
          <c:extLst>
            <c:ext xmlns:c16="http://schemas.microsoft.com/office/drawing/2014/chart" uri="{C3380CC4-5D6E-409C-BE32-E72D297353CC}">
              <c16:uniqueId val="{00000001-6A8C-4F40-B15A-69CE792F587C}"/>
            </c:ext>
          </c:extLst>
        </c:ser>
        <c:dLbls>
          <c:showLegendKey val="0"/>
          <c:showVal val="0"/>
          <c:showCatName val="0"/>
          <c:showSerName val="0"/>
          <c:showPercent val="0"/>
          <c:showBubbleSize val="0"/>
        </c:dLbls>
        <c:axId val="980558687"/>
        <c:axId val="980561087"/>
      </c:scatterChart>
      <c:scatterChart>
        <c:scatterStyle val="lineMarker"/>
        <c:varyColors val="0"/>
        <c:ser>
          <c:idx val="2"/>
          <c:order val="2"/>
          <c:tx>
            <c:strRef>
              <c:f>'04-07-25-Scen5-WorstCargoJIT'!$AZ$1</c:f>
              <c:strCache>
                <c:ptCount val="1"/>
                <c:pt idx="0">
                  <c:v>Filled Core Boxes in Camp</c:v>
                </c:pt>
              </c:strCache>
            </c:strRef>
          </c:tx>
          <c:spPr>
            <a:ln w="19050" cap="rnd">
              <a:solidFill>
                <a:srgbClr val="00B050"/>
              </a:solidFill>
              <a:round/>
            </a:ln>
            <a:effectLst/>
          </c:spPr>
          <c:marker>
            <c:symbol val="none"/>
          </c:marker>
          <c:xVal>
            <c:numRef>
              <c:f>'04-07-25-Scen5-WorstCargoJIT'!$A$3:$A$112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'04-07-25-Scen5-WorstCargoJIT'!$AZ$3:$AZ$112</c:f>
              <c:numCache>
                <c:formatCode>0</c:formatCode>
                <c:ptCount val="110"/>
                <c:pt idx="0">
                  <c:v>0</c:v>
                </c:pt>
                <c:pt idx="1">
                  <c:v>0</c:v>
                </c:pt>
                <c:pt idx="2">
                  <c:v>0</c:v>
                </c:pt>
                <c:pt idx="3">
                  <c:v>0</c:v>
                </c:pt>
                <c:pt idx="4">
                  <c:v>0</c:v>
                </c:pt>
                <c:pt idx="5">
                  <c:v>0</c:v>
                </c:pt>
                <c:pt idx="6">
                  <c:v>0</c:v>
                </c:pt>
                <c:pt idx="7">
                  <c:v>1.6388869864316742</c:v>
                </c:pt>
                <c:pt idx="8">
                  <c:v>3.251702271378941</c:v>
                </c:pt>
                <c:pt idx="9">
                  <c:v>4.8396518906752659</c:v>
                </c:pt>
                <c:pt idx="10">
                  <c:v>9.4650678282287775</c:v>
                </c:pt>
                <c:pt idx="11">
                  <c:v>9.4650678282287775</c:v>
                </c:pt>
                <c:pt idx="12">
                  <c:v>13.902406094312278</c:v>
                </c:pt>
                <c:pt idx="13">
                  <c:v>18.172898957859701</c:v>
                </c:pt>
                <c:pt idx="14">
                  <c:v>22.294061142940937</c:v>
                </c:pt>
                <c:pt idx="15">
                  <c:v>6.2805419034353172</c:v>
                </c:pt>
                <c:pt idx="16">
                  <c:v>10.144741321722481</c:v>
                </c:pt>
                <c:pt idx="17">
                  <c:v>13.897265982657238</c:v>
                </c:pt>
                <c:pt idx="18">
                  <c:v>13.897265982657238</c:v>
                </c:pt>
                <c:pt idx="19">
                  <c:v>17.547272405920268</c:v>
                </c:pt>
                <c:pt idx="20">
                  <c:v>21.102730285025153</c:v>
                </c:pt>
                <c:pt idx="21">
                  <c:v>4.5706272973817192</c:v>
                </c:pt>
                <c:pt idx="22">
                  <c:v>7.957130595451396</c:v>
                </c:pt>
                <c:pt idx="23">
                  <c:v>11.26771567731177</c:v>
                </c:pt>
                <c:pt idx="24">
                  <c:v>14.507270345933904</c:v>
                </c:pt>
                <c:pt idx="25">
                  <c:v>14.507270345933925</c:v>
                </c:pt>
                <c:pt idx="26">
                  <c:v>17.680179401527774</c:v>
                </c:pt>
                <c:pt idx="27">
                  <c:v>20.790394259415727</c:v>
                </c:pt>
                <c:pt idx="28">
                  <c:v>3.8414906485967037</c:v>
                </c:pt>
                <c:pt idx="29">
                  <c:v>6.8367167941873248</c:v>
                </c:pt>
                <c:pt idx="30">
                  <c:v>9.7790339344589512</c:v>
                </c:pt>
                <c:pt idx="31">
                  <c:v>12.671150612283483</c:v>
                </c:pt>
                <c:pt idx="32">
                  <c:v>12.671150612283483</c:v>
                </c:pt>
                <c:pt idx="33">
                  <c:v>15.515551871697539</c:v>
                </c:pt>
                <c:pt idx="34">
                  <c:v>18.314524255322283</c:v>
                </c:pt>
                <c:pt idx="35">
                  <c:v>21.07017731800579</c:v>
                </c:pt>
                <c:pt idx="36">
                  <c:v>3.7844622323378871</c:v>
                </c:pt>
                <c:pt idx="37">
                  <c:v>6.4591879525420381</c:v>
                </c:pt>
                <c:pt idx="38">
                  <c:v>9.0960353173056774</c:v>
                </c:pt>
                <c:pt idx="39">
                  <c:v>9.0960353173056774</c:v>
                </c:pt>
                <c:pt idx="40">
                  <c:v>11.696569403935982</c:v>
                </c:pt>
                <c:pt idx="41">
                  <c:v>14.262250391767566</c:v>
                </c:pt>
                <c:pt idx="42">
                  <c:v>16.794443148958223</c:v>
                </c:pt>
                <c:pt idx="43">
                  <c:v>16.794443148958223</c:v>
                </c:pt>
                <c:pt idx="44">
                  <c:v>19.294425721379852</c:v>
                </c:pt>
                <c:pt idx="45">
                  <c:v>21.763396873478129</c:v>
                </c:pt>
                <c:pt idx="46">
                  <c:v>4.2024828073793827</c:v>
                </c:pt>
                <c:pt idx="47">
                  <c:v>6.6127431671134929</c:v>
                </c:pt>
                <c:pt idx="48">
                  <c:v>6.6127431671134929</c:v>
                </c:pt>
                <c:pt idx="49">
                  <c:v>6.6127431671134929</c:v>
                </c:pt>
                <c:pt idx="50">
                  <c:v>6.6127431671134929</c:v>
                </c:pt>
                <c:pt idx="51">
                  <c:v>6.6127431671134929</c:v>
                </c:pt>
                <c:pt idx="52">
                  <c:v>6.6127431671134929</c:v>
                </c:pt>
                <c:pt idx="53">
                  <c:v>6.6127431671134929</c:v>
                </c:pt>
                <c:pt idx="54">
                  <c:v>6.6127431671134929</c:v>
                </c:pt>
                <c:pt idx="55">
                  <c:v>6.6127431671134929</c:v>
                </c:pt>
                <c:pt idx="56">
                  <c:v>6.6127431671134929</c:v>
                </c:pt>
                <c:pt idx="57">
                  <c:v>6.6127431671134929</c:v>
                </c:pt>
                <c:pt idx="58">
                  <c:v>6.6127431671134929</c:v>
                </c:pt>
                <c:pt idx="59">
                  <c:v>6.6127431671134929</c:v>
                </c:pt>
                <c:pt idx="60">
                  <c:v>6.6127431671134929</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numCache>
            </c:numRef>
          </c:yVal>
          <c:smooth val="0"/>
          <c:extLst>
            <c:ext xmlns:c16="http://schemas.microsoft.com/office/drawing/2014/chart" uri="{C3380CC4-5D6E-409C-BE32-E72D297353CC}">
              <c16:uniqueId val="{00000002-6A8C-4F40-B15A-69CE792F587C}"/>
            </c:ext>
          </c:extLst>
        </c:ser>
        <c:dLbls>
          <c:showLegendKey val="0"/>
          <c:showVal val="0"/>
          <c:showCatName val="0"/>
          <c:showSerName val="0"/>
          <c:showPercent val="0"/>
          <c:showBubbleSize val="0"/>
        </c:dLbls>
        <c:axId val="1374332383"/>
        <c:axId val="1374338623"/>
      </c:scatterChart>
      <c:valAx>
        <c:axId val="980558687"/>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dd/mm" sourceLinked="1"/>
        <c:majorTickMark val="none"/>
        <c:minorTickMark val="none"/>
        <c:tickLblPos val="nextTo"/>
        <c:spPr>
          <a:noFill/>
          <a:ln w="9525" cap="flat" cmpd="sng" algn="ctr">
            <a:solidFill>
              <a:schemeClr val="tx1">
                <a:lumMod val="25000"/>
                <a:lumOff val="7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561087"/>
        <c:crosses val="autoZero"/>
        <c:crossBetween val="midCat"/>
        <c:majorUnit val="7"/>
        <c:minorUnit val="1"/>
      </c:valAx>
      <c:valAx>
        <c:axId val="980561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Drums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558687"/>
        <c:crosses val="autoZero"/>
        <c:crossBetween val="midCat"/>
      </c:valAx>
      <c:valAx>
        <c:axId val="1374338623"/>
        <c:scaling>
          <c:orientation val="minMax"/>
          <c:min val="0"/>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Core</a:t>
                </a:r>
                <a:r>
                  <a:rPr lang="en-GB" baseline="0"/>
                  <a:t> Boxes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332383"/>
        <c:crosses val="max"/>
        <c:crossBetween val="midCat"/>
      </c:valAx>
      <c:valAx>
        <c:axId val="1374332383"/>
        <c:scaling>
          <c:orientation val="minMax"/>
        </c:scaling>
        <c:delete val="1"/>
        <c:axPos val="b"/>
        <c:numFmt formatCode="dd/mm" sourceLinked="1"/>
        <c:majorTickMark val="out"/>
        <c:minorTickMark val="none"/>
        <c:tickLblPos val="nextTo"/>
        <c:crossAx val="13743386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Drilling Progress &amp; Required</a:t>
            </a:r>
            <a:r>
              <a:rPr lang="en-GB" b="1" baseline="0"/>
              <a:t> Inputs</a:t>
            </a:r>
            <a:endParaRPr lang="en-GB" b="1"/>
          </a:p>
        </c:rich>
      </c:tx>
      <c:layout>
        <c:manualLayout>
          <c:xMode val="edge"/>
          <c:yMode val="edge"/>
          <c:x val="0.32371889389769276"/>
          <c:y val="0.89906318088500958"/>
        </c:manualLayout>
      </c:layout>
      <c:overlay val="1"/>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scatterChart>
        <c:scatterStyle val="lineMarker"/>
        <c:varyColors val="0"/>
        <c:ser>
          <c:idx val="0"/>
          <c:order val="0"/>
          <c:tx>
            <c:strRef>
              <c:f>'04-07-25-Scen6-Good,16hr'!$AL$1</c:f>
              <c:strCache>
                <c:ptCount val="1"/>
                <c:pt idx="0">
                  <c:v>End of Day Drill Depth</c:v>
                </c:pt>
              </c:strCache>
            </c:strRef>
          </c:tx>
          <c:spPr>
            <a:ln w="19050" cap="rnd">
              <a:solidFill>
                <a:srgbClr val="00B050"/>
              </a:solidFill>
              <a:round/>
            </a:ln>
            <a:effectLst/>
          </c:spPr>
          <c:marker>
            <c:symbol val="none"/>
          </c:marker>
          <c:xVal>
            <c:numRef>
              <c:f>'04-07-25-Scen6-Good,16hr'!$A$3:$A$112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'04-07-25-Scen6-Good,16hr'!$AL$3:$AL$112</c:f>
              <c:numCache>
                <c:formatCode>0.00</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-70</c:v>
                </c:pt>
                <c:pt idx="14">
                  <c:v>-79.833321918590045</c:v>
                </c:pt>
                <c:pt idx="15">
                  <c:v>-89.510213628273647</c:v>
                </c:pt>
                <c:pt idx="16">
                  <c:v>-99.037911344051594</c:v>
                </c:pt>
                <c:pt idx="17">
                  <c:v>-117.67201837575895</c:v>
                </c:pt>
                <c:pt idx="18">
                  <c:v>-117.67201837575895</c:v>
                </c:pt>
                <c:pt idx="19">
                  <c:v>-135.78365027986609</c:v>
                </c:pt>
                <c:pt idx="20">
                  <c:v>-153.41443656587367</c:v>
                </c:pt>
                <c:pt idx="21">
                  <c:v>-170.60075568811448</c:v>
                </c:pt>
                <c:pt idx="22">
                  <c:v>-187.37461805949542</c:v>
                </c:pt>
                <c:pt idx="23">
                  <c:v>-203.76436685764563</c:v>
                </c:pt>
                <c:pt idx="24">
                  <c:v>-219.79524057238655</c:v>
                </c:pt>
                <c:pt idx="25">
                  <c:v>-219.79524057238655</c:v>
                </c:pt>
                <c:pt idx="26">
                  <c:v>-235.4898292391706</c:v>
                </c:pt>
                <c:pt idx="27">
                  <c:v>-250.86844793033515</c:v>
                </c:pt>
                <c:pt idx="28">
                  <c:v>-265.94944513768297</c:v>
                </c:pt>
                <c:pt idx="29">
                  <c:v>-280.74945940361931</c:v>
                </c:pt>
                <c:pt idx="30">
                  <c:v>-295.28363443552183</c:v>
                </c:pt>
                <c:pt idx="31">
                  <c:v>-309.56580062861497</c:v>
                </c:pt>
                <c:pt idx="32">
                  <c:v>-309.56580062861497</c:v>
                </c:pt>
                <c:pt idx="33">
                  <c:v>-323.60862919440467</c:v>
                </c:pt>
                <c:pt idx="34">
                  <c:v>-337.42376378429043</c:v>
                </c:pt>
                <c:pt idx="35">
                  <c:v>-351.02193349884237</c:v>
                </c:pt>
                <c:pt idx="36">
                  <c:v>-364.41305040252013</c:v>
                </c:pt>
                <c:pt idx="37">
                  <c:v>-377.60629406387062</c:v>
                </c:pt>
                <c:pt idx="38">
                  <c:v>-390.61018517072768</c:v>
                </c:pt>
                <c:pt idx="39">
                  <c:v>-390.61018517072768</c:v>
                </c:pt>
                <c:pt idx="40">
                  <c:v>-403.43264989796455</c:v>
                </c:pt>
                <c:pt idx="41">
                  <c:v>-416.08107640916643</c:v>
                </c:pt>
                <c:pt idx="42">
                  <c:v>-428.56236463615431</c:v>
                </c:pt>
                <c:pt idx="43">
                  <c:v>-428.56236463615431</c:v>
                </c:pt>
                <c:pt idx="44">
                  <c:v>-440.88297028873444</c:v>
                </c:pt>
                <c:pt idx="45">
                  <c:v>-453.04894389157988</c:v>
                </c:pt>
                <c:pt idx="46">
                  <c:v>-465.06596551824731</c:v>
                </c:pt>
                <c:pt idx="47">
                  <c:v>-476.93937578819299</c:v>
                </c:pt>
                <c:pt idx="48">
                  <c:v>-488.67420360675334</c:v>
                </c:pt>
                <c:pt idx="49">
                  <c:v>-488.67420360675334</c:v>
                </c:pt>
                <c:pt idx="50">
                  <c:v>-500.27519105685997</c:v>
                </c:pt>
                <c:pt idx="51">
                  <c:v>-511.74681579197869</c:v>
                </c:pt>
                <c:pt idx="52">
                  <c:v>-523.09331123018478</c:v>
                </c:pt>
                <c:pt idx="53">
                  <c:v>-523.09331123018478</c:v>
                </c:pt>
                <c:pt idx="54">
                  <c:v>-534.31868480765161</c:v>
                </c:pt>
                <c:pt idx="55">
                  <c:v>-545.42673451472353</c:v>
                </c:pt>
                <c:pt idx="56">
                  <c:v>-556.42106390803451</c:v>
                </c:pt>
                <c:pt idx="57">
                  <c:v>-567.30509576689167</c:v>
                </c:pt>
                <c:pt idx="58">
                  <c:v>-578.08208454063117</c:v>
                </c:pt>
                <c:pt idx="59">
                  <c:v>-588.75512771525189</c:v>
                </c:pt>
                <c:pt idx="60">
                  <c:v>-588.75512771525189</c:v>
                </c:pt>
                <c:pt idx="61">
                  <c:v>-599.32717621184429</c:v>
                </c:pt>
                <c:pt idx="62">
                  <c:v>-609.80104391574457</c:v>
                </c:pt>
                <c:pt idx="63">
                  <c:v>-620.17941642361563</c:v>
                </c:pt>
                <c:pt idx="64">
                  <c:v>-630.46485908550153</c:v>
                </c:pt>
                <c:pt idx="65">
                  <c:v>-640.65982441009021</c:v>
                </c:pt>
                <c:pt idx="66">
                  <c:v>-650.76665889374908</c:v>
                </c:pt>
                <c:pt idx="67">
                  <c:v>-650.76665889374908</c:v>
                </c:pt>
                <c:pt idx="68">
                  <c:v>-660.78760932720695</c:v>
                </c:pt>
                <c:pt idx="69">
                  <c:v>-670.72482862789957</c:v>
                </c:pt>
                <c:pt idx="70">
                  <c:v>-680.58038124086852</c:v>
                </c:pt>
                <c:pt idx="71">
                  <c:v>-690.35624814659275</c:v>
                </c:pt>
                <c:pt idx="72">
                  <c:v>-700.05433151015961</c:v>
                </c:pt>
                <c:pt idx="73">
                  <c:v>-709.67645900268076</c:v>
                </c:pt>
                <c:pt idx="74">
                  <c:v>-709.67645900268076</c:v>
                </c:pt>
                <c:pt idx="75">
                  <c:v>-719.22438782276038</c:v>
                </c:pt>
                <c:pt idx="76">
                  <c:v>-719.22438782276038</c:v>
                </c:pt>
                <c:pt idx="77">
                  <c:v>-719.22438782276038</c:v>
                </c:pt>
                <c:pt idx="78">
                  <c:v>-719.22438782276038</c:v>
                </c:pt>
                <c:pt idx="79">
                  <c:v>-719.22438782276038</c:v>
                </c:pt>
                <c:pt idx="80">
                  <c:v>-719.22438782276038</c:v>
                </c:pt>
                <c:pt idx="81">
                  <c:v>-719.22438782276038</c:v>
                </c:pt>
                <c:pt idx="82">
                  <c:v>-719.22438782276038</c:v>
                </c:pt>
                <c:pt idx="83">
                  <c:v>-719.22438782276038</c:v>
                </c:pt>
                <c:pt idx="84">
                  <c:v>-719.22438782276038</c:v>
                </c:pt>
                <c:pt idx="85">
                  <c:v>-719.22438782276038</c:v>
                </c:pt>
                <c:pt idx="86">
                  <c:v>-719.22438782276038</c:v>
                </c:pt>
                <c:pt idx="87">
                  <c:v>-719.22438782276038</c:v>
                </c:pt>
                <c:pt idx="88">
                  <c:v>-719.22438782276038</c:v>
                </c:pt>
                <c:pt idx="89">
                  <c:v>-719.22438782276038</c:v>
                </c:pt>
                <c:pt idx="90">
                  <c:v>-719.22438782276038</c:v>
                </c:pt>
                <c:pt idx="91">
                  <c:v>-719.22438782276038</c:v>
                </c:pt>
                <c:pt idx="92">
                  <c:v>-719.22438782276038</c:v>
                </c:pt>
                <c:pt idx="93">
                  <c:v>-719.22438782276038</c:v>
                </c:pt>
                <c:pt idx="94">
                  <c:v>-719.22438782276038</c:v>
                </c:pt>
                <c:pt idx="95">
                  <c:v>-719.22438782276038</c:v>
                </c:pt>
                <c:pt idx="96">
                  <c:v>-719.22438782276038</c:v>
                </c:pt>
                <c:pt idx="97">
                  <c:v>-719.22438782276038</c:v>
                </c:pt>
                <c:pt idx="98">
                  <c:v>-719.22438782276038</c:v>
                </c:pt>
                <c:pt idx="99">
                  <c:v>-719.22438782276038</c:v>
                </c:pt>
                <c:pt idx="100">
                  <c:v>-719.22438782276038</c:v>
                </c:pt>
                <c:pt idx="101">
                  <c:v>-719.22438782276038</c:v>
                </c:pt>
                <c:pt idx="102">
                  <c:v>-719.22438782276038</c:v>
                </c:pt>
                <c:pt idx="103">
                  <c:v>-719.22438782276038</c:v>
                </c:pt>
                <c:pt idx="104">
                  <c:v>-719.22438782276038</c:v>
                </c:pt>
                <c:pt idx="105">
                  <c:v>-719.22438782276038</c:v>
                </c:pt>
                <c:pt idx="106">
                  <c:v>-719.22438782276038</c:v>
                </c:pt>
                <c:pt idx="107">
                  <c:v>-719.22438782276038</c:v>
                </c:pt>
                <c:pt idx="108">
                  <c:v>-719.22438782276038</c:v>
                </c:pt>
                <c:pt idx="109">
                  <c:v>-719.22438782276038</c:v>
                </c:pt>
              </c:numCache>
            </c:numRef>
          </c:yVal>
          <c:smooth val="0"/>
          <c:extLst>
            <c:ext xmlns:c16="http://schemas.microsoft.com/office/drawing/2014/chart" uri="{C3380CC4-5D6E-409C-BE32-E72D297353CC}">
              <c16:uniqueId val="{00000000-DE98-49D5-AFDA-582D0982E559}"/>
            </c:ext>
          </c:extLst>
        </c:ser>
        <c:ser>
          <c:idx val="6"/>
          <c:order val="1"/>
          <c:tx>
            <c:strRef>
              <c:f>'04-07-25-Scen6-Good,16hr'!$AM$1</c:f>
              <c:strCache>
                <c:ptCount val="1"/>
                <c:pt idx="0">
                  <c:v>End of Day Bailing Depth</c:v>
                </c:pt>
              </c:strCache>
            </c:strRef>
          </c:tx>
          <c:spPr>
            <a:ln w="19050" cap="rnd">
              <a:solidFill>
                <a:schemeClr val="tx2">
                  <a:lumMod val="50000"/>
                  <a:lumOff val="50000"/>
                </a:schemeClr>
              </a:solidFill>
              <a:round/>
            </a:ln>
            <a:effectLst/>
          </c:spPr>
          <c:marker>
            <c:symbol val="none"/>
          </c:marker>
          <c:xVal>
            <c:numRef>
              <c:f>'04-07-25-Scen6-Good,16hr'!$A$3:$A$112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'04-07-25-Scen6-Good,16hr'!$AM$3:$AM$112</c:f>
              <c:numCache>
                <c:formatCode>0.00</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-80</c:v>
                </c:pt>
                <c:pt idx="76">
                  <c:v>-198.31254448850603</c:v>
                </c:pt>
                <c:pt idx="77">
                  <c:v>-311.71486781429536</c:v>
                </c:pt>
                <c:pt idx="78">
                  <c:v>-400.47129457899786</c:v>
                </c:pt>
                <c:pt idx="79">
                  <c:v>-475.91110435689279</c:v>
                </c:pt>
                <c:pt idx="80">
                  <c:v>-542.67553276151159</c:v>
                </c:pt>
                <c:pt idx="81">
                  <c:v>-542.67553276151159</c:v>
                </c:pt>
                <c:pt idx="82">
                  <c:v>-603.20853687666499</c:v>
                </c:pt>
                <c:pt idx="83">
                  <c:v>-658.9850258956875</c:v>
                </c:pt>
                <c:pt idx="84">
                  <c:v>-710.9762191673608</c:v>
                </c:pt>
                <c:pt idx="85">
                  <c:v>-720.36180283396209</c:v>
                </c:pt>
                <c:pt idx="86">
                  <c:v>-720.36180283396209</c:v>
                </c:pt>
                <c:pt idx="87">
                  <c:v>-720.36180283396209</c:v>
                </c:pt>
                <c:pt idx="88">
                  <c:v>-720.36180283396209</c:v>
                </c:pt>
                <c:pt idx="89">
                  <c:v>-720.36180283396209</c:v>
                </c:pt>
                <c:pt idx="90">
                  <c:v>-720.36180283396209</c:v>
                </c:pt>
                <c:pt idx="91">
                  <c:v>-720.36180283396209</c:v>
                </c:pt>
                <c:pt idx="92">
                  <c:v>-720.36180283396209</c:v>
                </c:pt>
                <c:pt idx="93">
                  <c:v>-720.36180283396209</c:v>
                </c:pt>
                <c:pt idx="94">
                  <c:v>-720.36180283396209</c:v>
                </c:pt>
                <c:pt idx="95">
                  <c:v>-720.36180283396209</c:v>
                </c:pt>
                <c:pt idx="96">
                  <c:v>-720.36180283396209</c:v>
                </c:pt>
                <c:pt idx="97">
                  <c:v>-720.36180283396209</c:v>
                </c:pt>
                <c:pt idx="98">
                  <c:v>-720.36180283396209</c:v>
                </c:pt>
                <c:pt idx="99">
                  <c:v>-720.36180283396209</c:v>
                </c:pt>
                <c:pt idx="100">
                  <c:v>-720.36180283396209</c:v>
                </c:pt>
                <c:pt idx="101">
                  <c:v>-720.36180283396209</c:v>
                </c:pt>
                <c:pt idx="102">
                  <c:v>-720.36180283396209</c:v>
                </c:pt>
                <c:pt idx="103">
                  <c:v>-720.36180283396209</c:v>
                </c:pt>
                <c:pt idx="104">
                  <c:v>-720.36180283396209</c:v>
                </c:pt>
                <c:pt idx="105">
                  <c:v>-720.36180283396209</c:v>
                </c:pt>
                <c:pt idx="106">
                  <c:v>-720.36180283396209</c:v>
                </c:pt>
                <c:pt idx="107">
                  <c:v>-720.36180283396209</c:v>
                </c:pt>
                <c:pt idx="108">
                  <c:v>-720.36180283396209</c:v>
                </c:pt>
                <c:pt idx="109">
                  <c:v>-720.36180283396209</c:v>
                </c:pt>
              </c:numCache>
            </c:numRef>
          </c:yVal>
          <c:smooth val="0"/>
          <c:extLst>
            <c:ext xmlns:c16="http://schemas.microsoft.com/office/drawing/2014/chart" uri="{C3380CC4-5D6E-409C-BE32-E72D297353CC}">
              <c16:uniqueId val="{00000001-DE98-49D5-AFDA-582D0982E559}"/>
            </c:ext>
          </c:extLst>
        </c:ser>
        <c:ser>
          <c:idx val="1"/>
          <c:order val="2"/>
          <c:tx>
            <c:strRef>
              <c:f>'04-07-25-Scen6-Good,16hr'!$AN$1</c:f>
              <c:strCache>
                <c:ptCount val="1"/>
                <c:pt idx="0">
                  <c:v>Bedrock</c:v>
                </c:pt>
              </c:strCache>
            </c:strRef>
          </c:tx>
          <c:spPr>
            <a:ln w="19050" cap="rnd">
              <a:solidFill>
                <a:schemeClr val="tx1"/>
              </a:solidFill>
              <a:round/>
            </a:ln>
            <a:effectLst/>
          </c:spPr>
          <c:marker>
            <c:symbol val="none"/>
          </c:marker>
          <c:dPt>
            <c:idx val="60"/>
            <c:marker>
              <c:symbol val="none"/>
            </c:marker>
            <c:bubble3D val="0"/>
            <c:extLst>
              <c:ext xmlns:c16="http://schemas.microsoft.com/office/drawing/2014/chart" uri="{C3380CC4-5D6E-409C-BE32-E72D297353CC}">
                <c16:uniqueId val="{00000002-DE98-49D5-AFDA-582D0982E559}"/>
              </c:ext>
            </c:extLst>
          </c:dPt>
          <c:xVal>
            <c:numRef>
              <c:f>'04-07-25-Scen6-Good,16hr'!$A$3:$A$112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'04-07-25-Scen6-Good,16hr'!$AN$3:$AN$112</c:f>
              <c:numCache>
                <c:formatCode>General</c:formatCode>
                <c:ptCount val="110"/>
                <c:pt idx="0">
                  <c:v>-720</c:v>
                </c:pt>
                <c:pt idx="1">
                  <c:v>-720</c:v>
                </c:pt>
                <c:pt idx="2">
                  <c:v>-720</c:v>
                </c:pt>
                <c:pt idx="3">
                  <c:v>-720</c:v>
                </c:pt>
                <c:pt idx="4">
                  <c:v>-720</c:v>
                </c:pt>
                <c:pt idx="5">
                  <c:v>-720</c:v>
                </c:pt>
                <c:pt idx="6">
                  <c:v>-720</c:v>
                </c:pt>
                <c:pt idx="7">
                  <c:v>-720</c:v>
                </c:pt>
                <c:pt idx="8">
                  <c:v>-720</c:v>
                </c:pt>
                <c:pt idx="9">
                  <c:v>-720</c:v>
                </c:pt>
                <c:pt idx="10">
                  <c:v>-720</c:v>
                </c:pt>
                <c:pt idx="11">
                  <c:v>-720</c:v>
                </c:pt>
                <c:pt idx="12">
                  <c:v>-720</c:v>
                </c:pt>
                <c:pt idx="13">
                  <c:v>-720</c:v>
                </c:pt>
                <c:pt idx="14">
                  <c:v>-720</c:v>
                </c:pt>
                <c:pt idx="15">
                  <c:v>-720</c:v>
                </c:pt>
                <c:pt idx="16">
                  <c:v>-720</c:v>
                </c:pt>
                <c:pt idx="17">
                  <c:v>-720</c:v>
                </c:pt>
                <c:pt idx="18">
                  <c:v>-720</c:v>
                </c:pt>
                <c:pt idx="19">
                  <c:v>-720</c:v>
                </c:pt>
                <c:pt idx="20">
                  <c:v>-720</c:v>
                </c:pt>
                <c:pt idx="21">
                  <c:v>-720</c:v>
                </c:pt>
                <c:pt idx="22">
                  <c:v>-720</c:v>
                </c:pt>
                <c:pt idx="23">
                  <c:v>-720</c:v>
                </c:pt>
                <c:pt idx="24">
                  <c:v>-720</c:v>
                </c:pt>
                <c:pt idx="25">
                  <c:v>-720</c:v>
                </c:pt>
                <c:pt idx="26">
                  <c:v>-720</c:v>
                </c:pt>
                <c:pt idx="27">
                  <c:v>-720</c:v>
                </c:pt>
                <c:pt idx="28">
                  <c:v>-720</c:v>
                </c:pt>
                <c:pt idx="29">
                  <c:v>-720</c:v>
                </c:pt>
                <c:pt idx="30">
                  <c:v>-720</c:v>
                </c:pt>
                <c:pt idx="31">
                  <c:v>-720</c:v>
                </c:pt>
                <c:pt idx="32">
                  <c:v>-720</c:v>
                </c:pt>
                <c:pt idx="33">
                  <c:v>-720</c:v>
                </c:pt>
                <c:pt idx="34">
                  <c:v>-720</c:v>
                </c:pt>
                <c:pt idx="35">
                  <c:v>-720</c:v>
                </c:pt>
                <c:pt idx="36">
                  <c:v>-720</c:v>
                </c:pt>
                <c:pt idx="37">
                  <c:v>-720</c:v>
                </c:pt>
                <c:pt idx="38">
                  <c:v>-720</c:v>
                </c:pt>
                <c:pt idx="39">
                  <c:v>-720</c:v>
                </c:pt>
                <c:pt idx="40">
                  <c:v>-720</c:v>
                </c:pt>
                <c:pt idx="41">
                  <c:v>-720</c:v>
                </c:pt>
                <c:pt idx="42">
                  <c:v>-720</c:v>
                </c:pt>
                <c:pt idx="43">
                  <c:v>-720</c:v>
                </c:pt>
                <c:pt idx="44">
                  <c:v>-720</c:v>
                </c:pt>
                <c:pt idx="45">
                  <c:v>-720</c:v>
                </c:pt>
                <c:pt idx="46">
                  <c:v>-720</c:v>
                </c:pt>
                <c:pt idx="47">
                  <c:v>-720</c:v>
                </c:pt>
                <c:pt idx="48">
                  <c:v>-720</c:v>
                </c:pt>
                <c:pt idx="49">
                  <c:v>-720</c:v>
                </c:pt>
                <c:pt idx="50">
                  <c:v>-720</c:v>
                </c:pt>
                <c:pt idx="51">
                  <c:v>-720</c:v>
                </c:pt>
                <c:pt idx="52">
                  <c:v>-720</c:v>
                </c:pt>
                <c:pt idx="53">
                  <c:v>-720</c:v>
                </c:pt>
                <c:pt idx="54">
                  <c:v>-720</c:v>
                </c:pt>
                <c:pt idx="55">
                  <c:v>-720</c:v>
                </c:pt>
                <c:pt idx="56">
                  <c:v>-720</c:v>
                </c:pt>
                <c:pt idx="57">
                  <c:v>-720</c:v>
                </c:pt>
                <c:pt idx="58">
                  <c:v>-720</c:v>
                </c:pt>
                <c:pt idx="59">
                  <c:v>-720</c:v>
                </c:pt>
                <c:pt idx="60">
                  <c:v>-720</c:v>
                </c:pt>
                <c:pt idx="61">
                  <c:v>-720</c:v>
                </c:pt>
                <c:pt idx="62">
                  <c:v>-720</c:v>
                </c:pt>
                <c:pt idx="63">
                  <c:v>-720</c:v>
                </c:pt>
                <c:pt idx="64">
                  <c:v>-720</c:v>
                </c:pt>
                <c:pt idx="65">
                  <c:v>-720</c:v>
                </c:pt>
                <c:pt idx="66">
                  <c:v>-720</c:v>
                </c:pt>
                <c:pt idx="67">
                  <c:v>-720</c:v>
                </c:pt>
                <c:pt idx="68">
                  <c:v>-720</c:v>
                </c:pt>
                <c:pt idx="69">
                  <c:v>-720</c:v>
                </c:pt>
                <c:pt idx="70">
                  <c:v>-720</c:v>
                </c:pt>
                <c:pt idx="71">
                  <c:v>-720</c:v>
                </c:pt>
                <c:pt idx="72">
                  <c:v>-720</c:v>
                </c:pt>
                <c:pt idx="73">
                  <c:v>-720</c:v>
                </c:pt>
                <c:pt idx="74">
                  <c:v>-720</c:v>
                </c:pt>
                <c:pt idx="75">
                  <c:v>-720</c:v>
                </c:pt>
                <c:pt idx="76">
                  <c:v>-720</c:v>
                </c:pt>
                <c:pt idx="77">
                  <c:v>-720</c:v>
                </c:pt>
                <c:pt idx="78">
                  <c:v>-720</c:v>
                </c:pt>
                <c:pt idx="79">
                  <c:v>-720</c:v>
                </c:pt>
                <c:pt idx="80">
                  <c:v>-720</c:v>
                </c:pt>
                <c:pt idx="81">
                  <c:v>-720</c:v>
                </c:pt>
                <c:pt idx="82">
                  <c:v>-720</c:v>
                </c:pt>
                <c:pt idx="83">
                  <c:v>-720</c:v>
                </c:pt>
                <c:pt idx="84">
                  <c:v>-720</c:v>
                </c:pt>
                <c:pt idx="85">
                  <c:v>-720</c:v>
                </c:pt>
                <c:pt idx="86">
                  <c:v>-720</c:v>
                </c:pt>
                <c:pt idx="87">
                  <c:v>-720</c:v>
                </c:pt>
                <c:pt idx="88">
                  <c:v>-720</c:v>
                </c:pt>
                <c:pt idx="89">
                  <c:v>-720</c:v>
                </c:pt>
                <c:pt idx="90">
                  <c:v>-720</c:v>
                </c:pt>
                <c:pt idx="91">
                  <c:v>-720</c:v>
                </c:pt>
                <c:pt idx="92">
                  <c:v>-720</c:v>
                </c:pt>
                <c:pt idx="93">
                  <c:v>-720</c:v>
                </c:pt>
                <c:pt idx="94">
                  <c:v>-720</c:v>
                </c:pt>
                <c:pt idx="95">
                  <c:v>-720</c:v>
                </c:pt>
                <c:pt idx="96">
                  <c:v>-720</c:v>
                </c:pt>
                <c:pt idx="97">
                  <c:v>-720</c:v>
                </c:pt>
                <c:pt idx="98">
                  <c:v>-720</c:v>
                </c:pt>
                <c:pt idx="99">
                  <c:v>-720</c:v>
                </c:pt>
                <c:pt idx="100">
                  <c:v>-720</c:v>
                </c:pt>
                <c:pt idx="101">
                  <c:v>-720</c:v>
                </c:pt>
                <c:pt idx="102">
                  <c:v>-720</c:v>
                </c:pt>
                <c:pt idx="103">
                  <c:v>-720</c:v>
                </c:pt>
                <c:pt idx="104">
                  <c:v>-720</c:v>
                </c:pt>
                <c:pt idx="105">
                  <c:v>-720</c:v>
                </c:pt>
                <c:pt idx="106">
                  <c:v>-720</c:v>
                </c:pt>
                <c:pt idx="107">
                  <c:v>-720</c:v>
                </c:pt>
                <c:pt idx="108">
                  <c:v>-720</c:v>
                </c:pt>
                <c:pt idx="109">
                  <c:v>-720</c:v>
                </c:pt>
              </c:numCache>
            </c:numRef>
          </c:yVal>
          <c:smooth val="0"/>
          <c:extLst>
            <c:ext xmlns:c16="http://schemas.microsoft.com/office/drawing/2014/chart" uri="{C3380CC4-5D6E-409C-BE32-E72D297353CC}">
              <c16:uniqueId val="{00000003-DE98-49D5-AFDA-582D0982E559}"/>
            </c:ext>
          </c:extLst>
        </c:ser>
        <c:ser>
          <c:idx val="2"/>
          <c:order val="3"/>
          <c:tx>
            <c:strRef>
              <c:f>'04-07-25-Scen6-Good,16hr'!$AO$1</c:f>
              <c:strCache>
                <c:ptCount val="1"/>
                <c:pt idx="0">
                  <c:v>10,000YBP Min</c:v>
                </c:pt>
              </c:strCache>
            </c:strRef>
          </c:tx>
          <c:spPr>
            <a:ln w="19050" cap="rnd">
              <a:solidFill>
                <a:srgbClr val="FFC000"/>
              </a:solidFill>
              <a:prstDash val="sysDot"/>
              <a:round/>
            </a:ln>
            <a:effectLst/>
          </c:spPr>
          <c:marker>
            <c:symbol val="none"/>
          </c:marker>
          <c:xVal>
            <c:numRef>
              <c:f>'04-07-25-Scen6-Good,16hr'!$A$3:$A$112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'04-07-25-Scen6-Good,16hr'!$AO$3:$AO$112</c:f>
              <c:numCache>
                <c:formatCode>General</c:formatCode>
                <c:ptCount val="110"/>
                <c:pt idx="0">
                  <c:v>-624</c:v>
                </c:pt>
                <c:pt idx="1">
                  <c:v>-624</c:v>
                </c:pt>
                <c:pt idx="2">
                  <c:v>-624</c:v>
                </c:pt>
                <c:pt idx="3">
                  <c:v>-624</c:v>
                </c:pt>
                <c:pt idx="4">
                  <c:v>-624</c:v>
                </c:pt>
                <c:pt idx="5">
                  <c:v>-624</c:v>
                </c:pt>
                <c:pt idx="6">
                  <c:v>-624</c:v>
                </c:pt>
                <c:pt idx="7">
                  <c:v>-624</c:v>
                </c:pt>
                <c:pt idx="8">
                  <c:v>-624</c:v>
                </c:pt>
                <c:pt idx="9">
                  <c:v>-624</c:v>
                </c:pt>
                <c:pt idx="10">
                  <c:v>-624</c:v>
                </c:pt>
                <c:pt idx="11">
                  <c:v>-624</c:v>
                </c:pt>
                <c:pt idx="12">
                  <c:v>-624</c:v>
                </c:pt>
                <c:pt idx="13">
                  <c:v>-624</c:v>
                </c:pt>
                <c:pt idx="14">
                  <c:v>-624</c:v>
                </c:pt>
                <c:pt idx="15">
                  <c:v>-624</c:v>
                </c:pt>
                <c:pt idx="16">
                  <c:v>-624</c:v>
                </c:pt>
                <c:pt idx="17">
                  <c:v>-624</c:v>
                </c:pt>
                <c:pt idx="18">
                  <c:v>-624</c:v>
                </c:pt>
                <c:pt idx="19">
                  <c:v>-624</c:v>
                </c:pt>
                <c:pt idx="20">
                  <c:v>-624</c:v>
                </c:pt>
                <c:pt idx="21">
                  <c:v>-624</c:v>
                </c:pt>
                <c:pt idx="22">
                  <c:v>-624</c:v>
                </c:pt>
                <c:pt idx="23">
                  <c:v>-624</c:v>
                </c:pt>
                <c:pt idx="24">
                  <c:v>-624</c:v>
                </c:pt>
                <c:pt idx="25">
                  <c:v>-624</c:v>
                </c:pt>
                <c:pt idx="26">
                  <c:v>-624</c:v>
                </c:pt>
                <c:pt idx="27">
                  <c:v>-624</c:v>
                </c:pt>
                <c:pt idx="28">
                  <c:v>-624</c:v>
                </c:pt>
                <c:pt idx="29">
                  <c:v>-624</c:v>
                </c:pt>
                <c:pt idx="30">
                  <c:v>-624</c:v>
                </c:pt>
                <c:pt idx="31">
                  <c:v>-624</c:v>
                </c:pt>
                <c:pt idx="32">
                  <c:v>-624</c:v>
                </c:pt>
                <c:pt idx="33">
                  <c:v>-624</c:v>
                </c:pt>
                <c:pt idx="34">
                  <c:v>-624</c:v>
                </c:pt>
                <c:pt idx="35">
                  <c:v>-624</c:v>
                </c:pt>
                <c:pt idx="36">
                  <c:v>-624</c:v>
                </c:pt>
                <c:pt idx="37">
                  <c:v>-624</c:v>
                </c:pt>
                <c:pt idx="38">
                  <c:v>-624</c:v>
                </c:pt>
                <c:pt idx="39">
                  <c:v>-624</c:v>
                </c:pt>
                <c:pt idx="40">
                  <c:v>-624</c:v>
                </c:pt>
                <c:pt idx="41">
                  <c:v>-624</c:v>
                </c:pt>
                <c:pt idx="42">
                  <c:v>-624</c:v>
                </c:pt>
                <c:pt idx="43">
                  <c:v>-624</c:v>
                </c:pt>
                <c:pt idx="44">
                  <c:v>-624</c:v>
                </c:pt>
                <c:pt idx="45">
                  <c:v>-624</c:v>
                </c:pt>
                <c:pt idx="46">
                  <c:v>-624</c:v>
                </c:pt>
                <c:pt idx="47">
                  <c:v>-624</c:v>
                </c:pt>
                <c:pt idx="48">
                  <c:v>-624</c:v>
                </c:pt>
                <c:pt idx="49">
                  <c:v>-624</c:v>
                </c:pt>
                <c:pt idx="50">
                  <c:v>-624</c:v>
                </c:pt>
                <c:pt idx="51">
                  <c:v>-624</c:v>
                </c:pt>
                <c:pt idx="52">
                  <c:v>-624</c:v>
                </c:pt>
                <c:pt idx="53">
                  <c:v>-624</c:v>
                </c:pt>
                <c:pt idx="54">
                  <c:v>-624</c:v>
                </c:pt>
                <c:pt idx="55">
                  <c:v>-624</c:v>
                </c:pt>
                <c:pt idx="56">
                  <c:v>-624</c:v>
                </c:pt>
                <c:pt idx="57">
                  <c:v>-624</c:v>
                </c:pt>
                <c:pt idx="58">
                  <c:v>-624</c:v>
                </c:pt>
                <c:pt idx="59">
                  <c:v>-624</c:v>
                </c:pt>
                <c:pt idx="60">
                  <c:v>-624</c:v>
                </c:pt>
                <c:pt idx="61">
                  <c:v>-624</c:v>
                </c:pt>
                <c:pt idx="62">
                  <c:v>-624</c:v>
                </c:pt>
                <c:pt idx="63">
                  <c:v>-624</c:v>
                </c:pt>
                <c:pt idx="64">
                  <c:v>-624</c:v>
                </c:pt>
                <c:pt idx="65">
                  <c:v>-624</c:v>
                </c:pt>
                <c:pt idx="66">
                  <c:v>-624</c:v>
                </c:pt>
                <c:pt idx="67">
                  <c:v>-624</c:v>
                </c:pt>
                <c:pt idx="68">
                  <c:v>-624</c:v>
                </c:pt>
                <c:pt idx="69">
                  <c:v>-624</c:v>
                </c:pt>
                <c:pt idx="70">
                  <c:v>-624</c:v>
                </c:pt>
                <c:pt idx="71">
                  <c:v>-624</c:v>
                </c:pt>
                <c:pt idx="72">
                  <c:v>-624</c:v>
                </c:pt>
                <c:pt idx="73">
                  <c:v>-624</c:v>
                </c:pt>
                <c:pt idx="74">
                  <c:v>-624</c:v>
                </c:pt>
                <c:pt idx="75">
                  <c:v>-624</c:v>
                </c:pt>
                <c:pt idx="76">
                  <c:v>-624</c:v>
                </c:pt>
                <c:pt idx="77">
                  <c:v>-624</c:v>
                </c:pt>
                <c:pt idx="78">
                  <c:v>-624</c:v>
                </c:pt>
                <c:pt idx="79">
                  <c:v>-624</c:v>
                </c:pt>
                <c:pt idx="80">
                  <c:v>-624</c:v>
                </c:pt>
                <c:pt idx="81">
                  <c:v>-624</c:v>
                </c:pt>
                <c:pt idx="82">
                  <c:v>-624</c:v>
                </c:pt>
                <c:pt idx="83">
                  <c:v>-624</c:v>
                </c:pt>
                <c:pt idx="84">
                  <c:v>-624</c:v>
                </c:pt>
                <c:pt idx="85">
                  <c:v>-624</c:v>
                </c:pt>
                <c:pt idx="86">
                  <c:v>-624</c:v>
                </c:pt>
                <c:pt idx="87">
                  <c:v>-624</c:v>
                </c:pt>
                <c:pt idx="88">
                  <c:v>-624</c:v>
                </c:pt>
                <c:pt idx="89">
                  <c:v>-624</c:v>
                </c:pt>
                <c:pt idx="90">
                  <c:v>-624</c:v>
                </c:pt>
                <c:pt idx="91">
                  <c:v>-624</c:v>
                </c:pt>
                <c:pt idx="92">
                  <c:v>-624</c:v>
                </c:pt>
                <c:pt idx="93">
                  <c:v>-624</c:v>
                </c:pt>
                <c:pt idx="94">
                  <c:v>-624</c:v>
                </c:pt>
                <c:pt idx="95">
                  <c:v>-624</c:v>
                </c:pt>
                <c:pt idx="96">
                  <c:v>-624</c:v>
                </c:pt>
                <c:pt idx="97">
                  <c:v>-624</c:v>
                </c:pt>
                <c:pt idx="98">
                  <c:v>-624</c:v>
                </c:pt>
                <c:pt idx="99">
                  <c:v>-624</c:v>
                </c:pt>
                <c:pt idx="100">
                  <c:v>-624</c:v>
                </c:pt>
                <c:pt idx="101">
                  <c:v>-624</c:v>
                </c:pt>
                <c:pt idx="102">
                  <c:v>-624</c:v>
                </c:pt>
                <c:pt idx="103">
                  <c:v>-624</c:v>
                </c:pt>
                <c:pt idx="104">
                  <c:v>-624</c:v>
                </c:pt>
                <c:pt idx="105">
                  <c:v>-624</c:v>
                </c:pt>
                <c:pt idx="106">
                  <c:v>-624</c:v>
                </c:pt>
                <c:pt idx="107">
                  <c:v>-624</c:v>
                </c:pt>
                <c:pt idx="108">
                  <c:v>-624</c:v>
                </c:pt>
                <c:pt idx="109">
                  <c:v>-624</c:v>
                </c:pt>
              </c:numCache>
            </c:numRef>
          </c:yVal>
          <c:smooth val="0"/>
          <c:extLst>
            <c:ext xmlns:c16="http://schemas.microsoft.com/office/drawing/2014/chart" uri="{C3380CC4-5D6E-409C-BE32-E72D297353CC}">
              <c16:uniqueId val="{00000004-DE98-49D5-AFDA-582D0982E559}"/>
            </c:ext>
          </c:extLst>
        </c:ser>
        <c:ser>
          <c:idx val="3"/>
          <c:order val="4"/>
          <c:tx>
            <c:strRef>
              <c:f>'04-07-25-Scen6-Good,16hr'!$AP$1</c:f>
              <c:strCache>
                <c:ptCount val="1"/>
                <c:pt idx="0">
                  <c:v>10,000YBP Max</c:v>
                </c:pt>
              </c:strCache>
            </c:strRef>
          </c:tx>
          <c:spPr>
            <a:ln w="19050" cap="rnd">
              <a:solidFill>
                <a:srgbClr val="FF0000"/>
              </a:solidFill>
              <a:prstDash val="sysDot"/>
              <a:round/>
            </a:ln>
            <a:effectLst/>
          </c:spPr>
          <c:marker>
            <c:symbol val="none"/>
          </c:marker>
          <c:xVal>
            <c:numRef>
              <c:f>'04-07-25-Scen6-Good,16hr'!$A$3:$A$112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'04-07-25-Scen6-Good,16hr'!$AP$3:$AP$112</c:f>
              <c:numCache>
                <c:formatCode>General</c:formatCode>
                <c:ptCount val="110"/>
                <c:pt idx="0">
                  <c:v>-688</c:v>
                </c:pt>
                <c:pt idx="1">
                  <c:v>-688</c:v>
                </c:pt>
                <c:pt idx="2">
                  <c:v>-688</c:v>
                </c:pt>
                <c:pt idx="3">
                  <c:v>-688</c:v>
                </c:pt>
                <c:pt idx="4">
                  <c:v>-688</c:v>
                </c:pt>
                <c:pt idx="5">
                  <c:v>-688</c:v>
                </c:pt>
                <c:pt idx="6">
                  <c:v>-688</c:v>
                </c:pt>
                <c:pt idx="7">
                  <c:v>-688</c:v>
                </c:pt>
                <c:pt idx="8">
                  <c:v>-688</c:v>
                </c:pt>
                <c:pt idx="9">
                  <c:v>-688</c:v>
                </c:pt>
                <c:pt idx="10">
                  <c:v>-688</c:v>
                </c:pt>
                <c:pt idx="11">
                  <c:v>-688</c:v>
                </c:pt>
                <c:pt idx="12">
                  <c:v>-688</c:v>
                </c:pt>
                <c:pt idx="13">
                  <c:v>-688</c:v>
                </c:pt>
                <c:pt idx="14">
                  <c:v>-688</c:v>
                </c:pt>
                <c:pt idx="15">
                  <c:v>-688</c:v>
                </c:pt>
                <c:pt idx="16">
                  <c:v>-688</c:v>
                </c:pt>
                <c:pt idx="17">
                  <c:v>-688</c:v>
                </c:pt>
                <c:pt idx="18">
                  <c:v>-688</c:v>
                </c:pt>
                <c:pt idx="19">
                  <c:v>-688</c:v>
                </c:pt>
                <c:pt idx="20">
                  <c:v>-688</c:v>
                </c:pt>
                <c:pt idx="21">
                  <c:v>-688</c:v>
                </c:pt>
                <c:pt idx="22">
                  <c:v>-688</c:v>
                </c:pt>
                <c:pt idx="23">
                  <c:v>-688</c:v>
                </c:pt>
                <c:pt idx="24">
                  <c:v>-688</c:v>
                </c:pt>
                <c:pt idx="25">
                  <c:v>-688</c:v>
                </c:pt>
                <c:pt idx="26">
                  <c:v>-688</c:v>
                </c:pt>
                <c:pt idx="27">
                  <c:v>-688</c:v>
                </c:pt>
                <c:pt idx="28">
                  <c:v>-688</c:v>
                </c:pt>
                <c:pt idx="29">
                  <c:v>-688</c:v>
                </c:pt>
                <c:pt idx="30">
                  <c:v>-688</c:v>
                </c:pt>
                <c:pt idx="31">
                  <c:v>-688</c:v>
                </c:pt>
                <c:pt idx="32">
                  <c:v>-688</c:v>
                </c:pt>
                <c:pt idx="33">
                  <c:v>-688</c:v>
                </c:pt>
                <c:pt idx="34">
                  <c:v>-688</c:v>
                </c:pt>
                <c:pt idx="35">
                  <c:v>-688</c:v>
                </c:pt>
                <c:pt idx="36">
                  <c:v>-688</c:v>
                </c:pt>
                <c:pt idx="37">
                  <c:v>-688</c:v>
                </c:pt>
                <c:pt idx="38">
                  <c:v>-688</c:v>
                </c:pt>
                <c:pt idx="39">
                  <c:v>-688</c:v>
                </c:pt>
                <c:pt idx="40">
                  <c:v>-688</c:v>
                </c:pt>
                <c:pt idx="41">
                  <c:v>-688</c:v>
                </c:pt>
                <c:pt idx="42">
                  <c:v>-688</c:v>
                </c:pt>
                <c:pt idx="43">
                  <c:v>-688</c:v>
                </c:pt>
                <c:pt idx="44">
                  <c:v>-688</c:v>
                </c:pt>
                <c:pt idx="45">
                  <c:v>-688</c:v>
                </c:pt>
                <c:pt idx="46">
                  <c:v>-688</c:v>
                </c:pt>
                <c:pt idx="47">
                  <c:v>-688</c:v>
                </c:pt>
                <c:pt idx="48">
                  <c:v>-688</c:v>
                </c:pt>
                <c:pt idx="49">
                  <c:v>-688</c:v>
                </c:pt>
                <c:pt idx="50">
                  <c:v>-688</c:v>
                </c:pt>
                <c:pt idx="51">
                  <c:v>-688</c:v>
                </c:pt>
                <c:pt idx="52">
                  <c:v>-688</c:v>
                </c:pt>
                <c:pt idx="53">
                  <c:v>-688</c:v>
                </c:pt>
                <c:pt idx="54">
                  <c:v>-688</c:v>
                </c:pt>
                <c:pt idx="55">
                  <c:v>-688</c:v>
                </c:pt>
                <c:pt idx="56">
                  <c:v>-688</c:v>
                </c:pt>
                <c:pt idx="57">
                  <c:v>-688</c:v>
                </c:pt>
                <c:pt idx="58">
                  <c:v>-688</c:v>
                </c:pt>
                <c:pt idx="59">
                  <c:v>-688</c:v>
                </c:pt>
                <c:pt idx="60">
                  <c:v>-688</c:v>
                </c:pt>
                <c:pt idx="61">
                  <c:v>-688</c:v>
                </c:pt>
                <c:pt idx="62">
                  <c:v>-688</c:v>
                </c:pt>
                <c:pt idx="63">
                  <c:v>-688</c:v>
                </c:pt>
                <c:pt idx="64">
                  <c:v>-688</c:v>
                </c:pt>
                <c:pt idx="65">
                  <c:v>-688</c:v>
                </c:pt>
                <c:pt idx="66">
                  <c:v>-688</c:v>
                </c:pt>
                <c:pt idx="67">
                  <c:v>-688</c:v>
                </c:pt>
                <c:pt idx="68">
                  <c:v>-688</c:v>
                </c:pt>
                <c:pt idx="69">
                  <c:v>-688</c:v>
                </c:pt>
                <c:pt idx="70">
                  <c:v>-688</c:v>
                </c:pt>
                <c:pt idx="71">
                  <c:v>-688</c:v>
                </c:pt>
                <c:pt idx="72">
                  <c:v>-688</c:v>
                </c:pt>
                <c:pt idx="73">
                  <c:v>-688</c:v>
                </c:pt>
                <c:pt idx="74">
                  <c:v>-688</c:v>
                </c:pt>
                <c:pt idx="75">
                  <c:v>-688</c:v>
                </c:pt>
                <c:pt idx="76">
                  <c:v>-688</c:v>
                </c:pt>
                <c:pt idx="77">
                  <c:v>-688</c:v>
                </c:pt>
                <c:pt idx="78">
                  <c:v>-688</c:v>
                </c:pt>
                <c:pt idx="79">
                  <c:v>-688</c:v>
                </c:pt>
                <c:pt idx="80">
                  <c:v>-688</c:v>
                </c:pt>
                <c:pt idx="81">
                  <c:v>-688</c:v>
                </c:pt>
                <c:pt idx="82">
                  <c:v>-688</c:v>
                </c:pt>
                <c:pt idx="83">
                  <c:v>-688</c:v>
                </c:pt>
                <c:pt idx="84">
                  <c:v>-688</c:v>
                </c:pt>
                <c:pt idx="85">
                  <c:v>-688</c:v>
                </c:pt>
                <c:pt idx="86">
                  <c:v>-688</c:v>
                </c:pt>
                <c:pt idx="87">
                  <c:v>-688</c:v>
                </c:pt>
                <c:pt idx="88">
                  <c:v>-688</c:v>
                </c:pt>
                <c:pt idx="89">
                  <c:v>-688</c:v>
                </c:pt>
                <c:pt idx="90">
                  <c:v>-688</c:v>
                </c:pt>
                <c:pt idx="91">
                  <c:v>-688</c:v>
                </c:pt>
                <c:pt idx="92">
                  <c:v>-688</c:v>
                </c:pt>
                <c:pt idx="93">
                  <c:v>-688</c:v>
                </c:pt>
                <c:pt idx="94">
                  <c:v>-688</c:v>
                </c:pt>
                <c:pt idx="95">
                  <c:v>-688</c:v>
                </c:pt>
                <c:pt idx="96">
                  <c:v>-688</c:v>
                </c:pt>
                <c:pt idx="97">
                  <c:v>-688</c:v>
                </c:pt>
                <c:pt idx="98">
                  <c:v>-688</c:v>
                </c:pt>
                <c:pt idx="99">
                  <c:v>-688</c:v>
                </c:pt>
                <c:pt idx="100">
                  <c:v>-688</c:v>
                </c:pt>
                <c:pt idx="101">
                  <c:v>-688</c:v>
                </c:pt>
                <c:pt idx="102">
                  <c:v>-688</c:v>
                </c:pt>
                <c:pt idx="103">
                  <c:v>-688</c:v>
                </c:pt>
                <c:pt idx="104">
                  <c:v>-688</c:v>
                </c:pt>
                <c:pt idx="105">
                  <c:v>-688</c:v>
                </c:pt>
                <c:pt idx="106">
                  <c:v>-688</c:v>
                </c:pt>
                <c:pt idx="107">
                  <c:v>-688</c:v>
                </c:pt>
                <c:pt idx="108">
                  <c:v>-688</c:v>
                </c:pt>
                <c:pt idx="109">
                  <c:v>-688</c:v>
                </c:pt>
              </c:numCache>
            </c:numRef>
          </c:yVal>
          <c:smooth val="0"/>
          <c:extLst>
            <c:ext xmlns:c16="http://schemas.microsoft.com/office/drawing/2014/chart" uri="{C3380CC4-5D6E-409C-BE32-E72D297353CC}">
              <c16:uniqueId val="{00000005-DE98-49D5-AFDA-582D0982E559}"/>
            </c:ext>
          </c:extLst>
        </c:ser>
        <c:ser>
          <c:idx val="4"/>
          <c:order val="5"/>
          <c:tx>
            <c:strRef>
              <c:f>'04-07-25-Scen6-Good,16hr'!$AK$1</c:f>
              <c:strCache>
                <c:ptCount val="1"/>
                <c:pt idx="0">
                  <c:v>Input</c:v>
                </c:pt>
              </c:strCache>
            </c:strRef>
          </c:tx>
          <c:spPr>
            <a:ln w="19050" cap="rnd">
              <a:noFill/>
              <a:round/>
            </a:ln>
            <a:effectLst/>
          </c:spPr>
          <c:marker>
            <c:symbol val="triangle"/>
            <c:size val="12"/>
            <c:spPr>
              <a:solidFill>
                <a:srgbClr val="7030A0"/>
              </a:solidFill>
              <a:ln w="9525">
                <a:solidFill>
                  <a:srgbClr val="7030A0"/>
                </a:solidFill>
              </a:ln>
              <a:effectLst/>
            </c:spPr>
          </c:marker>
          <c:dPt>
            <c:idx val="0"/>
            <c:marker>
              <c:symbol val="triangle"/>
              <c:size val="12"/>
              <c:spPr>
                <a:solidFill>
                  <a:srgbClr val="7030A0"/>
                </a:solidFill>
                <a:ln w="9525">
                  <a:solidFill>
                    <a:srgbClr val="7030A0"/>
                  </a:solidFill>
                </a:ln>
                <a:effectLst/>
              </c:spPr>
            </c:marker>
            <c:bubble3D val="0"/>
            <c:extLst>
              <c:ext xmlns:c16="http://schemas.microsoft.com/office/drawing/2014/chart" uri="{C3380CC4-5D6E-409C-BE32-E72D297353CC}">
                <c16:uniqueId val="{00000006-DE98-49D5-AFDA-582D0982E559}"/>
              </c:ext>
            </c:extLst>
          </c:dPt>
          <c:xVal>
            <c:numRef>
              <c:f>'04-07-25-Scen6-Good,16hr'!$BB$4:$BB$5</c:f>
              <c:numCache>
                <c:formatCode>m/d/yyyy</c:formatCode>
                <c:ptCount val="2"/>
                <c:pt idx="0">
                  <c:v>45973</c:v>
                </c:pt>
                <c:pt idx="1">
                  <c:v>45978</c:v>
                </c:pt>
              </c:numCache>
            </c:numRef>
          </c:xVal>
          <c:yVal>
            <c:numLit>
              <c:formatCode>General</c:formatCode>
              <c:ptCount val="2"/>
              <c:pt idx="0">
                <c:v>0</c:v>
              </c:pt>
              <c:pt idx="1">
                <c:v>0</c:v>
              </c:pt>
            </c:numLit>
          </c:yVal>
          <c:smooth val="0"/>
          <c:extLst>
            <c:ext xmlns:c16="http://schemas.microsoft.com/office/drawing/2014/chart" uri="{C3380CC4-5D6E-409C-BE32-E72D297353CC}">
              <c16:uniqueId val="{00000007-DE98-49D5-AFDA-582D0982E559}"/>
            </c:ext>
          </c:extLst>
        </c:ser>
        <c:ser>
          <c:idx val="5"/>
          <c:order val="6"/>
          <c:tx>
            <c:strRef>
              <c:f>'04-07-25-Scen6-Good,16hr'!$AQ$1</c:f>
              <c:strCache>
                <c:ptCount val="1"/>
                <c:pt idx="0">
                  <c:v>Able to Output</c:v>
                </c:pt>
              </c:strCache>
            </c:strRef>
          </c:tx>
          <c:spPr>
            <a:ln w="19050" cap="rnd">
              <a:noFill/>
              <a:round/>
            </a:ln>
            <a:effectLst/>
          </c:spPr>
          <c:marker>
            <c:symbol val="circle"/>
            <c:size val="12"/>
            <c:spPr>
              <a:solidFill>
                <a:srgbClr val="7030A0"/>
              </a:solidFill>
              <a:ln w="9525">
                <a:solidFill>
                  <a:srgbClr val="7030A0"/>
                </a:solidFill>
              </a:ln>
              <a:effectLst/>
            </c:spPr>
          </c:marker>
          <c:xVal>
            <c:numRef>
              <c:f>'04-07-25-Scen6-Good,16hr'!$A$3:$A$112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'04-07-25-Scen6-Good,16hr'!$AQ$3:$AQ$112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0</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6="http://schemas.microsoft.com/office/drawing/2014/chart" uri="{C3380CC4-5D6E-409C-BE32-E72D297353CC}">
              <c16:uniqueId val="{00000008-DE98-49D5-AFDA-582D0982E559}"/>
            </c:ext>
          </c:extLst>
        </c:ser>
        <c:ser>
          <c:idx val="7"/>
          <c:order val="7"/>
          <c:tx>
            <c:v>Output</c:v>
          </c:tx>
          <c:spPr>
            <a:ln w="19050" cap="rnd">
              <a:noFill/>
              <a:round/>
            </a:ln>
            <a:effectLst/>
          </c:spPr>
          <c:marker>
            <c:symbol val="diamond"/>
            <c:size val="18"/>
            <c:spPr>
              <a:noFill/>
              <a:ln w="57150">
                <a:solidFill>
                  <a:srgbClr val="FF0000"/>
                </a:solidFill>
              </a:ln>
              <a:effectLst/>
            </c:spPr>
          </c:marker>
          <c:xVal>
            <c:numRef>
              <c:f>'04-07-25-Scen6-Good,16hr'!$BF$4:$BF$5</c:f>
              <c:numCache>
                <c:formatCode>m/d/yyyy</c:formatCode>
                <c:ptCount val="2"/>
                <c:pt idx="0">
                  <c:v>46043</c:v>
                </c:pt>
                <c:pt idx="1">
                  <c:v>46055</c:v>
                </c:pt>
              </c:numCache>
            </c:numRef>
          </c:xVal>
          <c:yVal>
            <c:numLit>
              <c:formatCode>General</c:formatCode>
              <c:ptCount val="2"/>
              <c:pt idx="0">
                <c:v>0</c:v>
              </c:pt>
              <c:pt idx="1">
                <c:v>0</c:v>
              </c:pt>
            </c:numLit>
          </c:yVal>
          <c:smooth val="0"/>
          <c:extLst>
            <c:ext xmlns:c16="http://schemas.microsoft.com/office/drawing/2014/chart" uri="{C3380CC4-5D6E-409C-BE32-E72D297353CC}">
              <c16:uniqueId val="{00000009-DE98-49D5-AFDA-582D0982E559}"/>
            </c:ext>
          </c:extLst>
        </c:ser>
        <c:ser>
          <c:idx val="12"/>
          <c:order val="8"/>
          <c:tx>
            <c:strRef>
              <c:f>'04-07-25-Scen6-Good,16hr'!$AR$1</c:f>
              <c:strCache>
                <c:ptCount val="1"/>
                <c:pt idx="0">
                  <c:v>Drilling Fuel Planned</c:v>
                </c:pt>
              </c:strCache>
            </c:strRef>
          </c:tx>
          <c:spPr>
            <a:ln w="19050" cap="rnd">
              <a:noFill/>
              <a:round/>
            </a:ln>
            <a:effectLst/>
          </c:spPr>
          <c:marker>
            <c:symbol val="circle"/>
            <c:size val="10"/>
            <c:spPr>
              <a:solidFill>
                <a:schemeClr val="bg1"/>
              </a:solidFill>
              <a:ln w="31750">
                <a:solidFill>
                  <a:srgbClr val="FF0000"/>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DE98-49D5-AFDA-582D0982E559}"/>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DE98-49D5-AFDA-582D0982E559}"/>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DE98-49D5-AFDA-582D0982E559}"/>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DE98-49D5-AFDA-582D0982E559}"/>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DE98-49D5-AFDA-582D0982E559}"/>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DE98-49D5-AFDA-582D0982E559}"/>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DE98-49D5-AFDA-582D0982E559}"/>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DE98-49D5-AFDA-582D0982E559}"/>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DE98-49D5-AFDA-582D0982E559}"/>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DE98-49D5-AFDA-582D0982E559}"/>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DE98-49D5-AFDA-582D0982E559}"/>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DE98-49D5-AFDA-582D0982E559}"/>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DE98-49D5-AFDA-582D0982E559}"/>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DE98-49D5-AFDA-582D0982E559}"/>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DE98-49D5-AFDA-582D0982E559}"/>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DE98-49D5-AFDA-582D0982E559}"/>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DE98-49D5-AFDA-582D0982E559}"/>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DE98-49D5-AFDA-582D0982E559}"/>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DE98-49D5-AFDA-582D0982E559}"/>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DE98-49D5-AFDA-582D0982E559}"/>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DE98-49D5-AFDA-582D0982E559}"/>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DE98-49D5-AFDA-582D0982E559}"/>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DE98-49D5-AFDA-582D0982E559}"/>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DE98-49D5-AFDA-582D0982E559}"/>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DE98-49D5-AFDA-582D0982E559}"/>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DE98-49D5-AFDA-582D0982E559}"/>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DE98-49D5-AFDA-582D0982E559}"/>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DE98-49D5-AFDA-582D0982E559}"/>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DE98-49D5-AFDA-582D0982E559}"/>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DE98-49D5-AFDA-582D0982E559}"/>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DE98-49D5-AFDA-582D0982E559}"/>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DE98-49D5-AFDA-582D0982E559}"/>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DE98-49D5-AFDA-582D0982E559}"/>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DE98-49D5-AFDA-582D0982E559}"/>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DE98-49D5-AFDA-582D0982E559}"/>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DE98-49D5-AFDA-582D0982E559}"/>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DE98-49D5-AFDA-582D0982E559}"/>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DE98-49D5-AFDA-582D0982E559}"/>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DE98-49D5-AFDA-582D0982E559}"/>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DE98-49D5-AFDA-582D0982E559}"/>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DE98-49D5-AFDA-582D0982E559}"/>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DE98-49D5-AFDA-582D0982E559}"/>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DE98-49D5-AFDA-582D0982E559}"/>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DE98-49D5-AFDA-582D0982E559}"/>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DE98-49D5-AFDA-582D0982E559}"/>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DE98-49D5-AFDA-582D0982E559}"/>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DE98-49D5-AFDA-582D0982E559}"/>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DE98-49D5-AFDA-582D0982E559}"/>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DE98-49D5-AFDA-582D0982E559}"/>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DE98-49D5-AFDA-582D0982E559}"/>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DE98-49D5-AFDA-582D0982E559}"/>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DE98-49D5-AFDA-582D0982E559}"/>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DE98-49D5-AFDA-582D0982E559}"/>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DE98-49D5-AFDA-582D0982E559}"/>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DE98-49D5-AFDA-582D0982E559}"/>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DE98-49D5-AFDA-582D0982E559}"/>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DE98-49D5-AFDA-582D0982E559}"/>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DE98-49D5-AFDA-582D0982E559}"/>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DE98-49D5-AFDA-582D0982E559}"/>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DE98-49D5-AFDA-582D0982E559}"/>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DE98-49D5-AFDA-582D0982E559}"/>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7-DE98-49D5-AFDA-582D0982E559}"/>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DE98-49D5-AFDA-582D0982E559}"/>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DE98-49D5-AFDA-582D0982E559}"/>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DE98-49D5-AFDA-582D0982E559}"/>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DE98-49D5-AFDA-582D0982E559}"/>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DE98-49D5-AFDA-582D0982E559}"/>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DE98-49D5-AFDA-582D0982E559}"/>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DE98-49D5-AFDA-582D0982E559}"/>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DE98-49D5-AFDA-582D0982E559}"/>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DE98-49D5-AFDA-582D0982E559}"/>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DE98-49D5-AFDA-582D0982E559}"/>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DE98-49D5-AFDA-582D0982E559}"/>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DE98-49D5-AFDA-582D0982E559}"/>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DE98-49D5-AFDA-582D0982E559}"/>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DE98-49D5-AFDA-582D0982E559}"/>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DE98-49D5-AFDA-582D0982E559}"/>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DE98-49D5-AFDA-582D0982E559}"/>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DE98-49D5-AFDA-582D0982E559}"/>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DE98-49D5-AFDA-582D0982E559}"/>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DE98-49D5-AFDA-582D0982E559}"/>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DE98-49D5-AFDA-582D0982E559}"/>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DE98-49D5-AFDA-582D0982E559}"/>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DE98-49D5-AFDA-582D0982E559}"/>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DE98-49D5-AFDA-582D0982E559}"/>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F-DE98-49D5-AFDA-582D0982E559}"/>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0-DE98-49D5-AFDA-582D0982E559}"/>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1-DE98-49D5-AFDA-582D0982E559}"/>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2-DE98-49D5-AFDA-582D0982E559}"/>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3-DE98-49D5-AFDA-582D0982E559}"/>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4-DE98-49D5-AFDA-582D0982E559}"/>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5-DE98-49D5-AFDA-582D0982E559}"/>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6-DE98-49D5-AFDA-582D0982E559}"/>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7-DE98-49D5-AFDA-582D0982E559}"/>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8-DE98-49D5-AFDA-582D0982E559}"/>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9-DE98-49D5-AFDA-582D0982E559}"/>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A-DE98-49D5-AFDA-582D0982E559}"/>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B-DE98-49D5-AFDA-582D0982E559}"/>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C-DE98-49D5-AFDA-582D0982E559}"/>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D-DE98-49D5-AFDA-582D0982E559}"/>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E-DE98-49D5-AFDA-582D0982E559}"/>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F-DE98-49D5-AFDA-582D0982E559}"/>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0-DE98-49D5-AFDA-582D0982E559}"/>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1-DE98-49D5-AFDA-582D0982E559}"/>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2-DE98-49D5-AFDA-582D0982E559}"/>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3-DE98-49D5-AFDA-582D0982E559}"/>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4-DE98-49D5-AFDA-582D0982E559}"/>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5-DE98-49D5-AFDA-582D0982E559}"/>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6-DE98-49D5-AFDA-582D0982E559}"/>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7-DE98-49D5-AFDA-582D0982E55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FF0000"/>
                      </a:solidFill>
                    </a:ln>
                    <a:solidFill>
                      <a:srgbClr val="FF000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'04-07-25-Scen6-Good,16hr'!$A$3:$A$112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'04-07-25-Scen6-Good,16hr'!$AR$3:$AR$112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'04-07-25-Scen6-Good,16hr'!$X$3:$X$112</c15:f>
                <c15:dlblRangeCache>
                  <c:ptCount val="110"/>
                </c15:dlblRangeCache>
              </c15:datalabelsRange>
            </c:ext>
            <c:ext xmlns:c16="http://schemas.microsoft.com/office/drawing/2014/chart" uri="{C3380CC4-5D6E-409C-BE32-E72D297353CC}">
              <c16:uniqueId val="{00000078-DE98-49D5-AFDA-582D0982E559}"/>
            </c:ext>
          </c:extLst>
        </c:ser>
        <c:ser>
          <c:idx val="13"/>
          <c:order val="9"/>
          <c:tx>
            <c:strRef>
              <c:f>'04-07-25-Scen6-Good,16hr'!$AS$1</c:f>
              <c:strCache>
                <c:ptCount val="1"/>
                <c:pt idx="0">
                  <c:v>Drilling Fuel Still Needed</c:v>
                </c:pt>
              </c:strCache>
            </c:strRef>
          </c:tx>
          <c:spPr>
            <a:ln w="19050" cap="rnd">
              <a:noFill/>
              <a:round/>
            </a:ln>
            <a:effectLst/>
          </c:spPr>
          <c:marker>
            <c:symbol val="x"/>
            <c:size val="10"/>
            <c:spPr>
              <a:solidFill>
                <a:schemeClr val="bg1"/>
              </a:solidFill>
              <a:ln w="31750">
                <a:solidFill>
                  <a:srgbClr val="FF0000"/>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9-DE98-49D5-AFDA-582D0982E559}"/>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A-DE98-49D5-AFDA-582D0982E559}"/>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B-DE98-49D5-AFDA-582D0982E559}"/>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C-DE98-49D5-AFDA-582D0982E559}"/>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D-DE98-49D5-AFDA-582D0982E559}"/>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E-DE98-49D5-AFDA-582D0982E559}"/>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F-DE98-49D5-AFDA-582D0982E559}"/>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0-DE98-49D5-AFDA-582D0982E559}"/>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1-DE98-49D5-AFDA-582D0982E559}"/>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2-DE98-49D5-AFDA-582D0982E559}"/>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3-DE98-49D5-AFDA-582D0982E559}"/>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4-DE98-49D5-AFDA-582D0982E559}"/>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5-DE98-49D5-AFDA-582D0982E559}"/>
                </c:ext>
              </c:extLst>
            </c:dLbl>
            <c:dLbl>
              <c:idx val="13"/>
              <c:tx>
                <c:rich>
                  <a:bodyPr/>
                  <a:lstStyle/>
                  <a:p>
                    <a:fld id="{D6F0A9EF-AA39-4973-A9BF-7DA6A189CE3A}"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6-DE98-49D5-AFDA-582D0982E559}"/>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7-DE98-49D5-AFDA-582D0982E559}"/>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8-DE98-49D5-AFDA-582D0982E559}"/>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9-DE98-49D5-AFDA-582D0982E559}"/>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A-DE98-49D5-AFDA-582D0982E559}"/>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B-DE98-49D5-AFDA-582D0982E559}"/>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C-DE98-49D5-AFDA-582D0982E559}"/>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D-DE98-49D5-AFDA-582D0982E559}"/>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E-DE98-49D5-AFDA-582D0982E559}"/>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F-DE98-49D5-AFDA-582D0982E559}"/>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0-DE98-49D5-AFDA-582D0982E559}"/>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1-DE98-49D5-AFDA-582D0982E559}"/>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2-DE98-49D5-AFDA-582D0982E559}"/>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3-DE98-49D5-AFDA-582D0982E559}"/>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4-DE98-49D5-AFDA-582D0982E559}"/>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5-DE98-49D5-AFDA-582D0982E559}"/>
                </c:ext>
              </c:extLst>
            </c:dLbl>
            <c:dLbl>
              <c:idx val="29"/>
              <c:tx>
                <c:rich>
                  <a:bodyPr/>
                  <a:lstStyle/>
                  <a:p>
                    <a:fld id="{3FF88AD4-EDE9-4F51-AA72-D76599CA9162}"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DE98-49D5-AFDA-582D0982E559}"/>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7-DE98-49D5-AFDA-582D0982E559}"/>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8-DE98-49D5-AFDA-582D0982E559}"/>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9-DE98-49D5-AFDA-582D0982E559}"/>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A-DE98-49D5-AFDA-582D0982E559}"/>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B-DE98-49D5-AFDA-582D0982E559}"/>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C-DE98-49D5-AFDA-582D0982E559}"/>
                </c:ext>
              </c:extLst>
            </c:dLbl>
            <c:dLbl>
              <c:idx val="36"/>
              <c:tx>
                <c:rich>
                  <a:bodyPr/>
                  <a:lstStyle/>
                  <a:p>
                    <a:fld id="{98BE4687-1D33-4328-80F4-E7D8E0A77F37}"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DE98-49D5-AFDA-582D0982E559}"/>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E-DE98-49D5-AFDA-582D0982E559}"/>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F-DE98-49D5-AFDA-582D0982E559}"/>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0-DE98-49D5-AFDA-582D0982E559}"/>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1-DE98-49D5-AFDA-582D0982E559}"/>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2-DE98-49D5-AFDA-582D0982E559}"/>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3-DE98-49D5-AFDA-582D0982E559}"/>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4-DE98-49D5-AFDA-582D0982E559}"/>
                </c:ext>
              </c:extLst>
            </c:dLbl>
            <c:dLbl>
              <c:idx val="44"/>
              <c:tx>
                <c:rich>
                  <a:bodyPr/>
                  <a:lstStyle/>
                  <a:p>
                    <a:fld id="{58DBF5EF-0141-486A-B1E6-06804682E619}"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5-DE98-49D5-AFDA-582D0982E559}"/>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6-DE98-49D5-AFDA-582D0982E559}"/>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7-DE98-49D5-AFDA-582D0982E559}"/>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8-DE98-49D5-AFDA-582D0982E559}"/>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9-DE98-49D5-AFDA-582D0982E559}"/>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A-DE98-49D5-AFDA-582D0982E559}"/>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B-DE98-49D5-AFDA-582D0982E559}"/>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C-DE98-49D5-AFDA-582D0982E559}"/>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D-DE98-49D5-AFDA-582D0982E559}"/>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E-DE98-49D5-AFDA-582D0982E559}"/>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F-DE98-49D5-AFDA-582D0982E559}"/>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0-DE98-49D5-AFDA-582D0982E559}"/>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1-DE98-49D5-AFDA-582D0982E559}"/>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2-DE98-49D5-AFDA-582D0982E559}"/>
                </c:ext>
              </c:extLst>
            </c:dLbl>
            <c:dLbl>
              <c:idx val="58"/>
              <c:tx>
                <c:rich>
                  <a:bodyPr/>
                  <a:lstStyle/>
                  <a:p>
                    <a:fld id="{8270CEF7-6179-46EC-B9B6-37D4ACB158B1}"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3-DE98-49D5-AFDA-582D0982E559}"/>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4-DE98-49D5-AFDA-582D0982E559}"/>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5-DE98-49D5-AFDA-582D0982E559}"/>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6-DE98-49D5-AFDA-582D0982E559}"/>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7-DE98-49D5-AFDA-582D0982E559}"/>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8-DE98-49D5-AFDA-582D0982E559}"/>
                </c:ext>
              </c:extLst>
            </c:dLbl>
            <c:dLbl>
              <c:idx val="64"/>
              <c:tx>
                <c:rich>
                  <a:bodyPr/>
                  <a:lstStyle/>
                  <a:p>
                    <a:fld id="{8C4B7B10-ABDF-4146-B206-8F1F6E16E108}"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B9-DE98-49D5-AFDA-582D0982E559}"/>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A-DE98-49D5-AFDA-582D0982E559}"/>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B-DE98-49D5-AFDA-582D0982E559}"/>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C-DE98-49D5-AFDA-582D0982E559}"/>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D-DE98-49D5-AFDA-582D0982E559}"/>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E-DE98-49D5-AFDA-582D0982E559}"/>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F-DE98-49D5-AFDA-582D0982E559}"/>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0-DE98-49D5-AFDA-582D0982E559}"/>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1-DE98-49D5-AFDA-582D0982E559}"/>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2-DE98-49D5-AFDA-582D0982E559}"/>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3-DE98-49D5-AFDA-582D0982E559}"/>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4-DE98-49D5-AFDA-582D0982E559}"/>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5-DE98-49D5-AFDA-582D0982E559}"/>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6-DE98-49D5-AFDA-582D0982E559}"/>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7-DE98-49D5-AFDA-582D0982E559}"/>
                </c:ext>
              </c:extLst>
            </c:dLbl>
            <c:dLbl>
              <c:idx val="79"/>
              <c:tx>
                <c:rich>
                  <a:bodyPr/>
                  <a:lstStyle/>
                  <a:p>
                    <a:fld id="{5979CCDB-88D0-4918-915B-BDC8003F9729}"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C8-DE98-49D5-AFDA-582D0982E559}"/>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9-DE98-49D5-AFDA-582D0982E559}"/>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A-DE98-49D5-AFDA-582D0982E559}"/>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B-DE98-49D5-AFDA-582D0982E559}"/>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C-DE98-49D5-AFDA-582D0982E559}"/>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D-DE98-49D5-AFDA-582D0982E559}"/>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E-DE98-49D5-AFDA-582D0982E559}"/>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F-DE98-49D5-AFDA-582D0982E559}"/>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0-DE98-49D5-AFDA-582D0982E559}"/>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1-DE98-49D5-AFDA-582D0982E559}"/>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2-DE98-49D5-AFDA-582D0982E559}"/>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3-DE98-49D5-AFDA-582D0982E559}"/>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4-DE98-49D5-AFDA-582D0982E559}"/>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5-DE98-49D5-AFDA-582D0982E559}"/>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6-DE98-49D5-AFDA-582D0982E559}"/>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7-DE98-49D5-AFDA-582D0982E559}"/>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8-DE98-49D5-AFDA-582D0982E559}"/>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9-DE98-49D5-AFDA-582D0982E559}"/>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A-DE98-49D5-AFDA-582D0982E559}"/>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B-DE98-49D5-AFDA-582D0982E559}"/>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C-DE98-49D5-AFDA-582D0982E559}"/>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D-DE98-49D5-AFDA-582D0982E559}"/>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E-DE98-49D5-AFDA-582D0982E559}"/>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F-DE98-49D5-AFDA-582D0982E559}"/>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0-DE98-49D5-AFDA-582D0982E559}"/>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1-DE98-49D5-AFDA-582D0982E559}"/>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2-DE98-49D5-AFDA-582D0982E559}"/>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3-DE98-49D5-AFDA-582D0982E559}"/>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4-DE98-49D5-AFDA-582D0982E559}"/>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5-DE98-49D5-AFDA-582D0982E559}"/>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6-DE98-49D5-AFDA-582D0982E55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FF0000"/>
                      </a:solidFill>
                    </a:ln>
                    <a:solidFill>
                      <a:srgbClr val="FF000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'04-07-25-Scen6-Good,16hr'!$A$3:$A$112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'04-07-25-Scen6-Good,16hr'!$AS$3:$AS$112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-72</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-72</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-72</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-72</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'04-07-25-Scen6-Good,16hr'!$Y$3:$Y$112</c15:f>
                <c15:dlblRangeCache>
                  <c:ptCount val="110"/>
                  <c:pt idx="0">
                    <c:v>0</c:v>
                  </c:pt>
                  <c:pt idx="1">
                    <c:v>0</c:v>
                  </c:pt>
                  <c:pt idx="2">
                    <c:v>0</c:v>
                  </c:pt>
                  <c:pt idx="3">
                    <c:v>0</c:v>
                  </c:pt>
                  <c:pt idx="4">
                    <c:v>0</c:v>
                  </c:pt>
                  <c:pt idx="5">
                    <c:v>0</c:v>
                  </c:pt>
                  <c:pt idx="6">
                    <c:v>0</c:v>
                  </c:pt>
                  <c:pt idx="7">
                    <c:v>0</c:v>
                  </c:pt>
                  <c:pt idx="8">
                    <c:v>0</c:v>
                  </c:pt>
                  <c:pt idx="9">
                    <c:v>0</c:v>
                  </c:pt>
                  <c:pt idx="10">
                    <c:v>0</c:v>
                  </c:pt>
                  <c:pt idx="11">
                    <c:v>0</c:v>
                  </c:pt>
                  <c:pt idx="12">
                    <c:v>0</c:v>
                  </c:pt>
                  <c:pt idx="13">
                    <c:v>6</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6</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6</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6</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15:dlblRangeCache>
              </c15:datalabelsRange>
            </c:ext>
            <c:ext xmlns:c16="http://schemas.microsoft.com/office/drawing/2014/chart" uri="{C3380CC4-5D6E-409C-BE32-E72D297353CC}">
              <c16:uniqueId val="{000000E7-DE98-49D5-AFDA-582D0982E559}"/>
            </c:ext>
          </c:extLst>
        </c:ser>
        <c:ser>
          <c:idx val="8"/>
          <c:order val="10"/>
          <c:tx>
            <c:strRef>
              <c:f>'04-07-25-Scen6-Good,16hr'!$AU$1</c:f>
              <c:strCache>
                <c:ptCount val="1"/>
                <c:pt idx="0">
                  <c:v>Drill Fluid Still Needed In</c:v>
                </c:pt>
              </c:strCache>
            </c:strRef>
          </c:tx>
          <c:spPr>
            <a:ln w="19050" cap="rnd">
              <a:noFill/>
              <a:round/>
            </a:ln>
            <a:effectLst/>
          </c:spPr>
          <c:marker>
            <c:symbol val="x"/>
            <c:size val="10"/>
            <c:spPr>
              <a:solidFill>
                <a:schemeClr val="bg1"/>
              </a:solidFill>
              <a:ln w="31750">
                <a:solidFill>
                  <a:schemeClr val="tx2">
                    <a:lumMod val="50000"/>
                    <a:lumOff val="50000"/>
                  </a:schemeClr>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8-DE98-49D5-AFDA-582D0982E559}"/>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9-DE98-49D5-AFDA-582D0982E559}"/>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A-DE98-49D5-AFDA-582D0982E559}"/>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B-DE98-49D5-AFDA-582D0982E559}"/>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C-DE98-49D5-AFDA-582D0982E559}"/>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D-DE98-49D5-AFDA-582D0982E559}"/>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E-DE98-49D5-AFDA-582D0982E559}"/>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F-DE98-49D5-AFDA-582D0982E559}"/>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0-DE98-49D5-AFDA-582D0982E559}"/>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1-DE98-49D5-AFDA-582D0982E559}"/>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2-DE98-49D5-AFDA-582D0982E559}"/>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3-DE98-49D5-AFDA-582D0982E559}"/>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4-DE98-49D5-AFDA-582D0982E559}"/>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5-DE98-49D5-AFDA-582D0982E559}"/>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6-DE98-49D5-AFDA-582D0982E559}"/>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7-DE98-49D5-AFDA-582D0982E559}"/>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8-DE98-49D5-AFDA-582D0982E559}"/>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9-DE98-49D5-AFDA-582D0982E559}"/>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A-DE98-49D5-AFDA-582D0982E559}"/>
                </c:ext>
              </c:extLst>
            </c:dLbl>
            <c:dLbl>
              <c:idx val="19"/>
              <c:tx>
                <c:rich>
                  <a:bodyPr/>
                  <a:lstStyle/>
                  <a:p>
                    <a:fld id="{9350C3C1-E516-44DC-A1F3-5CEDF35FD86A}"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FB-DE98-49D5-AFDA-582D0982E559}"/>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C-DE98-49D5-AFDA-582D0982E559}"/>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D-DE98-49D5-AFDA-582D0982E559}"/>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E-DE98-49D5-AFDA-582D0982E559}"/>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F-DE98-49D5-AFDA-582D0982E559}"/>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0-DE98-49D5-AFDA-582D0982E559}"/>
                </c:ext>
              </c:extLst>
            </c:dLbl>
            <c:dLbl>
              <c:idx val="25"/>
              <c:tx>
                <c:rich>
                  <a:bodyPr/>
                  <a:lstStyle/>
                  <a:p>
                    <a:fld id="{B0324B2D-609E-4BB1-8522-39137847DF6E}"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1-DE98-49D5-AFDA-582D0982E559}"/>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2-DE98-49D5-AFDA-582D0982E559}"/>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3-DE98-49D5-AFDA-582D0982E559}"/>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4-DE98-49D5-AFDA-582D0982E559}"/>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5-DE98-49D5-AFDA-582D0982E559}"/>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6-DE98-49D5-AFDA-582D0982E559}"/>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7-DE98-49D5-AFDA-582D0982E559}"/>
                </c:ext>
              </c:extLst>
            </c:dLbl>
            <c:dLbl>
              <c:idx val="32"/>
              <c:tx>
                <c:rich>
                  <a:bodyPr/>
                  <a:lstStyle/>
                  <a:p>
                    <a:fld id="{052AC3B7-1107-4DAD-AB3C-E3B74D8F34AA}"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8-DE98-49D5-AFDA-582D0982E559}"/>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9-DE98-49D5-AFDA-582D0982E559}"/>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A-DE98-49D5-AFDA-582D0982E559}"/>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B-DE98-49D5-AFDA-582D0982E559}"/>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C-DE98-49D5-AFDA-582D0982E559}"/>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D-DE98-49D5-AFDA-582D0982E559}"/>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E-DE98-49D5-AFDA-582D0982E559}"/>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F-DE98-49D5-AFDA-582D0982E559}"/>
                </c:ext>
              </c:extLst>
            </c:dLbl>
            <c:dLbl>
              <c:idx val="40"/>
              <c:tx>
                <c:rich>
                  <a:bodyPr/>
                  <a:lstStyle/>
                  <a:p>
                    <a:fld id="{9A536979-D083-4CD2-8A94-2EEF994A6C68}"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10-DE98-49D5-AFDA-582D0982E559}"/>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1-DE98-49D5-AFDA-582D0982E559}"/>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2-DE98-49D5-AFDA-582D0982E559}"/>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3-DE98-49D5-AFDA-582D0982E559}"/>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4-DE98-49D5-AFDA-582D0982E559}"/>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5-DE98-49D5-AFDA-582D0982E559}"/>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6-DE98-49D5-AFDA-582D0982E559}"/>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7-DE98-49D5-AFDA-582D0982E559}"/>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8-DE98-49D5-AFDA-582D0982E559}"/>
                </c:ext>
              </c:extLst>
            </c:dLbl>
            <c:dLbl>
              <c:idx val="49"/>
              <c:tx>
                <c:rich>
                  <a:bodyPr/>
                  <a:lstStyle/>
                  <a:p>
                    <a:fld id="{EA8F4031-133C-487A-BE69-7B9AB2169B38}"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19-DE98-49D5-AFDA-582D0982E559}"/>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A-DE98-49D5-AFDA-582D0982E559}"/>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B-DE98-49D5-AFDA-582D0982E559}"/>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C-DE98-49D5-AFDA-582D0982E559}"/>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D-DE98-49D5-AFDA-582D0982E559}"/>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E-DE98-49D5-AFDA-582D0982E559}"/>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F-DE98-49D5-AFDA-582D0982E559}"/>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0-DE98-49D5-AFDA-582D0982E559}"/>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1-DE98-49D5-AFDA-582D0982E559}"/>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2-DE98-49D5-AFDA-582D0982E559}"/>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3-DE98-49D5-AFDA-582D0982E559}"/>
                </c:ext>
              </c:extLst>
            </c:dLbl>
            <c:dLbl>
              <c:idx val="60"/>
              <c:tx>
                <c:rich>
                  <a:bodyPr/>
                  <a:lstStyle/>
                  <a:p>
                    <a:fld id="{C7304446-DAE9-4E87-BED5-B545D5328F44}"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24-DE98-49D5-AFDA-582D0982E559}"/>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5-DE98-49D5-AFDA-582D0982E559}"/>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6-DE98-49D5-AFDA-582D0982E559}"/>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7-DE98-49D5-AFDA-582D0982E559}"/>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8-DE98-49D5-AFDA-582D0982E559}"/>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9-DE98-49D5-AFDA-582D0982E559}"/>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A-DE98-49D5-AFDA-582D0982E559}"/>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B-DE98-49D5-AFDA-582D0982E559}"/>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C-DE98-49D5-AFDA-582D0982E559}"/>
                </c:ext>
              </c:extLst>
            </c:dLbl>
            <c:dLbl>
              <c:idx val="69"/>
              <c:tx>
                <c:rich>
                  <a:bodyPr/>
                  <a:lstStyle/>
                  <a:p>
                    <a:fld id="{CB970BF2-AEDB-4604-99F5-5099A30784B6}"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2D-DE98-49D5-AFDA-582D0982E559}"/>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E-DE98-49D5-AFDA-582D0982E559}"/>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F-DE98-49D5-AFDA-582D0982E559}"/>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0-DE98-49D5-AFDA-582D0982E559}"/>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1-DE98-49D5-AFDA-582D0982E559}"/>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2-DE98-49D5-AFDA-582D0982E559}"/>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3-DE98-49D5-AFDA-582D0982E559}"/>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4-DE98-49D5-AFDA-582D0982E559}"/>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5-DE98-49D5-AFDA-582D0982E559}"/>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6-DE98-49D5-AFDA-582D0982E559}"/>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7-DE98-49D5-AFDA-582D0982E559}"/>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8-DE98-49D5-AFDA-582D0982E559}"/>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9-DE98-49D5-AFDA-582D0982E559}"/>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A-DE98-49D5-AFDA-582D0982E559}"/>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B-DE98-49D5-AFDA-582D0982E559}"/>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C-DE98-49D5-AFDA-582D0982E559}"/>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D-DE98-49D5-AFDA-582D0982E559}"/>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E-DE98-49D5-AFDA-582D0982E559}"/>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F-DE98-49D5-AFDA-582D0982E559}"/>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0-DE98-49D5-AFDA-582D0982E559}"/>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1-DE98-49D5-AFDA-582D0982E559}"/>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2-DE98-49D5-AFDA-582D0982E559}"/>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3-DE98-49D5-AFDA-582D0982E559}"/>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4-DE98-49D5-AFDA-582D0982E559}"/>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5-DE98-49D5-AFDA-582D0982E559}"/>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6-DE98-49D5-AFDA-582D0982E559}"/>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7-DE98-49D5-AFDA-582D0982E559}"/>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8-DE98-49D5-AFDA-582D0982E559}"/>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9-DE98-49D5-AFDA-582D0982E559}"/>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A-DE98-49D5-AFDA-582D0982E559}"/>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B-DE98-49D5-AFDA-582D0982E559}"/>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C-DE98-49D5-AFDA-582D0982E559}"/>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D-DE98-49D5-AFDA-582D0982E559}"/>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E-DE98-49D5-AFDA-582D0982E559}"/>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F-DE98-49D5-AFDA-582D0982E559}"/>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0-DE98-49D5-AFDA-582D0982E559}"/>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1-DE98-49D5-AFDA-582D0982E559}"/>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2-DE98-49D5-AFDA-582D0982E559}"/>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3-DE98-49D5-AFDA-582D0982E559}"/>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4-DE98-49D5-AFDA-582D0982E559}"/>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5-DE98-49D5-AFDA-582D0982E55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2">
                          <a:lumMod val="50000"/>
                          <a:lumOff val="50000"/>
                        </a:schemeClr>
                      </a:solidFill>
                    </a:ln>
                    <a:solidFill>
                      <a:schemeClr val="tx2">
                        <a:lumMod val="50000"/>
                        <a:lumOff val="50000"/>
                      </a:schemeClr>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'04-07-25-Scen6-Good,16hr'!$A$3:$A$112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'04-07-25-Scen6-Good,16hr'!$AU$3:$AU$112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-144</c:v>
                </c:pt>
                <c:pt idx="20">
                  <c:v>#N/A</c:v>
                </c:pt>
                <c:pt idx="21">
                  <c:v>#N/A</c:v>
                </c:pt>
                <c:pt idx="22">
                  <c:v>#N/A</c:v>
                </c:pt>
                <c:pt idx="23">
                  <c:v>#N/A</c:v>
                </c:pt>
                <c:pt idx="24">
                  <c:v>#N/A</c:v>
                </c:pt>
                <c:pt idx="25">
                  <c:v>-144</c:v>
                </c:pt>
                <c:pt idx="26">
                  <c:v>#N/A</c:v>
                </c:pt>
                <c:pt idx="27">
                  <c:v>#N/A</c:v>
                </c:pt>
                <c:pt idx="28">
                  <c:v>#N/A</c:v>
                </c:pt>
                <c:pt idx="29">
                  <c:v>#N/A</c:v>
                </c:pt>
                <c:pt idx="30">
                  <c:v>#N/A</c:v>
                </c:pt>
                <c:pt idx="31">
                  <c:v>#N/A</c:v>
                </c:pt>
                <c:pt idx="32">
                  <c:v>-144</c:v>
                </c:pt>
                <c:pt idx="33">
                  <c:v>#N/A</c:v>
                </c:pt>
                <c:pt idx="34">
                  <c:v>#N/A</c:v>
                </c:pt>
                <c:pt idx="35">
                  <c:v>#N/A</c:v>
                </c:pt>
                <c:pt idx="36">
                  <c:v>#N/A</c:v>
                </c:pt>
                <c:pt idx="37">
                  <c:v>#N/A</c:v>
                </c:pt>
                <c:pt idx="38">
                  <c:v>#N/A</c:v>
                </c:pt>
                <c:pt idx="39">
                  <c:v>#N/A</c:v>
                </c:pt>
                <c:pt idx="40">
                  <c:v>-144</c:v>
                </c:pt>
                <c:pt idx="41">
                  <c:v>#N/A</c:v>
                </c:pt>
                <c:pt idx="42">
                  <c:v>#N/A</c:v>
                </c:pt>
                <c:pt idx="43">
                  <c:v>#N/A</c:v>
                </c:pt>
                <c:pt idx="44">
                  <c:v>#N/A</c:v>
                </c:pt>
                <c:pt idx="45">
                  <c:v>#N/A</c:v>
                </c:pt>
                <c:pt idx="46">
                  <c:v>#N/A</c:v>
                </c:pt>
                <c:pt idx="47">
                  <c:v>#N/A</c:v>
                </c:pt>
                <c:pt idx="48">
                  <c:v>#N/A</c:v>
                </c:pt>
                <c:pt idx="49">
                  <c:v>-144</c:v>
                </c:pt>
                <c:pt idx="50">
                  <c:v>#N/A</c:v>
                </c:pt>
                <c:pt idx="51">
                  <c:v>#N/A</c:v>
                </c:pt>
                <c:pt idx="52">
                  <c:v>#N/A</c:v>
                </c:pt>
                <c:pt idx="53">
                  <c:v>#N/A</c:v>
                </c:pt>
                <c:pt idx="54">
                  <c:v>#N/A</c:v>
                </c:pt>
                <c:pt idx="55">
                  <c:v>#N/A</c:v>
                </c:pt>
                <c:pt idx="56">
                  <c:v>#N/A</c:v>
                </c:pt>
                <c:pt idx="57">
                  <c:v>#N/A</c:v>
                </c:pt>
                <c:pt idx="58">
                  <c:v>#N/A</c:v>
                </c:pt>
                <c:pt idx="59">
                  <c:v>#N/A</c:v>
                </c:pt>
                <c:pt idx="60">
                  <c:v>-144</c:v>
                </c:pt>
                <c:pt idx="61">
                  <c:v>#N/A</c:v>
                </c:pt>
                <c:pt idx="62">
                  <c:v>#N/A</c:v>
                </c:pt>
                <c:pt idx="63">
                  <c:v>#N/A</c:v>
                </c:pt>
                <c:pt idx="64">
                  <c:v>#N/A</c:v>
                </c:pt>
                <c:pt idx="65">
                  <c:v>#N/A</c:v>
                </c:pt>
                <c:pt idx="66">
                  <c:v>#N/A</c:v>
                </c:pt>
                <c:pt idx="67">
                  <c:v>#N/A</c:v>
                </c:pt>
                <c:pt idx="68">
                  <c:v>#N/A</c:v>
                </c:pt>
                <c:pt idx="69">
                  <c:v>-144</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'04-07-25-Scen6-Good,16hr'!$AC$3:$AC$112</c15:f>
                <c15:dlblRangeCache>
                  <c:ptCount val="11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6</c:v>
                  </c:pt>
                  <c:pt idx="20">
                    <c:v>0</c:v>
                  </c:pt>
                  <c:pt idx="21">
                    <c:v>0</c:v>
                  </c:pt>
                  <c:pt idx="22">
                    <c:v>0</c:v>
                  </c:pt>
                  <c:pt idx="23">
                    <c:v>0</c:v>
                  </c:pt>
                  <c:pt idx="24">
                    <c:v>0</c:v>
                  </c:pt>
                  <c:pt idx="25">
                    <c:v>6</c:v>
                  </c:pt>
                  <c:pt idx="26">
                    <c:v>0</c:v>
                  </c:pt>
                  <c:pt idx="27">
                    <c:v>0</c:v>
                  </c:pt>
                  <c:pt idx="28">
                    <c:v>0</c:v>
                  </c:pt>
                  <c:pt idx="29">
                    <c:v>0</c:v>
                  </c:pt>
                  <c:pt idx="30">
                    <c:v>0</c:v>
                  </c:pt>
                  <c:pt idx="31">
                    <c:v>0</c:v>
                  </c:pt>
                  <c:pt idx="32">
                    <c:v>6</c:v>
                  </c:pt>
                  <c:pt idx="33">
                    <c:v>0</c:v>
                  </c:pt>
                  <c:pt idx="34">
                    <c:v>0</c:v>
                  </c:pt>
                  <c:pt idx="35">
                    <c:v>0</c:v>
                  </c:pt>
                  <c:pt idx="36">
                    <c:v>0</c:v>
                  </c:pt>
                  <c:pt idx="37">
                    <c:v>0</c:v>
                  </c:pt>
                  <c:pt idx="38">
                    <c:v>0</c:v>
                  </c:pt>
                  <c:pt idx="39">
                    <c:v>0</c:v>
                  </c:pt>
                  <c:pt idx="40">
                    <c:v>6</c:v>
                  </c:pt>
                  <c:pt idx="41">
                    <c:v>0</c:v>
                  </c:pt>
                  <c:pt idx="42">
                    <c:v>0</c:v>
                  </c:pt>
                  <c:pt idx="43">
                    <c:v>0</c:v>
                  </c:pt>
                  <c:pt idx="44">
                    <c:v>0</c:v>
                  </c:pt>
                  <c:pt idx="45">
                    <c:v>0</c:v>
                  </c:pt>
                  <c:pt idx="46">
                    <c:v>0</c:v>
                  </c:pt>
                  <c:pt idx="47">
                    <c:v>0</c:v>
                  </c:pt>
                  <c:pt idx="48">
                    <c:v>0</c:v>
                  </c:pt>
                  <c:pt idx="49">
                    <c:v>6</c:v>
                  </c:pt>
                  <c:pt idx="50">
                    <c:v>0</c:v>
                  </c:pt>
                  <c:pt idx="51">
                    <c:v>0</c:v>
                  </c:pt>
                  <c:pt idx="52">
                    <c:v>0</c:v>
                  </c:pt>
                  <c:pt idx="53">
                    <c:v>0</c:v>
                  </c:pt>
                  <c:pt idx="54">
                    <c:v>0</c:v>
                  </c:pt>
                  <c:pt idx="55">
                    <c:v>0</c:v>
                  </c:pt>
                  <c:pt idx="56">
                    <c:v>0</c:v>
                  </c:pt>
                  <c:pt idx="57">
                    <c:v>0</c:v>
                  </c:pt>
                  <c:pt idx="58">
                    <c:v>0</c:v>
                  </c:pt>
                  <c:pt idx="59">
                    <c:v>0</c:v>
                  </c:pt>
                  <c:pt idx="60">
                    <c:v>6</c:v>
                  </c:pt>
                  <c:pt idx="61">
                    <c:v>0</c:v>
                  </c:pt>
                  <c:pt idx="62">
                    <c:v>0</c:v>
                  </c:pt>
                  <c:pt idx="63">
                    <c:v>0</c:v>
                  </c:pt>
                  <c:pt idx="64">
                    <c:v>0</c:v>
                  </c:pt>
                  <c:pt idx="65">
                    <c:v>0</c:v>
                  </c:pt>
                  <c:pt idx="66">
                    <c:v>0</c:v>
                  </c:pt>
                  <c:pt idx="67">
                    <c:v>0</c:v>
                  </c:pt>
                  <c:pt idx="68">
                    <c:v>0</c:v>
                  </c:pt>
                  <c:pt idx="69">
                    <c:v>6</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15:dlblRangeCache>
              </c15:datalabelsRange>
            </c:ext>
            <c:ext xmlns:c16="http://schemas.microsoft.com/office/drawing/2014/chart" uri="{C3380CC4-5D6E-409C-BE32-E72D297353CC}">
              <c16:uniqueId val="{00000156-DE98-49D5-AFDA-582D0982E559}"/>
            </c:ext>
          </c:extLst>
        </c:ser>
        <c:ser>
          <c:idx val="9"/>
          <c:order val="11"/>
          <c:tx>
            <c:strRef>
              <c:f>'04-07-25-Scen6-Good,16hr'!$AT$1</c:f>
              <c:strCache>
                <c:ptCount val="1"/>
                <c:pt idx="0">
                  <c:v>Drill Fluid Planned In</c:v>
                </c:pt>
              </c:strCache>
            </c:strRef>
          </c:tx>
          <c:spPr>
            <a:ln w="19050" cap="rnd">
              <a:noFill/>
              <a:round/>
            </a:ln>
            <a:effectLst/>
          </c:spPr>
          <c:marker>
            <c:symbol val="circle"/>
            <c:size val="10"/>
            <c:spPr>
              <a:solidFill>
                <a:schemeClr val="bg1"/>
              </a:solidFill>
              <a:ln w="31750">
                <a:solidFill>
                  <a:schemeClr val="tx2">
                    <a:lumMod val="50000"/>
                    <a:lumOff val="50000"/>
                  </a:schemeClr>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7-DE98-49D5-AFDA-582D0982E559}"/>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8-DE98-49D5-AFDA-582D0982E559}"/>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9-DE98-49D5-AFDA-582D0982E559}"/>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A-DE98-49D5-AFDA-582D0982E559}"/>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B-DE98-49D5-AFDA-582D0982E559}"/>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C-DE98-49D5-AFDA-582D0982E559}"/>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D-DE98-49D5-AFDA-582D0982E559}"/>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E-DE98-49D5-AFDA-582D0982E559}"/>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F-DE98-49D5-AFDA-582D0982E559}"/>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0-DE98-49D5-AFDA-582D0982E559}"/>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1-DE98-49D5-AFDA-582D0982E559}"/>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2-DE98-49D5-AFDA-582D0982E559}"/>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3-DE98-49D5-AFDA-582D0982E559}"/>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4-DE98-49D5-AFDA-582D0982E559}"/>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5-DE98-49D5-AFDA-582D0982E559}"/>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6-DE98-49D5-AFDA-582D0982E559}"/>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7-DE98-49D5-AFDA-582D0982E559}"/>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8-DE98-49D5-AFDA-582D0982E559}"/>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9-DE98-49D5-AFDA-582D0982E559}"/>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A-DE98-49D5-AFDA-582D0982E559}"/>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B-DE98-49D5-AFDA-582D0982E559}"/>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C-DE98-49D5-AFDA-582D0982E559}"/>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D-DE98-49D5-AFDA-582D0982E559}"/>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E-DE98-49D5-AFDA-582D0982E559}"/>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F-DE98-49D5-AFDA-582D0982E559}"/>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0-DE98-49D5-AFDA-582D0982E559}"/>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1-DE98-49D5-AFDA-582D0982E559}"/>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2-DE98-49D5-AFDA-582D0982E559}"/>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3-DE98-49D5-AFDA-582D0982E559}"/>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4-DE98-49D5-AFDA-582D0982E559}"/>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5-DE98-49D5-AFDA-582D0982E559}"/>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6-DE98-49D5-AFDA-582D0982E559}"/>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7-DE98-49D5-AFDA-582D0982E559}"/>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8-DE98-49D5-AFDA-582D0982E559}"/>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9-DE98-49D5-AFDA-582D0982E559}"/>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A-DE98-49D5-AFDA-582D0982E559}"/>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B-DE98-49D5-AFDA-582D0982E559}"/>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C-DE98-49D5-AFDA-582D0982E559}"/>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D-DE98-49D5-AFDA-582D0982E559}"/>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E-DE98-49D5-AFDA-582D0982E559}"/>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F-DE98-49D5-AFDA-582D0982E559}"/>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0-DE98-49D5-AFDA-582D0982E559}"/>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1-DE98-49D5-AFDA-582D0982E559}"/>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2-DE98-49D5-AFDA-582D0982E559}"/>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3-DE98-49D5-AFDA-582D0982E559}"/>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4-DE98-49D5-AFDA-582D0982E559}"/>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5-DE98-49D5-AFDA-582D0982E559}"/>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6-DE98-49D5-AFDA-582D0982E559}"/>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7-DE98-49D5-AFDA-582D0982E559}"/>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8-DE98-49D5-AFDA-582D0982E559}"/>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9-DE98-49D5-AFDA-582D0982E559}"/>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A-DE98-49D5-AFDA-582D0982E559}"/>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B-DE98-49D5-AFDA-582D0982E559}"/>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C-DE98-49D5-AFDA-582D0982E559}"/>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D-DE98-49D5-AFDA-582D0982E559}"/>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E-DE98-49D5-AFDA-582D0982E559}"/>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F-DE98-49D5-AFDA-582D0982E559}"/>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0-DE98-49D5-AFDA-582D0982E559}"/>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1-DE98-49D5-AFDA-582D0982E559}"/>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2-DE98-49D5-AFDA-582D0982E559}"/>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3-DE98-49D5-AFDA-582D0982E559}"/>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4-DE98-49D5-AFDA-582D0982E559}"/>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5-DE98-49D5-AFDA-582D0982E559}"/>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6-DE98-49D5-AFDA-582D0982E559}"/>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7-DE98-49D5-AFDA-582D0982E559}"/>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8-DE98-49D5-AFDA-582D0982E559}"/>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9-DE98-49D5-AFDA-582D0982E559}"/>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A-DE98-49D5-AFDA-582D0982E559}"/>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B-DE98-49D5-AFDA-582D0982E559}"/>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C-DE98-49D5-AFDA-582D0982E559}"/>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D-DE98-49D5-AFDA-582D0982E559}"/>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E-DE98-49D5-AFDA-582D0982E559}"/>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F-DE98-49D5-AFDA-582D0982E559}"/>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0-DE98-49D5-AFDA-582D0982E559}"/>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1-DE98-49D5-AFDA-582D0982E559}"/>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2-DE98-49D5-AFDA-582D0982E559}"/>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3-DE98-49D5-AFDA-582D0982E559}"/>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4-DE98-49D5-AFDA-582D0982E559}"/>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5-DE98-49D5-AFDA-582D0982E559}"/>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6-DE98-49D5-AFDA-582D0982E559}"/>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7-DE98-49D5-AFDA-582D0982E559}"/>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8-DE98-49D5-AFDA-582D0982E559}"/>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9-DE98-49D5-AFDA-582D0982E559}"/>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A-DE98-49D5-AFDA-582D0982E559}"/>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B-DE98-49D5-AFDA-582D0982E559}"/>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C-DE98-49D5-AFDA-582D0982E559}"/>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D-DE98-49D5-AFDA-582D0982E559}"/>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E-DE98-49D5-AFDA-582D0982E559}"/>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F-DE98-49D5-AFDA-582D0982E559}"/>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0-DE98-49D5-AFDA-582D0982E559}"/>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1-DE98-49D5-AFDA-582D0982E559}"/>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2-DE98-49D5-AFDA-582D0982E559}"/>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3-DE98-49D5-AFDA-582D0982E559}"/>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4-DE98-49D5-AFDA-582D0982E559}"/>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5-DE98-49D5-AFDA-582D0982E559}"/>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6-DE98-49D5-AFDA-582D0982E559}"/>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7-DE98-49D5-AFDA-582D0982E559}"/>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8-DE98-49D5-AFDA-582D0982E559}"/>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9-DE98-49D5-AFDA-582D0982E559}"/>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A-DE98-49D5-AFDA-582D0982E559}"/>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B-DE98-49D5-AFDA-582D0982E559}"/>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C-DE98-49D5-AFDA-582D0982E559}"/>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D-DE98-49D5-AFDA-582D0982E559}"/>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E-DE98-49D5-AFDA-582D0982E559}"/>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F-DE98-49D5-AFDA-582D0982E559}"/>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0-DE98-49D5-AFDA-582D0982E559}"/>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1-DE98-49D5-AFDA-582D0982E559}"/>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2-DE98-49D5-AFDA-582D0982E559}"/>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3-DE98-49D5-AFDA-582D0982E559}"/>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4-DE98-49D5-AFDA-582D0982E55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2">
                          <a:lumMod val="50000"/>
                          <a:lumOff val="50000"/>
                        </a:schemeClr>
                      </a:solidFill>
                    </a:ln>
                    <a:solidFill>
                      <a:schemeClr val="tx2">
                        <a:lumMod val="50000"/>
                        <a:lumOff val="50000"/>
                      </a:schemeClr>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'04-07-25-Scen6-Good,16hr'!$A$3:$A$112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'04-07-25-Scen6-Good,16hr'!$AT$3:$AT$112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'04-07-25-Scen6-Good,16hr'!$AB$3:$AB$112</c15:f>
                <c15:dlblRangeCache>
                  <c:ptCount val="110"/>
                </c15:dlblRangeCache>
              </c15:datalabelsRange>
            </c:ext>
            <c:ext xmlns:c16="http://schemas.microsoft.com/office/drawing/2014/chart" uri="{C3380CC4-5D6E-409C-BE32-E72D297353CC}">
              <c16:uniqueId val="{000001C5-DE98-49D5-AFDA-582D0982E559}"/>
            </c:ext>
          </c:extLst>
        </c:ser>
        <c:ser>
          <c:idx val="10"/>
          <c:order val="12"/>
          <c:tx>
            <c:strRef>
              <c:f>'04-07-25-Scen6-Good,16hr'!$AV$1</c:f>
              <c:strCache>
                <c:ptCount val="1"/>
                <c:pt idx="0">
                  <c:v>Ice Core Boxes Planned OUT</c:v>
                </c:pt>
              </c:strCache>
            </c:strRef>
          </c:tx>
          <c:spPr>
            <a:ln w="19050" cap="rnd">
              <a:noFill/>
              <a:round/>
            </a:ln>
            <a:effectLst/>
          </c:spPr>
          <c:marker>
            <c:symbol val="circle"/>
            <c:size val="10"/>
            <c:spPr>
              <a:solidFill>
                <a:schemeClr val="bg1"/>
              </a:solidFill>
              <a:ln w="31750">
                <a:solidFill>
                  <a:srgbClr val="00B050"/>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6-DE98-49D5-AFDA-582D0982E559}"/>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7-DE98-49D5-AFDA-582D0982E559}"/>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8-DE98-49D5-AFDA-582D0982E559}"/>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9-DE98-49D5-AFDA-582D0982E559}"/>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A-DE98-49D5-AFDA-582D0982E559}"/>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B-DE98-49D5-AFDA-582D0982E559}"/>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C-DE98-49D5-AFDA-582D0982E559}"/>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D-DE98-49D5-AFDA-582D0982E559}"/>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E-DE98-49D5-AFDA-582D0982E559}"/>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F-DE98-49D5-AFDA-582D0982E559}"/>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0-DE98-49D5-AFDA-582D0982E559}"/>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1-DE98-49D5-AFDA-582D0982E559}"/>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2-DE98-49D5-AFDA-582D0982E559}"/>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3-DE98-49D5-AFDA-582D0982E559}"/>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4-DE98-49D5-AFDA-582D0982E559}"/>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5-DE98-49D5-AFDA-582D0982E559}"/>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6-DE98-49D5-AFDA-582D0982E559}"/>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7-DE98-49D5-AFDA-582D0982E559}"/>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8-DE98-49D5-AFDA-582D0982E559}"/>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9-DE98-49D5-AFDA-582D0982E559}"/>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A-DE98-49D5-AFDA-582D0982E559}"/>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B-DE98-49D5-AFDA-582D0982E559}"/>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C-DE98-49D5-AFDA-582D0982E559}"/>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D-DE98-49D5-AFDA-582D0982E559}"/>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E-DE98-49D5-AFDA-582D0982E559}"/>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F-DE98-49D5-AFDA-582D0982E559}"/>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0-DE98-49D5-AFDA-582D0982E559}"/>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1-DE98-49D5-AFDA-582D0982E559}"/>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2-DE98-49D5-AFDA-582D0982E559}"/>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3-DE98-49D5-AFDA-582D0982E559}"/>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4-DE98-49D5-AFDA-582D0982E559}"/>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5-DE98-49D5-AFDA-582D0982E559}"/>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6-DE98-49D5-AFDA-582D0982E559}"/>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7-DE98-49D5-AFDA-582D0982E559}"/>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8-DE98-49D5-AFDA-582D0982E559}"/>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9-DE98-49D5-AFDA-582D0982E559}"/>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A-DE98-49D5-AFDA-582D0982E559}"/>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B-DE98-49D5-AFDA-582D0982E559}"/>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C-DE98-49D5-AFDA-582D0982E559}"/>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D-DE98-49D5-AFDA-582D0982E559}"/>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E-DE98-49D5-AFDA-582D0982E559}"/>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F-DE98-49D5-AFDA-582D0982E559}"/>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0-DE98-49D5-AFDA-582D0982E559}"/>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1-DE98-49D5-AFDA-582D0982E559}"/>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2-DE98-49D5-AFDA-582D0982E559}"/>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3-DE98-49D5-AFDA-582D0982E559}"/>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4-DE98-49D5-AFDA-582D0982E559}"/>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5-DE98-49D5-AFDA-582D0982E559}"/>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6-DE98-49D5-AFDA-582D0982E559}"/>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7-DE98-49D5-AFDA-582D0982E559}"/>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8-DE98-49D5-AFDA-582D0982E559}"/>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9-DE98-49D5-AFDA-582D0982E559}"/>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A-DE98-49D5-AFDA-582D0982E559}"/>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B-DE98-49D5-AFDA-582D0982E559}"/>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C-DE98-49D5-AFDA-582D0982E559}"/>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D-DE98-49D5-AFDA-582D0982E559}"/>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E-DE98-49D5-AFDA-582D0982E559}"/>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F-DE98-49D5-AFDA-582D0982E559}"/>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0-DE98-49D5-AFDA-582D0982E559}"/>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1-DE98-49D5-AFDA-582D0982E559}"/>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2-DE98-49D5-AFDA-582D0982E559}"/>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3-DE98-49D5-AFDA-582D0982E559}"/>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4-DE98-49D5-AFDA-582D0982E559}"/>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5-DE98-49D5-AFDA-582D0982E559}"/>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6-DE98-49D5-AFDA-582D0982E559}"/>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7-DE98-49D5-AFDA-582D0982E559}"/>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8-DE98-49D5-AFDA-582D0982E559}"/>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9-DE98-49D5-AFDA-582D0982E559}"/>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A-DE98-49D5-AFDA-582D0982E559}"/>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B-DE98-49D5-AFDA-582D0982E559}"/>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C-DE98-49D5-AFDA-582D0982E559}"/>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D-DE98-49D5-AFDA-582D0982E559}"/>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E-DE98-49D5-AFDA-582D0982E559}"/>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F-DE98-49D5-AFDA-582D0982E559}"/>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0-DE98-49D5-AFDA-582D0982E559}"/>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1-DE98-49D5-AFDA-582D0982E559}"/>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2-DE98-49D5-AFDA-582D0982E559}"/>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3-DE98-49D5-AFDA-582D0982E559}"/>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4-DE98-49D5-AFDA-582D0982E559}"/>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5-DE98-49D5-AFDA-582D0982E559}"/>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6-DE98-49D5-AFDA-582D0982E559}"/>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7-DE98-49D5-AFDA-582D0982E559}"/>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8-DE98-49D5-AFDA-582D0982E559}"/>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9-DE98-49D5-AFDA-582D0982E559}"/>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A-DE98-49D5-AFDA-582D0982E559}"/>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B-DE98-49D5-AFDA-582D0982E559}"/>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C-DE98-49D5-AFDA-582D0982E559}"/>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D-DE98-49D5-AFDA-582D0982E559}"/>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E-DE98-49D5-AFDA-582D0982E559}"/>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F-DE98-49D5-AFDA-582D0982E559}"/>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0-DE98-49D5-AFDA-582D0982E559}"/>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1-DE98-49D5-AFDA-582D0982E559}"/>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2-DE98-49D5-AFDA-582D0982E559}"/>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3-DE98-49D5-AFDA-582D0982E559}"/>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4-DE98-49D5-AFDA-582D0982E559}"/>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5-DE98-49D5-AFDA-582D0982E559}"/>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6-DE98-49D5-AFDA-582D0982E559}"/>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7-DE98-49D5-AFDA-582D0982E559}"/>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8-DE98-49D5-AFDA-582D0982E559}"/>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9-DE98-49D5-AFDA-582D0982E559}"/>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A-DE98-49D5-AFDA-582D0982E559}"/>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B-DE98-49D5-AFDA-582D0982E559}"/>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C-DE98-49D5-AFDA-582D0982E559}"/>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D-DE98-49D5-AFDA-582D0982E559}"/>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E-DE98-49D5-AFDA-582D0982E559}"/>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F-DE98-49D5-AFDA-582D0982E559}"/>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0-DE98-49D5-AFDA-582D0982E559}"/>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1-DE98-49D5-AFDA-582D0982E559}"/>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2-DE98-49D5-AFDA-582D0982E559}"/>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3-DE98-49D5-AFDA-582D0982E55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B050"/>
                      </a:solidFill>
                    </a:ln>
                    <a:solidFill>
                      <a:srgbClr val="00B05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'04-07-25-Scen6-Good,16hr'!$A$3:$A$112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'04-07-25-Scen6-Good,16hr'!$AV$3:$AV$112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'04-07-25-Scen6-Good,16hr'!$AH$3:$AH$112</c15:f>
                <c15:dlblRangeCache>
                  <c:ptCount val="110"/>
                </c15:dlblRangeCache>
              </c15:datalabelsRange>
            </c:ext>
            <c:ext xmlns:c16="http://schemas.microsoft.com/office/drawing/2014/chart" uri="{C3380CC4-5D6E-409C-BE32-E72D297353CC}">
              <c16:uniqueId val="{00000234-DE98-49D5-AFDA-582D0982E559}"/>
            </c:ext>
          </c:extLst>
        </c:ser>
        <c:ser>
          <c:idx val="11"/>
          <c:order val="13"/>
          <c:tx>
            <c:strRef>
              <c:f>'04-07-25-Scen6-Good,16hr'!$AW$1</c:f>
              <c:strCache>
                <c:ptCount val="1"/>
                <c:pt idx="0">
                  <c:v>Ice Core Boxes Still Needed OUT</c:v>
                </c:pt>
              </c:strCache>
            </c:strRef>
          </c:tx>
          <c:spPr>
            <a:ln w="19050" cap="rnd">
              <a:noFill/>
              <a:round/>
            </a:ln>
            <a:effectLst/>
          </c:spPr>
          <c:marker>
            <c:symbol val="x"/>
            <c:size val="10"/>
            <c:spPr>
              <a:noFill/>
              <a:ln w="31750">
                <a:solidFill>
                  <a:srgbClr val="00B050"/>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5-DE98-49D5-AFDA-582D0982E559}"/>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6-DE98-49D5-AFDA-582D0982E559}"/>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7-DE98-49D5-AFDA-582D0982E559}"/>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8-DE98-49D5-AFDA-582D0982E559}"/>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9-DE98-49D5-AFDA-582D0982E559}"/>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A-DE98-49D5-AFDA-582D0982E559}"/>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B-DE98-49D5-AFDA-582D0982E559}"/>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C-DE98-49D5-AFDA-582D0982E559}"/>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D-DE98-49D5-AFDA-582D0982E559}"/>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E-DE98-49D5-AFDA-582D0982E559}"/>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F-DE98-49D5-AFDA-582D0982E559}"/>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0-DE98-49D5-AFDA-582D0982E559}"/>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1-DE98-49D5-AFDA-582D0982E559}"/>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2-DE98-49D5-AFDA-582D0982E559}"/>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3-DE98-49D5-AFDA-582D0982E559}"/>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4-DE98-49D5-AFDA-582D0982E559}"/>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5-DE98-49D5-AFDA-582D0982E559}"/>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6-DE98-49D5-AFDA-582D0982E559}"/>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7-DE98-49D5-AFDA-582D0982E559}"/>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8-DE98-49D5-AFDA-582D0982E559}"/>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9-DE98-49D5-AFDA-582D0982E559}"/>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A-DE98-49D5-AFDA-582D0982E559}"/>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B-DE98-49D5-AFDA-582D0982E559}"/>
                </c:ext>
              </c:extLst>
            </c:dLbl>
            <c:dLbl>
              <c:idx val="23"/>
              <c:tx>
                <c:rich>
                  <a:bodyPr/>
                  <a:lstStyle/>
                  <a:p>
                    <a:fld id="{483461EB-2090-4934-8727-462931BAF873}"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4C-DE98-49D5-AFDA-582D0982E559}"/>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D-DE98-49D5-AFDA-582D0982E559}"/>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E-DE98-49D5-AFDA-582D0982E559}"/>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F-DE98-49D5-AFDA-582D0982E559}"/>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0-DE98-49D5-AFDA-582D0982E559}"/>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1-DE98-49D5-AFDA-582D0982E559}"/>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2-DE98-49D5-AFDA-582D0982E559}"/>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3-DE98-49D5-AFDA-582D0982E559}"/>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4-DE98-49D5-AFDA-582D0982E559}"/>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5-DE98-49D5-AFDA-582D0982E559}"/>
                </c:ext>
              </c:extLst>
            </c:dLbl>
            <c:dLbl>
              <c:idx val="33"/>
              <c:tx>
                <c:rich>
                  <a:bodyPr/>
                  <a:lstStyle/>
                  <a:p>
                    <a:fld id="{64A88C70-6F06-4E20-B946-7572C1D29DF4}"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56-DE98-49D5-AFDA-582D0982E559}"/>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7-DE98-49D5-AFDA-582D0982E559}"/>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8-DE98-49D5-AFDA-582D0982E559}"/>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9-DE98-49D5-AFDA-582D0982E559}"/>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A-DE98-49D5-AFDA-582D0982E559}"/>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B-DE98-49D5-AFDA-582D0982E559}"/>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C-DE98-49D5-AFDA-582D0982E559}"/>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D-DE98-49D5-AFDA-582D0982E559}"/>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E-DE98-49D5-AFDA-582D0982E559}"/>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F-DE98-49D5-AFDA-582D0982E559}"/>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0-DE98-49D5-AFDA-582D0982E559}"/>
                </c:ext>
              </c:extLst>
            </c:dLbl>
            <c:dLbl>
              <c:idx val="44"/>
              <c:tx>
                <c:rich>
                  <a:bodyPr/>
                  <a:lstStyle/>
                  <a:p>
                    <a:fld id="{6B1A50D2-8DB1-4209-8450-1499472A8423}"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61-DE98-49D5-AFDA-582D0982E559}"/>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2-DE98-49D5-AFDA-582D0982E559}"/>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3-DE98-49D5-AFDA-582D0982E559}"/>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4-DE98-49D5-AFDA-582D0982E559}"/>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5-DE98-49D5-AFDA-582D0982E559}"/>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6-DE98-49D5-AFDA-582D0982E559}"/>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7-DE98-49D5-AFDA-582D0982E559}"/>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8-DE98-49D5-AFDA-582D0982E559}"/>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9-DE98-49D5-AFDA-582D0982E559}"/>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A-DE98-49D5-AFDA-582D0982E559}"/>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B-DE98-49D5-AFDA-582D0982E559}"/>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C-DE98-49D5-AFDA-582D0982E559}"/>
                </c:ext>
              </c:extLst>
            </c:dLbl>
            <c:dLbl>
              <c:idx val="56"/>
              <c:tx>
                <c:rich>
                  <a:bodyPr/>
                  <a:lstStyle/>
                  <a:p>
                    <a:fld id="{673473BE-B801-4897-BC30-7CC4461D73D6}"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6D-DE98-49D5-AFDA-582D0982E559}"/>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E-DE98-49D5-AFDA-582D0982E559}"/>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F-DE98-49D5-AFDA-582D0982E559}"/>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0-DE98-49D5-AFDA-582D0982E559}"/>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1-DE98-49D5-AFDA-582D0982E559}"/>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2-DE98-49D5-AFDA-582D0982E559}"/>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3-DE98-49D5-AFDA-582D0982E559}"/>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4-DE98-49D5-AFDA-582D0982E559}"/>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5-DE98-49D5-AFDA-582D0982E559}"/>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6-DE98-49D5-AFDA-582D0982E559}"/>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7-DE98-49D5-AFDA-582D0982E559}"/>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8-DE98-49D5-AFDA-582D0982E559}"/>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9-DE98-49D5-AFDA-582D0982E559}"/>
                </c:ext>
              </c:extLst>
            </c:dLbl>
            <c:dLbl>
              <c:idx val="69"/>
              <c:tx>
                <c:rich>
                  <a:bodyPr/>
                  <a:lstStyle/>
                  <a:p>
                    <a:fld id="{1826DB7C-25FE-4A1A-AAEF-8CF24A9124C3}"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7A-DE98-49D5-AFDA-582D0982E559}"/>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B-DE98-49D5-AFDA-582D0982E559}"/>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C-DE98-49D5-AFDA-582D0982E559}"/>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D-DE98-49D5-AFDA-582D0982E559}"/>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E-DE98-49D5-AFDA-582D0982E559}"/>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F-DE98-49D5-AFDA-582D0982E559}"/>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0-DE98-49D5-AFDA-582D0982E559}"/>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1-DE98-49D5-AFDA-582D0982E559}"/>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2-DE98-49D5-AFDA-582D0982E559}"/>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3-DE98-49D5-AFDA-582D0982E559}"/>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4-DE98-49D5-AFDA-582D0982E559}"/>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5-DE98-49D5-AFDA-582D0982E559}"/>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6-DE98-49D5-AFDA-582D0982E559}"/>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7-DE98-49D5-AFDA-582D0982E559}"/>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8-DE98-49D5-AFDA-582D0982E559}"/>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9-DE98-49D5-AFDA-582D0982E559}"/>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A-DE98-49D5-AFDA-582D0982E559}"/>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B-DE98-49D5-AFDA-582D0982E559}"/>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C-DE98-49D5-AFDA-582D0982E559}"/>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D-DE98-49D5-AFDA-582D0982E559}"/>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E-DE98-49D5-AFDA-582D0982E559}"/>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F-DE98-49D5-AFDA-582D0982E559}"/>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0-DE98-49D5-AFDA-582D0982E559}"/>
                </c:ext>
              </c:extLst>
            </c:dLbl>
            <c:dLbl>
              <c:idx val="92"/>
              <c:tx>
                <c:rich>
                  <a:bodyPr/>
                  <a:lstStyle/>
                  <a:p>
                    <a:fld id="{9B55DE46-C11E-47B8-8A67-9375F9DF7F21}"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91-DE98-49D5-AFDA-582D0982E559}"/>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2-DE98-49D5-AFDA-582D0982E559}"/>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3-DE98-49D5-AFDA-582D0982E559}"/>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4-DE98-49D5-AFDA-582D0982E559}"/>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5-DE98-49D5-AFDA-582D0982E559}"/>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6-DE98-49D5-AFDA-582D0982E559}"/>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7-DE98-49D5-AFDA-582D0982E559}"/>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8-DE98-49D5-AFDA-582D0982E559}"/>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9-DE98-49D5-AFDA-582D0982E559}"/>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A-DE98-49D5-AFDA-582D0982E559}"/>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B-DE98-49D5-AFDA-582D0982E559}"/>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C-DE98-49D5-AFDA-582D0982E559}"/>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D-DE98-49D5-AFDA-582D0982E559}"/>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E-DE98-49D5-AFDA-582D0982E559}"/>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F-DE98-49D5-AFDA-582D0982E559}"/>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A0-DE98-49D5-AFDA-582D0982E559}"/>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A1-DE98-49D5-AFDA-582D0982E559}"/>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A2-DE98-49D5-AFDA-582D0982E55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B050"/>
                      </a:solidFill>
                    </a:ln>
                    <a:solidFill>
                      <a:srgbClr val="00B05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'04-07-25-Scen6-Good,16hr'!$A$3:$A$112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'04-07-25-Scen6-Good,16hr'!$AW$3:$AW$112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-216</c:v>
                </c:pt>
                <c:pt idx="24">
                  <c:v>#N/A</c:v>
                </c:pt>
                <c:pt idx="25">
                  <c:v>#N/A</c:v>
                </c:pt>
                <c:pt idx="26">
                  <c:v>#N/A</c:v>
                </c:pt>
                <c:pt idx="27">
                  <c:v>#N/A</c:v>
                </c:pt>
                <c:pt idx="28">
                  <c:v>#N/A</c:v>
                </c:pt>
                <c:pt idx="29">
                  <c:v>#N/A</c:v>
                </c:pt>
                <c:pt idx="30">
                  <c:v>#N/A</c:v>
                </c:pt>
                <c:pt idx="31">
                  <c:v>#N/A</c:v>
                </c:pt>
                <c:pt idx="32">
                  <c:v>#N/A</c:v>
                </c:pt>
                <c:pt idx="33">
                  <c:v>-216</c:v>
                </c:pt>
                <c:pt idx="34">
                  <c:v>#N/A</c:v>
                </c:pt>
                <c:pt idx="35">
                  <c:v>#N/A</c:v>
                </c:pt>
                <c:pt idx="36">
                  <c:v>#N/A</c:v>
                </c:pt>
                <c:pt idx="37">
                  <c:v>#N/A</c:v>
                </c:pt>
                <c:pt idx="38">
                  <c:v>#N/A</c:v>
                </c:pt>
                <c:pt idx="39">
                  <c:v>#N/A</c:v>
                </c:pt>
                <c:pt idx="40">
                  <c:v>#N/A</c:v>
                </c:pt>
                <c:pt idx="41">
                  <c:v>#N/A</c:v>
                </c:pt>
                <c:pt idx="42">
                  <c:v>#N/A</c:v>
                </c:pt>
                <c:pt idx="43">
                  <c:v>#N/A</c:v>
                </c:pt>
                <c:pt idx="44">
                  <c:v>-216</c:v>
                </c:pt>
                <c:pt idx="45">
                  <c:v>#N/A</c:v>
                </c:pt>
                <c:pt idx="46">
                  <c:v>#N/A</c:v>
                </c:pt>
                <c:pt idx="47">
                  <c:v>#N/A</c:v>
                </c:pt>
                <c:pt idx="48">
                  <c:v>#N/A</c:v>
                </c:pt>
                <c:pt idx="49">
                  <c:v>#N/A</c:v>
                </c:pt>
                <c:pt idx="50">
                  <c:v>#N/A</c:v>
                </c:pt>
                <c:pt idx="51">
                  <c:v>#N/A</c:v>
                </c:pt>
                <c:pt idx="52">
                  <c:v>#N/A</c:v>
                </c:pt>
                <c:pt idx="53">
                  <c:v>#N/A</c:v>
                </c:pt>
                <c:pt idx="54">
                  <c:v>#N/A</c:v>
                </c:pt>
                <c:pt idx="55">
                  <c:v>#N/A</c:v>
                </c:pt>
                <c:pt idx="56">
                  <c:v>-216</c:v>
                </c:pt>
                <c:pt idx="57">
                  <c:v>#N/A</c:v>
                </c:pt>
                <c:pt idx="58">
                  <c:v>#N/A</c:v>
                </c:pt>
                <c:pt idx="59">
                  <c:v>#N/A</c:v>
                </c:pt>
                <c:pt idx="60">
                  <c:v>#N/A</c:v>
                </c:pt>
                <c:pt idx="61">
                  <c:v>#N/A</c:v>
                </c:pt>
                <c:pt idx="62">
                  <c:v>#N/A</c:v>
                </c:pt>
                <c:pt idx="63">
                  <c:v>#N/A</c:v>
                </c:pt>
                <c:pt idx="64">
                  <c:v>#N/A</c:v>
                </c:pt>
                <c:pt idx="65">
                  <c:v>#N/A</c:v>
                </c:pt>
                <c:pt idx="66">
                  <c:v>#N/A</c:v>
                </c:pt>
                <c:pt idx="67">
                  <c:v>#N/A</c:v>
                </c:pt>
                <c:pt idx="68">
                  <c:v>#N/A</c:v>
                </c:pt>
                <c:pt idx="69">
                  <c:v>-216</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-216</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'04-07-25-Scen6-Good,16hr'!$AI$3:$AI$112</c15:f>
                <c15:dlblRangeCache>
                  <c:ptCount val="110"/>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20.0</c:v>
                  </c:pt>
                  <c:pt idx="24">
                    <c:v>0.0</c:v>
                  </c:pt>
                  <c:pt idx="25">
                    <c:v>0.0</c:v>
                  </c:pt>
                  <c:pt idx="26">
                    <c:v>0.0</c:v>
                  </c:pt>
                  <c:pt idx="27">
                    <c:v>0.0</c:v>
                  </c:pt>
                  <c:pt idx="28">
                    <c:v>0.0</c:v>
                  </c:pt>
                  <c:pt idx="29">
                    <c:v>0.0</c:v>
                  </c:pt>
                  <c:pt idx="30">
                    <c:v>0.0</c:v>
                  </c:pt>
                  <c:pt idx="31">
                    <c:v>0.0</c:v>
                  </c:pt>
                  <c:pt idx="32">
                    <c:v>0.0</c:v>
                  </c:pt>
                  <c:pt idx="33">
                    <c:v>20.0</c:v>
                  </c:pt>
                  <c:pt idx="34">
                    <c:v>0.0</c:v>
                  </c:pt>
                  <c:pt idx="35">
                    <c:v>0.0</c:v>
                  </c:pt>
                  <c:pt idx="36">
                    <c:v>0.0</c:v>
                  </c:pt>
                  <c:pt idx="37">
                    <c:v>0.0</c:v>
                  </c:pt>
                  <c:pt idx="38">
                    <c:v>0.0</c:v>
                  </c:pt>
                  <c:pt idx="39">
                    <c:v>0.0</c:v>
                  </c:pt>
                  <c:pt idx="40">
                    <c:v>0.0</c:v>
                  </c:pt>
                  <c:pt idx="41">
                    <c:v>0.0</c:v>
                  </c:pt>
                  <c:pt idx="42">
                    <c:v>0.0</c:v>
                  </c:pt>
                  <c:pt idx="43">
                    <c:v>0.0</c:v>
                  </c:pt>
                  <c:pt idx="44">
                    <c:v>20.0</c:v>
                  </c:pt>
                  <c:pt idx="45">
                    <c:v>0.0</c:v>
                  </c:pt>
                  <c:pt idx="46">
                    <c:v>0.0</c:v>
                  </c:pt>
                  <c:pt idx="47">
                    <c:v>0.0</c:v>
                  </c:pt>
                  <c:pt idx="48">
                    <c:v>0.0</c:v>
                  </c:pt>
                  <c:pt idx="49">
                    <c:v>0.0</c:v>
                  </c:pt>
                  <c:pt idx="50">
                    <c:v>0.0</c:v>
                  </c:pt>
                  <c:pt idx="51">
                    <c:v>0.0</c:v>
                  </c:pt>
                  <c:pt idx="52">
                    <c:v>0.0</c:v>
                  </c:pt>
                  <c:pt idx="53">
                    <c:v>0.0</c:v>
                  </c:pt>
                  <c:pt idx="54">
                    <c:v>0.0</c:v>
                  </c:pt>
                  <c:pt idx="55">
                    <c:v>0.0</c:v>
                  </c:pt>
                  <c:pt idx="56">
                    <c:v>20.0</c:v>
                  </c:pt>
                  <c:pt idx="57">
                    <c:v>0.0</c:v>
                  </c:pt>
                  <c:pt idx="58">
                    <c:v>0.0</c:v>
                  </c:pt>
                  <c:pt idx="59">
                    <c:v>0.0</c:v>
                  </c:pt>
                  <c:pt idx="60">
                    <c:v>0.0</c:v>
                  </c:pt>
                  <c:pt idx="61">
                    <c:v>0.0</c:v>
                  </c:pt>
                  <c:pt idx="62">
                    <c:v>0.0</c:v>
                  </c:pt>
                  <c:pt idx="63">
                    <c:v>0.0</c:v>
                  </c:pt>
                  <c:pt idx="64">
                    <c:v>0.0</c:v>
                  </c:pt>
                  <c:pt idx="65">
                    <c:v>0.0</c:v>
                  </c:pt>
                  <c:pt idx="66">
                    <c:v>0.0</c:v>
                  </c:pt>
                  <c:pt idx="67">
                    <c:v>0.0</c:v>
                  </c:pt>
                  <c:pt idx="68">
                    <c:v>0.0</c:v>
                  </c:pt>
                  <c:pt idx="69">
                    <c:v>20.0</c:v>
                  </c:pt>
                  <c:pt idx="70">
                    <c:v>0.0</c:v>
                  </c:pt>
                  <c:pt idx="71">
                    <c:v>0.0</c:v>
                  </c:pt>
                  <c:pt idx="72">
                    <c:v>0.0</c:v>
                  </c:pt>
                  <c:pt idx="73">
                    <c:v>0.0</c:v>
                  </c:pt>
                  <c:pt idx="74">
                    <c:v>0.0</c:v>
                  </c:pt>
                  <c:pt idx="75">
                    <c:v>0.0</c:v>
                  </c:pt>
                  <c:pt idx="76">
                    <c:v>0.0</c:v>
                  </c:pt>
                  <c:pt idx="77">
                    <c:v>0.0</c:v>
                  </c:pt>
                  <c:pt idx="78">
                    <c:v>0.0</c:v>
                  </c:pt>
                  <c:pt idx="79">
                    <c:v>0.0</c:v>
                  </c:pt>
                  <c:pt idx="80">
                    <c:v>0.0</c:v>
                  </c:pt>
                  <c:pt idx="81">
                    <c:v>0.0</c:v>
                  </c:pt>
                  <c:pt idx="82">
                    <c:v>0.0</c:v>
                  </c:pt>
                  <c:pt idx="83">
                    <c:v>0.0</c:v>
                  </c:pt>
                  <c:pt idx="84">
                    <c:v>0.0</c:v>
                  </c:pt>
                  <c:pt idx="85">
                    <c:v>0.0</c:v>
                  </c:pt>
                  <c:pt idx="86">
                    <c:v>0.0</c:v>
                  </c:pt>
                  <c:pt idx="87">
                    <c:v>0.0</c:v>
                  </c:pt>
                  <c:pt idx="88">
                    <c:v>0.0</c:v>
                  </c:pt>
                  <c:pt idx="89">
                    <c:v>0.0</c:v>
                  </c:pt>
                  <c:pt idx="90">
                    <c:v>0.0</c:v>
                  </c:pt>
                  <c:pt idx="91">
                    <c:v>0.0</c:v>
                  </c:pt>
                  <c:pt idx="92">
                    <c:v>8.2</c:v>
                  </c:pt>
                  <c:pt idx="93">
                    <c:v>0.0</c:v>
                  </c:pt>
                  <c:pt idx="94">
                    <c:v>0.0</c:v>
                  </c:pt>
                  <c:pt idx="95">
                    <c:v>0.0</c:v>
                  </c:pt>
                  <c:pt idx="96">
                    <c:v>0.0</c:v>
                  </c:pt>
                  <c:pt idx="97">
                    <c:v>0.0</c:v>
                  </c:pt>
                  <c:pt idx="98">
                    <c:v>0.0</c:v>
                  </c:pt>
                  <c:pt idx="99">
                    <c:v>0.0</c:v>
                  </c:pt>
                  <c:pt idx="100">
                    <c:v>0.0</c:v>
                  </c:pt>
                  <c:pt idx="101">
                    <c:v>0.0</c:v>
                  </c:pt>
                  <c:pt idx="102">
                    <c:v>0.0</c:v>
                  </c:pt>
                  <c:pt idx="103">
                    <c:v>0.0</c:v>
                  </c:pt>
                  <c:pt idx="104">
                    <c:v>0.0</c:v>
                  </c:pt>
                  <c:pt idx="105">
                    <c:v>0.0</c:v>
                  </c:pt>
                  <c:pt idx="106">
                    <c:v>0.0</c:v>
                  </c:pt>
                  <c:pt idx="107">
                    <c:v>0.0</c:v>
                  </c:pt>
                  <c:pt idx="108">
                    <c:v>0.0</c:v>
                  </c:pt>
                  <c:pt idx="109">
                    <c:v>0.0</c:v>
                  </c:pt>
                </c15:dlblRangeCache>
              </c15:datalabelsRange>
            </c:ext>
            <c:ext xmlns:c16="http://schemas.microsoft.com/office/drawing/2014/chart" uri="{C3380CC4-5D6E-409C-BE32-E72D297353CC}">
              <c16:uniqueId val="{000002A3-DE98-49D5-AFDA-582D0982E559}"/>
            </c:ext>
          </c:extLst>
        </c:ser>
        <c:dLbls>
          <c:showLegendKey val="0"/>
          <c:showVal val="0"/>
          <c:showCatName val="0"/>
          <c:showSerName val="0"/>
          <c:showPercent val="0"/>
          <c:showBubbleSize val="0"/>
        </c:dLbls>
        <c:axId val="311442800"/>
        <c:axId val="311442320"/>
      </c:scatterChart>
      <c:valAx>
        <c:axId val="31144280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dd/mm" sourceLinked="1"/>
        <c:majorTickMark val="none"/>
        <c:minorTickMark val="none"/>
        <c:tickLblPos val="nextTo"/>
        <c:spPr>
          <a:noFill/>
          <a:ln w="9525" cap="flat" cmpd="sng" algn="ctr">
            <a:solidFill>
              <a:schemeClr val="tx1">
                <a:lumMod val="25000"/>
                <a:lumOff val="7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442320"/>
        <c:crosses val="autoZero"/>
        <c:crossBetween val="midCat"/>
        <c:majorUnit val="7"/>
        <c:minorUnit val="1"/>
      </c:valAx>
      <c:valAx>
        <c:axId val="3114423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44280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Consumables</a:t>
            </a:r>
            <a:r>
              <a:rPr lang="en-GB" b="1" baseline="0"/>
              <a:t> in Camp</a:t>
            </a:r>
            <a:endParaRPr lang="en-GB" b="1"/>
          </a:p>
        </c:rich>
      </c:tx>
      <c:layout>
        <c:manualLayout>
          <c:xMode val="edge"/>
          <c:yMode val="edge"/>
          <c:x val="0.35868508257076437"/>
          <c:y val="3.8523267986456528E-2"/>
        </c:manualLayout>
      </c:layout>
      <c:overlay val="1"/>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scatterChart>
        <c:scatterStyle val="lineMarker"/>
        <c:varyColors val="0"/>
        <c:ser>
          <c:idx val="0"/>
          <c:order val="0"/>
          <c:tx>
            <c:strRef>
              <c:f>'04-07-25-Scen6-Good,16hr'!$AX$1</c:f>
              <c:strCache>
                <c:ptCount val="1"/>
                <c:pt idx="0">
                  <c:v>Drilling Fuel in Camp</c:v>
                </c:pt>
              </c:strCache>
            </c:strRef>
          </c:tx>
          <c:spPr>
            <a:ln w="19050" cap="rnd">
              <a:solidFill>
                <a:srgbClr val="FF0000"/>
              </a:solidFill>
              <a:round/>
            </a:ln>
            <a:effectLst/>
          </c:spPr>
          <c:marker>
            <c:symbol val="none"/>
          </c:marker>
          <c:xVal>
            <c:numRef>
              <c:f>'04-07-25-Scen6-Good,16hr'!$A$3:$A$112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'04-07-25-Scen6-Good,16hr'!$AX$3:$AX$112</c:f>
              <c:numCache>
                <c:formatCode>0</c:formatCode>
                <c:ptCount val="11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5.8396747967479676</c:v>
                </c:pt>
                <c:pt idx="15">
                  <c:v>5.6793495934959353</c:v>
                </c:pt>
                <c:pt idx="16">
                  <c:v>5.5190243902439029</c:v>
                </c:pt>
                <c:pt idx="17">
                  <c:v>5.1983739837398382</c:v>
                </c:pt>
                <c:pt idx="18">
                  <c:v>5.1983739837398382</c:v>
                </c:pt>
                <c:pt idx="19">
                  <c:v>4.8777235772357734</c:v>
                </c:pt>
                <c:pt idx="20">
                  <c:v>4.5570731707317087</c:v>
                </c:pt>
                <c:pt idx="21">
                  <c:v>4.236422764227644</c:v>
                </c:pt>
                <c:pt idx="22">
                  <c:v>3.9157723577235788</c:v>
                </c:pt>
                <c:pt idx="23">
                  <c:v>3.5951219512195136</c:v>
                </c:pt>
                <c:pt idx="24">
                  <c:v>3.2744715447154484</c:v>
                </c:pt>
                <c:pt idx="25">
                  <c:v>3.2744715447154484</c:v>
                </c:pt>
                <c:pt idx="26">
                  <c:v>2.9538211382113833</c:v>
                </c:pt>
                <c:pt idx="27">
                  <c:v>2.6331707317073181</c:v>
                </c:pt>
                <c:pt idx="28">
                  <c:v>2.3125203252032529</c:v>
                </c:pt>
                <c:pt idx="29">
                  <c:v>1.9918699186991877</c:v>
                </c:pt>
                <c:pt idx="30">
                  <c:v>1.6712195121951225</c:v>
                </c:pt>
                <c:pt idx="31">
                  <c:v>1.3505691056910574</c:v>
                </c:pt>
                <c:pt idx="32">
                  <c:v>1.3505691056910574</c:v>
                </c:pt>
                <c:pt idx="33">
                  <c:v>1.0299186991869922</c:v>
                </c:pt>
                <c:pt idx="34">
                  <c:v>0.70926829268292713</c:v>
                </c:pt>
                <c:pt idx="35">
                  <c:v>0.38861788617886206</c:v>
                </c:pt>
                <c:pt idx="36">
                  <c:v>6.7967479674796993E-2</c:v>
                </c:pt>
                <c:pt idx="37">
                  <c:v>5.7473170731707324</c:v>
                </c:pt>
                <c:pt idx="38">
                  <c:v>5.4266666666666676</c:v>
                </c:pt>
                <c:pt idx="39">
                  <c:v>5.4266666666666676</c:v>
                </c:pt>
                <c:pt idx="40">
                  <c:v>5.1060162601626029</c:v>
                </c:pt>
                <c:pt idx="41">
                  <c:v>4.7853658536585382</c:v>
                </c:pt>
                <c:pt idx="42">
                  <c:v>4.4647154471544734</c:v>
                </c:pt>
                <c:pt idx="43">
                  <c:v>4.4647154471544734</c:v>
                </c:pt>
                <c:pt idx="44">
                  <c:v>4.1440650406504087</c:v>
                </c:pt>
                <c:pt idx="45">
                  <c:v>3.8234146341463435</c:v>
                </c:pt>
                <c:pt idx="46">
                  <c:v>3.5027642276422783</c:v>
                </c:pt>
                <c:pt idx="47">
                  <c:v>3.1821138211382132</c:v>
                </c:pt>
                <c:pt idx="48">
                  <c:v>2.861463414634148</c:v>
                </c:pt>
                <c:pt idx="49">
                  <c:v>2.861463414634148</c:v>
                </c:pt>
                <c:pt idx="50">
                  <c:v>2.5408130081300828</c:v>
                </c:pt>
                <c:pt idx="51">
                  <c:v>2.2201626016260176</c:v>
                </c:pt>
                <c:pt idx="52">
                  <c:v>1.8995121951219525</c:v>
                </c:pt>
                <c:pt idx="53">
                  <c:v>1.8995121951219525</c:v>
                </c:pt>
                <c:pt idx="54">
                  <c:v>1.5788617886178873</c:v>
                </c:pt>
                <c:pt idx="55">
                  <c:v>1.2582113821138221</c:v>
                </c:pt>
                <c:pt idx="56">
                  <c:v>0.93756097560975704</c:v>
                </c:pt>
                <c:pt idx="57">
                  <c:v>0.61691056910569197</c:v>
                </c:pt>
                <c:pt idx="58">
                  <c:v>0.29626016260162691</c:v>
                </c:pt>
                <c:pt idx="59">
                  <c:v>5.9756097560975618</c:v>
                </c:pt>
                <c:pt idx="60">
                  <c:v>5.9756097560975618</c:v>
                </c:pt>
                <c:pt idx="61">
                  <c:v>5.6549593495934971</c:v>
                </c:pt>
                <c:pt idx="62">
                  <c:v>5.3343089430894324</c:v>
                </c:pt>
                <c:pt idx="63">
                  <c:v>5.0136585365853676</c:v>
                </c:pt>
                <c:pt idx="64">
                  <c:v>4.6930081300813029</c:v>
                </c:pt>
                <c:pt idx="65">
                  <c:v>4.3723577235772382</c:v>
                </c:pt>
                <c:pt idx="66">
                  <c:v>4.0517073170731734</c:v>
                </c:pt>
                <c:pt idx="67">
                  <c:v>4.0517073170731734</c:v>
                </c:pt>
                <c:pt idx="68">
                  <c:v>3.7310569105691083</c:v>
                </c:pt>
                <c:pt idx="69">
                  <c:v>3.4104065040650431</c:v>
                </c:pt>
                <c:pt idx="70">
                  <c:v>3.0897560975609779</c:v>
                </c:pt>
                <c:pt idx="71">
                  <c:v>2.7691056910569127</c:v>
                </c:pt>
                <c:pt idx="72">
                  <c:v>2.4484552845528476</c:v>
                </c:pt>
                <c:pt idx="73">
                  <c:v>2.1278048780487824</c:v>
                </c:pt>
                <c:pt idx="74">
                  <c:v>2.1278048780487824</c:v>
                </c:pt>
                <c:pt idx="75">
                  <c:v>1.8071544715447172</c:v>
                </c:pt>
                <c:pt idx="76">
                  <c:v>1.4169105691056929</c:v>
                </c:pt>
                <c:pt idx="77">
                  <c:v>1.0266666666666686</c:v>
                </c:pt>
                <c:pt idx="78">
                  <c:v>0.63642276422764421</c:v>
                </c:pt>
                <c:pt idx="79">
                  <c:v>0.24617886178861981</c:v>
                </c:pt>
                <c:pt idx="80">
                  <c:v>5.8559349593495957</c:v>
                </c:pt>
                <c:pt idx="81">
                  <c:v>5.8559349593495957</c:v>
                </c:pt>
                <c:pt idx="82">
                  <c:v>5.465691056910571</c:v>
                </c:pt>
                <c:pt idx="83">
                  <c:v>5.0754471544715463</c:v>
                </c:pt>
                <c:pt idx="84">
                  <c:v>4.6852032520325215</c:v>
                </c:pt>
                <c:pt idx="85">
                  <c:v>4.6120325203252044</c:v>
                </c:pt>
                <c:pt idx="86">
                  <c:v>4.6120325203252044</c:v>
                </c:pt>
                <c:pt idx="87">
                  <c:v>4.6120325203252044</c:v>
                </c:pt>
                <c:pt idx="88">
                  <c:v>4.6120325203252044</c:v>
                </c:pt>
                <c:pt idx="89">
                  <c:v>4.6120325203252044</c:v>
                </c:pt>
                <c:pt idx="90">
                  <c:v>4.6120325203252044</c:v>
                </c:pt>
                <c:pt idx="91">
                  <c:v>4.6120325203252044</c:v>
                </c:pt>
                <c:pt idx="92">
                  <c:v>4.6120325203252044</c:v>
                </c:pt>
                <c:pt idx="93">
                  <c:v>4.6120325203252044</c:v>
                </c:pt>
                <c:pt idx="94">
                  <c:v>4.6120325203252044</c:v>
                </c:pt>
                <c:pt idx="95">
                  <c:v>4.6120325203252044</c:v>
                </c:pt>
                <c:pt idx="96">
                  <c:v>4.6120325203252044</c:v>
                </c:pt>
                <c:pt idx="97">
                  <c:v>4.6120325203252044</c:v>
                </c:pt>
                <c:pt idx="98">
                  <c:v>4.6120325203252044</c:v>
                </c:pt>
                <c:pt idx="99">
                  <c:v>4.6120325203252044</c:v>
                </c:pt>
                <c:pt idx="100">
                  <c:v>4.6120325203252044</c:v>
                </c:pt>
                <c:pt idx="101">
                  <c:v>4.6120325203252044</c:v>
                </c:pt>
                <c:pt idx="102">
                  <c:v>4.6120325203252044</c:v>
                </c:pt>
                <c:pt idx="103">
                  <c:v>4.6120325203252044</c:v>
                </c:pt>
                <c:pt idx="104">
                  <c:v>4.6120325203252044</c:v>
                </c:pt>
                <c:pt idx="105">
                  <c:v>4.6120325203252044</c:v>
                </c:pt>
                <c:pt idx="106">
                  <c:v>4.6120325203252044</c:v>
                </c:pt>
                <c:pt idx="107">
                  <c:v>4.6120325203252044</c:v>
                </c:pt>
                <c:pt idx="108">
                  <c:v>4.6120325203252044</c:v>
                </c:pt>
                <c:pt idx="109">
                  <c:v>4.6120325203252044</c:v>
                </c:pt>
              </c:numCache>
            </c:numRef>
          </c:yVal>
          <c:smooth val="0"/>
          <c:extLst>
            <c:ext xmlns:c16="http://schemas.microsoft.com/office/drawing/2014/chart" uri="{C3380CC4-5D6E-409C-BE32-E72D297353CC}">
              <c16:uniqueId val="{00000000-D264-4E10-B7F7-AAF70EB489C3}"/>
            </c:ext>
          </c:extLst>
        </c:ser>
        <c:ser>
          <c:idx val="1"/>
          <c:order val="1"/>
          <c:tx>
            <c:strRef>
              <c:f>'04-07-25-Scen6-Good,16hr'!$AY$1</c:f>
              <c:strCache>
                <c:ptCount val="1"/>
                <c:pt idx="0">
                  <c:v>D60 in Camp (excl Borehole)</c:v>
                </c:pt>
              </c:strCache>
            </c:strRef>
          </c:tx>
          <c:spPr>
            <a:ln w="19050" cap="rnd">
              <a:solidFill>
                <a:schemeClr val="tx2">
                  <a:lumMod val="50000"/>
                  <a:lumOff val="50000"/>
                </a:schemeClr>
              </a:solidFill>
              <a:round/>
            </a:ln>
            <a:effectLst/>
          </c:spPr>
          <c:marker>
            <c:symbol val="none"/>
          </c:marker>
          <c:xVal>
            <c:numRef>
              <c:f>'04-07-25-Scen6-Good,16hr'!$A$3:$A$112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'04-07-25-Scen6-Good,16hr'!$AY$3:$AY$112</c:f>
              <c:numCache>
                <c:formatCode>0</c:formatCode>
                <c:ptCount val="110"/>
                <c:pt idx="0">
                  <c:v>4</c:v>
                </c:pt>
                <c:pt idx="1">
                  <c:v>4</c:v>
                </c:pt>
                <c:pt idx="2">
                  <c:v>4</c:v>
                </c:pt>
                <c:pt idx="3">
                  <c:v>4</c:v>
                </c:pt>
                <c:pt idx="4">
                  <c:v>4</c:v>
                </c:pt>
                <c:pt idx="5">
                  <c:v>4</c:v>
                </c:pt>
                <c:pt idx="6">
                  <c:v>4</c:v>
                </c:pt>
                <c:pt idx="7">
                  <c:v>4</c:v>
                </c:pt>
                <c:pt idx="8">
                  <c:v>4</c:v>
                </c:pt>
                <c:pt idx="9">
                  <c:v>4</c:v>
                </c:pt>
                <c:pt idx="10">
                  <c:v>4</c:v>
                </c:pt>
                <c:pt idx="11">
                  <c:v>4</c:v>
                </c:pt>
                <c:pt idx="12">
                  <c:v>4</c:v>
                </c:pt>
                <c:pt idx="13">
                  <c:v>4</c:v>
                </c:pt>
                <c:pt idx="14">
                  <c:v>4</c:v>
                </c:pt>
                <c:pt idx="15">
                  <c:v>3.36598575811509</c:v>
                </c:pt>
                <c:pt idx="16">
                  <c:v>2.7308059103965605</c:v>
                </c:pt>
                <c:pt idx="17">
                  <c:v>1.4885321082827363</c:v>
                </c:pt>
                <c:pt idx="18">
                  <c:v>1.4885321082827363</c:v>
                </c:pt>
                <c:pt idx="19">
                  <c:v>0.28108998134226049</c:v>
                </c:pt>
                <c:pt idx="20">
                  <c:v>5.1057042289417556</c:v>
                </c:pt>
                <c:pt idx="21">
                  <c:v>3.9599496207923686</c:v>
                </c:pt>
                <c:pt idx="22">
                  <c:v>2.8416921293669724</c:v>
                </c:pt>
                <c:pt idx="23">
                  <c:v>1.7490422094902911</c:v>
                </c:pt>
                <c:pt idx="24">
                  <c:v>0.68031729517423045</c:v>
                </c:pt>
                <c:pt idx="25">
                  <c:v>0.68031729517423045</c:v>
                </c:pt>
                <c:pt idx="26">
                  <c:v>5.6340113840552934</c:v>
                </c:pt>
                <c:pt idx="27">
                  <c:v>4.6087701379776558</c:v>
                </c:pt>
                <c:pt idx="28">
                  <c:v>3.6033703241544686</c:v>
                </c:pt>
                <c:pt idx="29">
                  <c:v>2.6167027064253787</c:v>
                </c:pt>
                <c:pt idx="30">
                  <c:v>1.6477577042985452</c:v>
                </c:pt>
                <c:pt idx="31">
                  <c:v>0.69561329142566919</c:v>
                </c:pt>
                <c:pt idx="32">
                  <c:v>0.69561329142566919</c:v>
                </c:pt>
                <c:pt idx="33">
                  <c:v>5.7594247203730227</c:v>
                </c:pt>
                <c:pt idx="34">
                  <c:v>4.8384157477139702</c:v>
                </c:pt>
                <c:pt idx="35">
                  <c:v>3.9318711000771742</c:v>
                </c:pt>
                <c:pt idx="36">
                  <c:v>3.0391299731653234</c:v>
                </c:pt>
                <c:pt idx="37">
                  <c:v>2.1595803957419584</c:v>
                </c:pt>
                <c:pt idx="38">
                  <c:v>1.2926543219514883</c:v>
                </c:pt>
                <c:pt idx="39">
                  <c:v>1.2926543219514883</c:v>
                </c:pt>
                <c:pt idx="40">
                  <c:v>0.43782334013569724</c:v>
                </c:pt>
                <c:pt idx="41">
                  <c:v>5.5945949060555726</c:v>
                </c:pt>
                <c:pt idx="42">
                  <c:v>4.7625090242563779</c:v>
                </c:pt>
                <c:pt idx="43">
                  <c:v>4.7625090242563779</c:v>
                </c:pt>
                <c:pt idx="44">
                  <c:v>3.9411353140843701</c:v>
                </c:pt>
                <c:pt idx="45">
                  <c:v>3.1300704072280077</c:v>
                </c:pt>
                <c:pt idx="46">
                  <c:v>2.3289356321168455</c:v>
                </c:pt>
                <c:pt idx="47">
                  <c:v>1.5373749474538023</c:v>
                </c:pt>
                <c:pt idx="48">
                  <c:v>0.7550530928831094</c:v>
                </c:pt>
                <c:pt idx="49">
                  <c:v>0.7550530928831094</c:v>
                </c:pt>
                <c:pt idx="50">
                  <c:v>5.9816539295426701</c:v>
                </c:pt>
                <c:pt idx="51">
                  <c:v>5.216878947201419</c:v>
                </c:pt>
                <c:pt idx="52">
                  <c:v>4.4604459179876805</c:v>
                </c:pt>
                <c:pt idx="53">
                  <c:v>4.4604459179876805</c:v>
                </c:pt>
                <c:pt idx="54">
                  <c:v>3.712087679489894</c:v>
                </c:pt>
                <c:pt idx="55">
                  <c:v>2.9715510323517655</c:v>
                </c:pt>
                <c:pt idx="56">
                  <c:v>2.2385957394643654</c:v>
                </c:pt>
                <c:pt idx="57">
                  <c:v>1.5129936155405588</c:v>
                </c:pt>
                <c:pt idx="58">
                  <c:v>0.79452769729125805</c:v>
                </c:pt>
                <c:pt idx="59">
                  <c:v>8.2991485649877461E-2</c:v>
                </c:pt>
                <c:pt idx="60">
                  <c:v>8.2991485649877461E-2</c:v>
                </c:pt>
                <c:pt idx="61">
                  <c:v>5.3781882525437155</c:v>
                </c:pt>
                <c:pt idx="62">
                  <c:v>4.6799304056170286</c:v>
                </c:pt>
                <c:pt idx="63">
                  <c:v>3.9880389050922886</c:v>
                </c:pt>
                <c:pt idx="64">
                  <c:v>3.3023427276332313</c:v>
                </c:pt>
                <c:pt idx="65">
                  <c:v>2.6226783726606513</c:v>
                </c:pt>
                <c:pt idx="66">
                  <c:v>1.9488894070833922</c:v>
                </c:pt>
                <c:pt idx="67">
                  <c:v>1.9488894070833922</c:v>
                </c:pt>
                <c:pt idx="68">
                  <c:v>1.2808260448528728</c:v>
                </c:pt>
                <c:pt idx="69">
                  <c:v>0.61834475814002587</c:v>
                </c:pt>
                <c:pt idx="70">
                  <c:v>5.961307917275434</c:v>
                </c:pt>
                <c:pt idx="71">
                  <c:v>5.3095834568938187</c:v>
                </c:pt>
                <c:pt idx="72">
                  <c:v>4.6630445659893596</c:v>
                </c:pt>
                <c:pt idx="73">
                  <c:v>4.0215693998212814</c:v>
                </c:pt>
                <c:pt idx="74">
                  <c:v>4.0215693998212814</c:v>
                </c:pt>
                <c:pt idx="75">
                  <c:v>3.3850408118159763</c:v>
                </c:pt>
                <c:pt idx="76">
                  <c:v>10.483793481126337</c:v>
                </c:pt>
                <c:pt idx="77">
                  <c:v>17.287932880673697</c:v>
                </c:pt>
                <c:pt idx="78">
                  <c:v>22.613318486555848</c:v>
                </c:pt>
                <c:pt idx="79">
                  <c:v>27.139707073229545</c:v>
                </c:pt>
                <c:pt idx="80">
                  <c:v>31.145572777506672</c:v>
                </c:pt>
                <c:pt idx="81">
                  <c:v>31.145572777506672</c:v>
                </c:pt>
                <c:pt idx="82">
                  <c:v>34.77755302441588</c:v>
                </c:pt>
                <c:pt idx="83">
                  <c:v>38.124142365557226</c:v>
                </c:pt>
                <c:pt idx="84">
                  <c:v>41.243613961857626</c:v>
                </c:pt>
                <c:pt idx="85">
                  <c:v>41.806748981853701</c:v>
                </c:pt>
                <c:pt idx="86">
                  <c:v>41.806748981853701</c:v>
                </c:pt>
                <c:pt idx="87">
                  <c:v>41.806748981853701</c:v>
                </c:pt>
                <c:pt idx="88">
                  <c:v>41.806748981853701</c:v>
                </c:pt>
                <c:pt idx="89">
                  <c:v>41.806748981853701</c:v>
                </c:pt>
                <c:pt idx="90">
                  <c:v>41.806748981853701</c:v>
                </c:pt>
                <c:pt idx="91">
                  <c:v>41.806748981853701</c:v>
                </c:pt>
                <c:pt idx="92">
                  <c:v>41.806748981853701</c:v>
                </c:pt>
                <c:pt idx="93">
                  <c:v>41.806748981853701</c:v>
                </c:pt>
                <c:pt idx="94">
                  <c:v>41.806748981853701</c:v>
                </c:pt>
                <c:pt idx="95">
                  <c:v>41.806748981853701</c:v>
                </c:pt>
                <c:pt idx="96">
                  <c:v>41.806748981853701</c:v>
                </c:pt>
                <c:pt idx="97">
                  <c:v>41.806748981853701</c:v>
                </c:pt>
                <c:pt idx="98">
                  <c:v>41.806748981853701</c:v>
                </c:pt>
                <c:pt idx="99">
                  <c:v>41.806748981853701</c:v>
                </c:pt>
                <c:pt idx="100">
                  <c:v>41.806748981853701</c:v>
                </c:pt>
                <c:pt idx="101">
                  <c:v>41.806748981853701</c:v>
                </c:pt>
                <c:pt idx="102">
                  <c:v>41.806748981853701</c:v>
                </c:pt>
                <c:pt idx="103">
                  <c:v>41.806748981853701</c:v>
                </c:pt>
                <c:pt idx="104">
                  <c:v>41.806748981853701</c:v>
                </c:pt>
                <c:pt idx="105">
                  <c:v>41.806748981853701</c:v>
                </c:pt>
                <c:pt idx="106">
                  <c:v>41.806748981853701</c:v>
                </c:pt>
                <c:pt idx="107">
                  <c:v>41.806748981853701</c:v>
                </c:pt>
                <c:pt idx="108">
                  <c:v>41.806748981853701</c:v>
                </c:pt>
                <c:pt idx="109">
                  <c:v>41.806748981853701</c:v>
                </c:pt>
              </c:numCache>
            </c:numRef>
          </c:yVal>
          <c:smooth val="0"/>
          <c:extLst>
            <c:ext xmlns:c16="http://schemas.microsoft.com/office/drawing/2014/chart" uri="{C3380CC4-5D6E-409C-BE32-E72D297353CC}">
              <c16:uniqueId val="{00000001-D264-4E10-B7F7-AAF70EB489C3}"/>
            </c:ext>
          </c:extLst>
        </c:ser>
        <c:dLbls>
          <c:showLegendKey val="0"/>
          <c:showVal val="0"/>
          <c:showCatName val="0"/>
          <c:showSerName val="0"/>
          <c:showPercent val="0"/>
          <c:showBubbleSize val="0"/>
        </c:dLbls>
        <c:axId val="980558687"/>
        <c:axId val="980561087"/>
      </c:scatterChart>
      <c:scatterChart>
        <c:scatterStyle val="lineMarker"/>
        <c:varyColors val="0"/>
        <c:ser>
          <c:idx val="2"/>
          <c:order val="2"/>
          <c:tx>
            <c:strRef>
              <c:f>'04-07-25-Scen6-Good,16hr'!$AZ$1</c:f>
              <c:strCache>
                <c:ptCount val="1"/>
                <c:pt idx="0">
                  <c:v>Filled Core Boxes in Camp</c:v>
                </c:pt>
              </c:strCache>
            </c:strRef>
          </c:tx>
          <c:spPr>
            <a:ln w="19050" cap="rnd">
              <a:solidFill>
                <a:srgbClr val="00B050"/>
              </a:solidFill>
              <a:round/>
            </a:ln>
            <a:effectLst/>
          </c:spPr>
          <c:marker>
            <c:symbol val="none"/>
          </c:marker>
          <c:xVal>
            <c:numRef>
              <c:f>'04-07-25-Scen6-Good,16hr'!$A$3:$A$112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'04-07-25-Scen6-Good,16hr'!$AZ$3:$AZ$112</c:f>
              <c:numCache>
                <c:formatCode>0</c:formatCode>
                <c:ptCount val="11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1.6388869864316742</c:v>
                </c:pt>
                <c:pt idx="15">
                  <c:v>3.251702271378941</c:v>
                </c:pt>
                <c:pt idx="16">
                  <c:v>4.8396518906752659</c:v>
                </c:pt>
                <c:pt idx="17">
                  <c:v>7.9453363959598251</c:v>
                </c:pt>
                <c:pt idx="18">
                  <c:v>7.9453363959598251</c:v>
                </c:pt>
                <c:pt idx="19">
                  <c:v>10.963941713311016</c:v>
                </c:pt>
                <c:pt idx="20">
                  <c:v>13.902406094312278</c:v>
                </c:pt>
                <c:pt idx="21">
                  <c:v>16.766792614685745</c:v>
                </c:pt>
                <c:pt idx="22">
                  <c:v>19.562436343249235</c:v>
                </c:pt>
                <c:pt idx="23">
                  <c:v>22.294061142940937</c:v>
                </c:pt>
                <c:pt idx="24">
                  <c:v>4.9658734287310899</c:v>
                </c:pt>
                <c:pt idx="25">
                  <c:v>4.9658734287310899</c:v>
                </c:pt>
                <c:pt idx="26">
                  <c:v>7.5816382065284351</c:v>
                </c:pt>
                <c:pt idx="27">
                  <c:v>10.144741321722524</c:v>
                </c:pt>
                <c:pt idx="28">
                  <c:v>12.658240856280493</c:v>
                </c:pt>
                <c:pt idx="29">
                  <c:v>15.124909900603221</c:v>
                </c:pt>
                <c:pt idx="30">
                  <c:v>17.547272405920303</c:v>
                </c:pt>
                <c:pt idx="31">
                  <c:v>19.927633438102497</c:v>
                </c:pt>
                <c:pt idx="32">
                  <c:v>19.927633438102497</c:v>
                </c:pt>
                <c:pt idx="33">
                  <c:v>22.268104865734109</c:v>
                </c:pt>
                <c:pt idx="34">
                  <c:v>4.5706272973817406</c:v>
                </c:pt>
                <c:pt idx="35">
                  <c:v>6.8369889164737288</c:v>
                </c:pt>
                <c:pt idx="36">
                  <c:v>9.0688417337533522</c:v>
                </c:pt>
                <c:pt idx="37">
                  <c:v>11.26771567731177</c:v>
                </c:pt>
                <c:pt idx="38">
                  <c:v>13.435030861787943</c:v>
                </c:pt>
                <c:pt idx="39">
                  <c:v>13.435030861787943</c:v>
                </c:pt>
                <c:pt idx="40">
                  <c:v>15.572108316327423</c:v>
                </c:pt>
                <c:pt idx="41">
                  <c:v>17.680179401527738</c:v>
                </c:pt>
                <c:pt idx="42">
                  <c:v>19.760394106025721</c:v>
                </c:pt>
                <c:pt idx="43">
                  <c:v>19.760394106025721</c:v>
                </c:pt>
                <c:pt idx="44">
                  <c:v>21.813828381455743</c:v>
                </c:pt>
                <c:pt idx="45">
                  <c:v>3.8414906485966469</c:v>
                </c:pt>
                <c:pt idx="46">
                  <c:v>5.844327586374547</c:v>
                </c:pt>
                <c:pt idx="47">
                  <c:v>7.8232292980321603</c:v>
                </c:pt>
                <c:pt idx="48">
                  <c:v>9.7790339344588944</c:v>
                </c:pt>
                <c:pt idx="49">
                  <c:v>9.7790339344588944</c:v>
                </c:pt>
                <c:pt idx="50">
                  <c:v>11.712531842809994</c:v>
                </c:pt>
                <c:pt idx="51">
                  <c:v>13.624469298663115</c:v>
                </c:pt>
                <c:pt idx="52">
                  <c:v>15.515551871697468</c:v>
                </c:pt>
                <c:pt idx="53">
                  <c:v>15.515551871697468</c:v>
                </c:pt>
                <c:pt idx="54">
                  <c:v>17.386447467941935</c:v>
                </c:pt>
                <c:pt idx="55">
                  <c:v>19.237789085787256</c:v>
                </c:pt>
                <c:pt idx="56">
                  <c:v>21.070177318005747</c:v>
                </c:pt>
                <c:pt idx="57">
                  <c:v>2.884182627815278</c:v>
                </c:pt>
                <c:pt idx="58">
                  <c:v>4.6803474234385334</c:v>
                </c:pt>
                <c:pt idx="59">
                  <c:v>6.4591879525419813</c:v>
                </c:pt>
                <c:pt idx="60">
                  <c:v>6.4591879525419813</c:v>
                </c:pt>
                <c:pt idx="61">
                  <c:v>8.2211960353073863</c:v>
                </c:pt>
                <c:pt idx="62">
                  <c:v>9.9668406526241</c:v>
                </c:pt>
                <c:pt idx="63">
                  <c:v>11.696569403935939</c:v>
                </c:pt>
                <c:pt idx="64">
                  <c:v>13.410809847583593</c:v>
                </c:pt>
                <c:pt idx="65">
                  <c:v>15.10997073501504</c:v>
                </c:pt>
                <c:pt idx="66">
                  <c:v>16.79444314895818</c:v>
                </c:pt>
                <c:pt idx="67">
                  <c:v>16.79444314895818</c:v>
                </c:pt>
                <c:pt idx="68">
                  <c:v>18.464601554534497</c:v>
                </c:pt>
                <c:pt idx="69">
                  <c:v>20.1208047713166</c:v>
                </c:pt>
                <c:pt idx="70">
                  <c:v>1.7633968734780865</c:v>
                </c:pt>
                <c:pt idx="71">
                  <c:v>3.3927080244321246</c:v>
                </c:pt>
                <c:pt idx="72">
                  <c:v>5.0090552516932689</c:v>
                </c:pt>
                <c:pt idx="73">
                  <c:v>6.6127431671134644</c:v>
                </c:pt>
                <c:pt idx="74">
                  <c:v>6.6127431671134644</c:v>
                </c:pt>
                <c:pt idx="75">
                  <c:v>8.2040646371267343</c:v>
                </c:pt>
                <c:pt idx="76">
                  <c:v>8.2040646371267343</c:v>
                </c:pt>
                <c:pt idx="77">
                  <c:v>8.2040646371267343</c:v>
                </c:pt>
                <c:pt idx="78">
                  <c:v>8.2040646371267343</c:v>
                </c:pt>
                <c:pt idx="79">
                  <c:v>8.2040646371267343</c:v>
                </c:pt>
                <c:pt idx="80">
                  <c:v>8.2040646371267343</c:v>
                </c:pt>
                <c:pt idx="81">
                  <c:v>8.2040646371267343</c:v>
                </c:pt>
                <c:pt idx="82">
                  <c:v>8.2040646371267343</c:v>
                </c:pt>
                <c:pt idx="83">
                  <c:v>8.2040646371267343</c:v>
                </c:pt>
                <c:pt idx="84">
                  <c:v>8.2040646371267343</c:v>
                </c:pt>
                <c:pt idx="85">
                  <c:v>8.2040646371267343</c:v>
                </c:pt>
                <c:pt idx="86">
                  <c:v>8.2040646371267343</c:v>
                </c:pt>
                <c:pt idx="87">
                  <c:v>8.2040646371267343</c:v>
                </c:pt>
                <c:pt idx="88">
                  <c:v>8.2040646371267343</c:v>
                </c:pt>
                <c:pt idx="89">
                  <c:v>8.2040646371267343</c:v>
                </c:pt>
                <c:pt idx="90">
                  <c:v>8.2040646371267343</c:v>
                </c:pt>
                <c:pt idx="91">
                  <c:v>8.2040646371267343</c:v>
                </c:pt>
                <c:pt idx="92">
                  <c:v>8.2040646371267343</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numCache>
            </c:numRef>
          </c:yVal>
          <c:smooth val="0"/>
          <c:extLst>
            <c:ext xmlns:c16="http://schemas.microsoft.com/office/drawing/2014/chart" uri="{C3380CC4-5D6E-409C-BE32-E72D297353CC}">
              <c16:uniqueId val="{00000002-D264-4E10-B7F7-AAF70EB489C3}"/>
            </c:ext>
          </c:extLst>
        </c:ser>
        <c:dLbls>
          <c:showLegendKey val="0"/>
          <c:showVal val="0"/>
          <c:showCatName val="0"/>
          <c:showSerName val="0"/>
          <c:showPercent val="0"/>
          <c:showBubbleSize val="0"/>
        </c:dLbls>
        <c:axId val="1374332383"/>
        <c:axId val="1374338623"/>
      </c:scatterChart>
      <c:valAx>
        <c:axId val="980558687"/>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dd/mm" sourceLinked="1"/>
        <c:majorTickMark val="none"/>
        <c:minorTickMark val="none"/>
        <c:tickLblPos val="nextTo"/>
        <c:spPr>
          <a:noFill/>
          <a:ln w="9525" cap="flat" cmpd="sng" algn="ctr">
            <a:solidFill>
              <a:schemeClr val="tx1">
                <a:lumMod val="25000"/>
                <a:lumOff val="7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561087"/>
        <c:crosses val="autoZero"/>
        <c:crossBetween val="midCat"/>
        <c:majorUnit val="7"/>
        <c:minorUnit val="1"/>
      </c:valAx>
      <c:valAx>
        <c:axId val="980561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Drums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558687"/>
        <c:crosses val="autoZero"/>
        <c:crossBetween val="midCat"/>
      </c:valAx>
      <c:valAx>
        <c:axId val="1374338623"/>
        <c:scaling>
          <c:orientation val="minMax"/>
          <c:min val="0"/>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Core</a:t>
                </a:r>
                <a:r>
                  <a:rPr lang="en-GB" baseline="0"/>
                  <a:t> Boxes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332383"/>
        <c:crosses val="max"/>
        <c:crossBetween val="midCat"/>
      </c:valAx>
      <c:valAx>
        <c:axId val="1374332383"/>
        <c:scaling>
          <c:orientation val="minMax"/>
        </c:scaling>
        <c:delete val="1"/>
        <c:axPos val="b"/>
        <c:numFmt formatCode="dd/mm" sourceLinked="1"/>
        <c:majorTickMark val="out"/>
        <c:minorTickMark val="none"/>
        <c:tickLblPos val="nextTo"/>
        <c:crossAx val="13743386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Drilling Progress &amp; Required</a:t>
            </a:r>
            <a:r>
              <a:rPr lang="en-GB" b="1" baseline="0"/>
              <a:t> Inputs</a:t>
            </a:r>
            <a:endParaRPr lang="en-GB" b="1"/>
          </a:p>
        </c:rich>
      </c:tx>
      <c:layout>
        <c:manualLayout>
          <c:xMode val="edge"/>
          <c:yMode val="edge"/>
          <c:x val="0.32371889389769276"/>
          <c:y val="0.89906318088500958"/>
        </c:manualLayout>
      </c:layout>
      <c:overlay val="1"/>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scatterChart>
        <c:scatterStyle val="lineMarker"/>
        <c:varyColors val="0"/>
        <c:ser>
          <c:idx val="0"/>
          <c:order val="0"/>
          <c:tx>
            <c:strRef>
              <c:f>'08-07-25-Scen7-GennyFail'!$AL$1</c:f>
              <c:strCache>
                <c:ptCount val="1"/>
                <c:pt idx="0">
                  <c:v>End of Day Drill Depth</c:v>
                </c:pt>
              </c:strCache>
            </c:strRef>
          </c:tx>
          <c:spPr>
            <a:ln w="19050" cap="rnd">
              <a:solidFill>
                <a:srgbClr val="00B050"/>
              </a:solidFill>
              <a:round/>
            </a:ln>
            <a:effectLst/>
          </c:spPr>
          <c:marker>
            <c:symbol val="none"/>
          </c:marker>
          <c:xVal>
            <c:numRef>
              <c:f>'08-07-25-Scen7-GennyFail'!$A$3:$A$112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'08-07-25-Scen7-GennyFail'!$AL$3:$AL$112</c:f>
              <c:numCache>
                <c:formatCode>0.00</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-70</c:v>
                </c:pt>
                <c:pt idx="22">
                  <c:v>-79.833321918590045</c:v>
                </c:pt>
                <c:pt idx="23">
                  <c:v>-89.510213628273647</c:v>
                </c:pt>
                <c:pt idx="24">
                  <c:v>-99.037911344051594</c:v>
                </c:pt>
                <c:pt idx="25">
                  <c:v>-126.79040696937267</c:v>
                </c:pt>
                <c:pt idx="26">
                  <c:v>-126.79040696937267</c:v>
                </c:pt>
                <c:pt idx="27">
                  <c:v>-153.41443656587367</c:v>
                </c:pt>
                <c:pt idx="28">
                  <c:v>-179.03739374715821</c:v>
                </c:pt>
                <c:pt idx="29">
                  <c:v>-203.76436685764563</c:v>
                </c:pt>
                <c:pt idx="30">
                  <c:v>-227.6832514206119</c:v>
                </c:pt>
                <c:pt idx="31">
                  <c:v>-250.8684479303349</c:v>
                </c:pt>
                <c:pt idx="32">
                  <c:v>-250.8684479303349</c:v>
                </c:pt>
                <c:pt idx="33">
                  <c:v>-273.38359589594342</c:v>
                </c:pt>
                <c:pt idx="34">
                  <c:v>-295.28363443552161</c:v>
                </c:pt>
                <c:pt idx="35">
                  <c:v>-316.6163817101509</c:v>
                </c:pt>
                <c:pt idx="36">
                  <c:v>-337.42376378429032</c:v>
                </c:pt>
                <c:pt idx="37">
                  <c:v>-357.74278357270839</c:v>
                </c:pt>
                <c:pt idx="38">
                  <c:v>-377.60629406387062</c:v>
                </c:pt>
                <c:pt idx="39">
                  <c:v>-377.60629406387062</c:v>
                </c:pt>
                <c:pt idx="40">
                  <c:v>-397.04362207560342</c:v>
                </c:pt>
                <c:pt idx="41">
                  <c:v>-416.08107640916654</c:v>
                </c:pt>
                <c:pt idx="42">
                  <c:v>-434.74236555649424</c:v>
                </c:pt>
                <c:pt idx="43">
                  <c:v>-434.74236555649435</c:v>
                </c:pt>
                <c:pt idx="44">
                  <c:v>-453.04894389158022</c:v>
                </c:pt>
                <c:pt idx="45">
                  <c:v>-471.02030076512392</c:v>
                </c:pt>
                <c:pt idx="46">
                  <c:v>-488.67420360675374</c:v>
                </c:pt>
                <c:pt idx="47">
                  <c:v>-506.02690367370093</c:v>
                </c:pt>
                <c:pt idx="48">
                  <c:v>-523.09331123018524</c:v>
                </c:pt>
                <c:pt idx="49">
                  <c:v>-523.09331123018535</c:v>
                </c:pt>
                <c:pt idx="50">
                  <c:v>-539.88714553193392</c:v>
                </c:pt>
                <c:pt idx="51">
                  <c:v>-556.42106390803497</c:v>
                </c:pt>
                <c:pt idx="52">
                  <c:v>-572.70677339402755</c:v>
                </c:pt>
                <c:pt idx="53">
                  <c:v>-588.75512771525246</c:v>
                </c:pt>
                <c:pt idx="54">
                  <c:v>-604.57621190383429</c:v>
                </c:pt>
                <c:pt idx="55">
                  <c:v>-620.17941642361609</c:v>
                </c:pt>
                <c:pt idx="56">
                  <c:v>-620.17941642361609</c:v>
                </c:pt>
                <c:pt idx="57">
                  <c:v>-635.57350235060562</c:v>
                </c:pt>
                <c:pt idx="58">
                  <c:v>-650.76665889374954</c:v>
                </c:pt>
                <c:pt idx="59">
                  <c:v>-665.76655432827931</c:v>
                </c:pt>
                <c:pt idx="60">
                  <c:v>-665.76655432827931</c:v>
                </c:pt>
                <c:pt idx="61">
                  <c:v>-680.58038124086897</c:v>
                </c:pt>
                <c:pt idx="62">
                  <c:v>-695.2148968442765</c:v>
                </c:pt>
                <c:pt idx="63">
                  <c:v>-709.67645900268121</c:v>
                </c:pt>
                <c:pt idx="64">
                  <c:v>-723.9710585126478</c:v>
                </c:pt>
                <c:pt idx="65">
                  <c:v>-723.9710585126478</c:v>
                </c:pt>
                <c:pt idx="66">
                  <c:v>-723.9710585126478</c:v>
                </c:pt>
                <c:pt idx="67">
                  <c:v>-723.9710585126478</c:v>
                </c:pt>
                <c:pt idx="68">
                  <c:v>-723.9710585126478</c:v>
                </c:pt>
                <c:pt idx="69">
                  <c:v>-723.9710585126478</c:v>
                </c:pt>
                <c:pt idx="70">
                  <c:v>-723.9710585126478</c:v>
                </c:pt>
                <c:pt idx="71">
                  <c:v>-723.9710585126478</c:v>
                </c:pt>
                <c:pt idx="72">
                  <c:v>-723.9710585126478</c:v>
                </c:pt>
                <c:pt idx="73">
                  <c:v>-723.9710585126478</c:v>
                </c:pt>
                <c:pt idx="74">
                  <c:v>-723.9710585126478</c:v>
                </c:pt>
                <c:pt idx="75">
                  <c:v>-723.9710585126478</c:v>
                </c:pt>
                <c:pt idx="76">
                  <c:v>-723.9710585126478</c:v>
                </c:pt>
                <c:pt idx="77">
                  <c:v>-723.9710585126478</c:v>
                </c:pt>
                <c:pt idx="78">
                  <c:v>-723.9710585126478</c:v>
                </c:pt>
                <c:pt idx="79">
                  <c:v>-723.9710585126478</c:v>
                </c:pt>
                <c:pt idx="80">
                  <c:v>-723.9710585126478</c:v>
                </c:pt>
                <c:pt idx="81">
                  <c:v>-723.9710585126478</c:v>
                </c:pt>
                <c:pt idx="82">
                  <c:v>-723.9710585126478</c:v>
                </c:pt>
                <c:pt idx="83">
                  <c:v>-723.9710585126478</c:v>
                </c:pt>
                <c:pt idx="84">
                  <c:v>-723.9710585126478</c:v>
                </c:pt>
                <c:pt idx="85">
                  <c:v>-723.9710585126478</c:v>
                </c:pt>
                <c:pt idx="86">
                  <c:v>-723.9710585126478</c:v>
                </c:pt>
                <c:pt idx="87">
                  <c:v>-723.9710585126478</c:v>
                </c:pt>
                <c:pt idx="88">
                  <c:v>-723.9710585126478</c:v>
                </c:pt>
                <c:pt idx="89">
                  <c:v>-723.9710585126478</c:v>
                </c:pt>
                <c:pt idx="90">
                  <c:v>-723.9710585126478</c:v>
                </c:pt>
                <c:pt idx="91">
                  <c:v>-723.9710585126478</c:v>
                </c:pt>
                <c:pt idx="92">
                  <c:v>-723.9710585126478</c:v>
                </c:pt>
                <c:pt idx="93">
                  <c:v>-723.9710585126478</c:v>
                </c:pt>
                <c:pt idx="94">
                  <c:v>-723.9710585126478</c:v>
                </c:pt>
                <c:pt idx="95">
                  <c:v>-723.9710585126478</c:v>
                </c:pt>
                <c:pt idx="96">
                  <c:v>-723.9710585126478</c:v>
                </c:pt>
                <c:pt idx="97">
                  <c:v>-723.9710585126478</c:v>
                </c:pt>
                <c:pt idx="98">
                  <c:v>-723.9710585126478</c:v>
                </c:pt>
                <c:pt idx="99">
                  <c:v>-723.9710585126478</c:v>
                </c:pt>
                <c:pt idx="100">
                  <c:v>-723.9710585126478</c:v>
                </c:pt>
                <c:pt idx="101">
                  <c:v>-723.9710585126478</c:v>
                </c:pt>
                <c:pt idx="102">
                  <c:v>-723.9710585126478</c:v>
                </c:pt>
                <c:pt idx="103">
                  <c:v>-723.9710585126478</c:v>
                </c:pt>
                <c:pt idx="104">
                  <c:v>-723.9710585126478</c:v>
                </c:pt>
                <c:pt idx="105">
                  <c:v>-723.9710585126478</c:v>
                </c:pt>
                <c:pt idx="106">
                  <c:v>-723.9710585126478</c:v>
                </c:pt>
                <c:pt idx="107">
                  <c:v>-723.9710585126478</c:v>
                </c:pt>
                <c:pt idx="108">
                  <c:v>-723.9710585126478</c:v>
                </c:pt>
                <c:pt idx="109">
                  <c:v>-723.9710585126478</c:v>
                </c:pt>
              </c:numCache>
            </c:numRef>
          </c:yVal>
          <c:smooth val="0"/>
          <c:extLst>
            <c:ext xmlns:c16="http://schemas.microsoft.com/office/drawing/2014/chart" uri="{C3380CC4-5D6E-409C-BE32-E72D297353CC}">
              <c16:uniqueId val="{00000000-80C4-4BDD-97FE-9CAA94854A8E}"/>
            </c:ext>
          </c:extLst>
        </c:ser>
        <c:ser>
          <c:idx val="6"/>
          <c:order val="1"/>
          <c:tx>
            <c:strRef>
              <c:f>'08-07-25-Scen7-GennyFail'!$AM$1</c:f>
              <c:strCache>
                <c:ptCount val="1"/>
                <c:pt idx="0">
                  <c:v>End of Day Bailing Depth</c:v>
                </c:pt>
              </c:strCache>
            </c:strRef>
          </c:tx>
          <c:spPr>
            <a:ln w="19050" cap="rnd">
              <a:solidFill>
                <a:schemeClr val="tx2">
                  <a:lumMod val="50000"/>
                  <a:lumOff val="50000"/>
                </a:schemeClr>
              </a:solidFill>
              <a:round/>
            </a:ln>
            <a:effectLst/>
          </c:spPr>
          <c:marker>
            <c:symbol val="none"/>
          </c:marker>
          <c:xVal>
            <c:numRef>
              <c:f>'08-07-25-Scen7-GennyFail'!$A$3:$A$112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'08-07-25-Scen7-GennyFail'!$AM$3:$AM$112</c:f>
              <c:numCache>
                <c:formatCode>0.00</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-80</c:v>
                </c:pt>
                <c:pt idx="65">
                  <c:v>-259.40331160292249</c:v>
                </c:pt>
                <c:pt idx="66">
                  <c:v>-400.47129457899786</c:v>
                </c:pt>
                <c:pt idx="67">
                  <c:v>-400.47129457899791</c:v>
                </c:pt>
                <c:pt idx="68">
                  <c:v>-510.19383071862086</c:v>
                </c:pt>
                <c:pt idx="69">
                  <c:v>-603.20853687666522</c:v>
                </c:pt>
                <c:pt idx="70">
                  <c:v>-685.40606744913532</c:v>
                </c:pt>
                <c:pt idx="71">
                  <c:v>-685.40606744913532</c:v>
                </c:pt>
                <c:pt idx="72">
                  <c:v>-723.46681615545504</c:v>
                </c:pt>
                <c:pt idx="73">
                  <c:v>-723.46681615545504</c:v>
                </c:pt>
                <c:pt idx="74">
                  <c:v>-723.46681615545504</c:v>
                </c:pt>
                <c:pt idx="75">
                  <c:v>-723.46681615545504</c:v>
                </c:pt>
                <c:pt idx="76">
                  <c:v>-723.46681615545504</c:v>
                </c:pt>
                <c:pt idx="77">
                  <c:v>-723.46681615545504</c:v>
                </c:pt>
                <c:pt idx="78">
                  <c:v>-723.46681615545504</c:v>
                </c:pt>
                <c:pt idx="79">
                  <c:v>-723.46681615545504</c:v>
                </c:pt>
                <c:pt idx="80">
                  <c:v>-723.46681615545504</c:v>
                </c:pt>
                <c:pt idx="81">
                  <c:v>-723.46681615545504</c:v>
                </c:pt>
                <c:pt idx="82">
                  <c:v>-723.46681615545504</c:v>
                </c:pt>
                <c:pt idx="83">
                  <c:v>-723.46681615545504</c:v>
                </c:pt>
                <c:pt idx="84">
                  <c:v>-723.46681615545504</c:v>
                </c:pt>
                <c:pt idx="85">
                  <c:v>-723.46681615545504</c:v>
                </c:pt>
                <c:pt idx="86">
                  <c:v>-723.46681615545504</c:v>
                </c:pt>
                <c:pt idx="87">
                  <c:v>-723.46681615545504</c:v>
                </c:pt>
                <c:pt idx="88">
                  <c:v>-723.46681615545504</c:v>
                </c:pt>
                <c:pt idx="89">
                  <c:v>-723.46681615545504</c:v>
                </c:pt>
                <c:pt idx="90">
                  <c:v>-723.46681615545504</c:v>
                </c:pt>
                <c:pt idx="91">
                  <c:v>-723.46681615545504</c:v>
                </c:pt>
                <c:pt idx="92">
                  <c:v>-723.46681615545504</c:v>
                </c:pt>
                <c:pt idx="93">
                  <c:v>-723.46681615545504</c:v>
                </c:pt>
                <c:pt idx="94">
                  <c:v>-723.46681615545504</c:v>
                </c:pt>
                <c:pt idx="95">
                  <c:v>-723.46681615545504</c:v>
                </c:pt>
                <c:pt idx="96">
                  <c:v>-723.46681615545504</c:v>
                </c:pt>
                <c:pt idx="97">
                  <c:v>-723.46681615545504</c:v>
                </c:pt>
                <c:pt idx="98">
                  <c:v>-723.46681615545504</c:v>
                </c:pt>
                <c:pt idx="99">
                  <c:v>-723.46681615545504</c:v>
                </c:pt>
                <c:pt idx="100">
                  <c:v>-723.46681615545504</c:v>
                </c:pt>
                <c:pt idx="101">
                  <c:v>-723.46681615545504</c:v>
                </c:pt>
                <c:pt idx="102">
                  <c:v>-723.46681615545504</c:v>
                </c:pt>
                <c:pt idx="103">
                  <c:v>-723.46681615545504</c:v>
                </c:pt>
                <c:pt idx="104">
                  <c:v>-723.46681615545504</c:v>
                </c:pt>
                <c:pt idx="105">
                  <c:v>-723.46681615545504</c:v>
                </c:pt>
                <c:pt idx="106">
                  <c:v>-723.46681615545504</c:v>
                </c:pt>
                <c:pt idx="107">
                  <c:v>-723.46681615545504</c:v>
                </c:pt>
                <c:pt idx="108">
                  <c:v>-723.46681615545504</c:v>
                </c:pt>
                <c:pt idx="109">
                  <c:v>-723.46681615545504</c:v>
                </c:pt>
              </c:numCache>
            </c:numRef>
          </c:yVal>
          <c:smooth val="0"/>
          <c:extLst>
            <c:ext xmlns:c16="http://schemas.microsoft.com/office/drawing/2014/chart" uri="{C3380CC4-5D6E-409C-BE32-E72D297353CC}">
              <c16:uniqueId val="{00000001-80C4-4BDD-97FE-9CAA94854A8E}"/>
            </c:ext>
          </c:extLst>
        </c:ser>
        <c:ser>
          <c:idx val="1"/>
          <c:order val="2"/>
          <c:tx>
            <c:strRef>
              <c:f>'08-07-25-Scen7-GennyFail'!$AN$1</c:f>
              <c:strCache>
                <c:ptCount val="1"/>
                <c:pt idx="0">
                  <c:v>Bedrock</c:v>
                </c:pt>
              </c:strCache>
            </c:strRef>
          </c:tx>
          <c:spPr>
            <a:ln w="19050" cap="rnd">
              <a:solidFill>
                <a:schemeClr val="tx1"/>
              </a:solidFill>
              <a:round/>
            </a:ln>
            <a:effectLst/>
          </c:spPr>
          <c:marker>
            <c:symbol val="none"/>
          </c:marker>
          <c:dPt>
            <c:idx val="60"/>
            <c:marker>
              <c:symbol val="none"/>
            </c:marker>
            <c:bubble3D val="0"/>
            <c:extLst>
              <c:ext xmlns:c16="http://schemas.microsoft.com/office/drawing/2014/chart" uri="{C3380CC4-5D6E-409C-BE32-E72D297353CC}">
                <c16:uniqueId val="{00000002-80C4-4BDD-97FE-9CAA94854A8E}"/>
              </c:ext>
            </c:extLst>
          </c:dPt>
          <c:xVal>
            <c:numRef>
              <c:f>'08-07-25-Scen7-GennyFail'!$A$3:$A$112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'08-07-25-Scen7-GennyFail'!$AN$3:$AN$112</c:f>
              <c:numCache>
                <c:formatCode>General</c:formatCode>
                <c:ptCount val="110"/>
                <c:pt idx="0">
                  <c:v>-720</c:v>
                </c:pt>
                <c:pt idx="1">
                  <c:v>-720</c:v>
                </c:pt>
                <c:pt idx="2">
                  <c:v>-720</c:v>
                </c:pt>
                <c:pt idx="3">
                  <c:v>-720</c:v>
                </c:pt>
                <c:pt idx="4">
                  <c:v>-720</c:v>
                </c:pt>
                <c:pt idx="5">
                  <c:v>-720</c:v>
                </c:pt>
                <c:pt idx="6">
                  <c:v>-720</c:v>
                </c:pt>
                <c:pt idx="7">
                  <c:v>-720</c:v>
                </c:pt>
                <c:pt idx="8">
                  <c:v>-720</c:v>
                </c:pt>
                <c:pt idx="9">
                  <c:v>-720</c:v>
                </c:pt>
                <c:pt idx="10">
                  <c:v>-720</c:v>
                </c:pt>
                <c:pt idx="11">
                  <c:v>-720</c:v>
                </c:pt>
                <c:pt idx="12">
                  <c:v>-720</c:v>
                </c:pt>
                <c:pt idx="13">
                  <c:v>-720</c:v>
                </c:pt>
                <c:pt idx="14">
                  <c:v>-720</c:v>
                </c:pt>
                <c:pt idx="15">
                  <c:v>-720</c:v>
                </c:pt>
                <c:pt idx="16">
                  <c:v>-720</c:v>
                </c:pt>
                <c:pt idx="17">
                  <c:v>-720</c:v>
                </c:pt>
                <c:pt idx="18">
                  <c:v>-720</c:v>
                </c:pt>
                <c:pt idx="19">
                  <c:v>-720</c:v>
                </c:pt>
                <c:pt idx="20">
                  <c:v>-720</c:v>
                </c:pt>
                <c:pt idx="21">
                  <c:v>-720</c:v>
                </c:pt>
                <c:pt idx="22">
                  <c:v>-720</c:v>
                </c:pt>
                <c:pt idx="23">
                  <c:v>-720</c:v>
                </c:pt>
                <c:pt idx="24">
                  <c:v>-720</c:v>
                </c:pt>
                <c:pt idx="25">
                  <c:v>-720</c:v>
                </c:pt>
                <c:pt idx="26">
                  <c:v>-720</c:v>
                </c:pt>
                <c:pt idx="27">
                  <c:v>-720</c:v>
                </c:pt>
                <c:pt idx="28">
                  <c:v>-720</c:v>
                </c:pt>
                <c:pt idx="29">
                  <c:v>-720</c:v>
                </c:pt>
                <c:pt idx="30">
                  <c:v>-720</c:v>
                </c:pt>
                <c:pt idx="31">
                  <c:v>-720</c:v>
                </c:pt>
                <c:pt idx="32">
                  <c:v>-720</c:v>
                </c:pt>
                <c:pt idx="33">
                  <c:v>-720</c:v>
                </c:pt>
                <c:pt idx="34">
                  <c:v>-720</c:v>
                </c:pt>
                <c:pt idx="35">
                  <c:v>-720</c:v>
                </c:pt>
                <c:pt idx="36">
                  <c:v>-720</c:v>
                </c:pt>
                <c:pt idx="37">
                  <c:v>-720</c:v>
                </c:pt>
                <c:pt idx="38">
                  <c:v>-720</c:v>
                </c:pt>
                <c:pt idx="39">
                  <c:v>-720</c:v>
                </c:pt>
                <c:pt idx="40">
                  <c:v>-720</c:v>
                </c:pt>
                <c:pt idx="41">
                  <c:v>-720</c:v>
                </c:pt>
                <c:pt idx="42">
                  <c:v>-720</c:v>
                </c:pt>
                <c:pt idx="43">
                  <c:v>-720</c:v>
                </c:pt>
                <c:pt idx="44">
                  <c:v>-720</c:v>
                </c:pt>
                <c:pt idx="45">
                  <c:v>-720</c:v>
                </c:pt>
                <c:pt idx="46">
                  <c:v>-720</c:v>
                </c:pt>
                <c:pt idx="47">
                  <c:v>-720</c:v>
                </c:pt>
                <c:pt idx="48">
                  <c:v>-720</c:v>
                </c:pt>
                <c:pt idx="49">
                  <c:v>-720</c:v>
                </c:pt>
                <c:pt idx="50">
                  <c:v>-720</c:v>
                </c:pt>
                <c:pt idx="51">
                  <c:v>-720</c:v>
                </c:pt>
                <c:pt idx="52">
                  <c:v>-720</c:v>
                </c:pt>
                <c:pt idx="53">
                  <c:v>-720</c:v>
                </c:pt>
                <c:pt idx="54">
                  <c:v>-720</c:v>
                </c:pt>
                <c:pt idx="55">
                  <c:v>-720</c:v>
                </c:pt>
                <c:pt idx="56">
                  <c:v>-720</c:v>
                </c:pt>
                <c:pt idx="57">
                  <c:v>-720</c:v>
                </c:pt>
                <c:pt idx="58">
                  <c:v>-720</c:v>
                </c:pt>
                <c:pt idx="59">
                  <c:v>-720</c:v>
                </c:pt>
                <c:pt idx="60">
                  <c:v>-720</c:v>
                </c:pt>
                <c:pt idx="61">
                  <c:v>-720</c:v>
                </c:pt>
                <c:pt idx="62">
                  <c:v>-720</c:v>
                </c:pt>
                <c:pt idx="63">
                  <c:v>-720</c:v>
                </c:pt>
                <c:pt idx="64">
                  <c:v>-720</c:v>
                </c:pt>
                <c:pt idx="65">
                  <c:v>-720</c:v>
                </c:pt>
                <c:pt idx="66">
                  <c:v>-720</c:v>
                </c:pt>
                <c:pt idx="67">
                  <c:v>-720</c:v>
                </c:pt>
                <c:pt idx="68">
                  <c:v>-720</c:v>
                </c:pt>
                <c:pt idx="69">
                  <c:v>-720</c:v>
                </c:pt>
                <c:pt idx="70">
                  <c:v>-720</c:v>
                </c:pt>
                <c:pt idx="71">
                  <c:v>-720</c:v>
                </c:pt>
                <c:pt idx="72">
                  <c:v>-720</c:v>
                </c:pt>
                <c:pt idx="73">
                  <c:v>-720</c:v>
                </c:pt>
                <c:pt idx="74">
                  <c:v>-720</c:v>
                </c:pt>
                <c:pt idx="75">
                  <c:v>-720</c:v>
                </c:pt>
                <c:pt idx="76">
                  <c:v>-720</c:v>
                </c:pt>
                <c:pt idx="77">
                  <c:v>-720</c:v>
                </c:pt>
                <c:pt idx="78">
                  <c:v>-720</c:v>
                </c:pt>
                <c:pt idx="79">
                  <c:v>-720</c:v>
                </c:pt>
                <c:pt idx="80">
                  <c:v>-720</c:v>
                </c:pt>
                <c:pt idx="81">
                  <c:v>-720</c:v>
                </c:pt>
                <c:pt idx="82">
                  <c:v>-720</c:v>
                </c:pt>
                <c:pt idx="83">
                  <c:v>-720</c:v>
                </c:pt>
                <c:pt idx="84">
                  <c:v>-720</c:v>
                </c:pt>
                <c:pt idx="85">
                  <c:v>-720</c:v>
                </c:pt>
                <c:pt idx="86">
                  <c:v>-720</c:v>
                </c:pt>
                <c:pt idx="87">
                  <c:v>-720</c:v>
                </c:pt>
                <c:pt idx="88">
                  <c:v>-720</c:v>
                </c:pt>
                <c:pt idx="89">
                  <c:v>-720</c:v>
                </c:pt>
                <c:pt idx="90">
                  <c:v>-720</c:v>
                </c:pt>
                <c:pt idx="91">
                  <c:v>-720</c:v>
                </c:pt>
                <c:pt idx="92">
                  <c:v>-720</c:v>
                </c:pt>
                <c:pt idx="93">
                  <c:v>-720</c:v>
                </c:pt>
                <c:pt idx="94">
                  <c:v>-720</c:v>
                </c:pt>
                <c:pt idx="95">
                  <c:v>-720</c:v>
                </c:pt>
                <c:pt idx="96">
                  <c:v>-720</c:v>
                </c:pt>
                <c:pt idx="97">
                  <c:v>-720</c:v>
                </c:pt>
                <c:pt idx="98">
                  <c:v>-720</c:v>
                </c:pt>
                <c:pt idx="99">
                  <c:v>-720</c:v>
                </c:pt>
                <c:pt idx="100">
                  <c:v>-720</c:v>
                </c:pt>
                <c:pt idx="101">
                  <c:v>-720</c:v>
                </c:pt>
                <c:pt idx="102">
                  <c:v>-720</c:v>
                </c:pt>
                <c:pt idx="103">
                  <c:v>-720</c:v>
                </c:pt>
                <c:pt idx="104">
                  <c:v>-720</c:v>
                </c:pt>
                <c:pt idx="105">
                  <c:v>-720</c:v>
                </c:pt>
                <c:pt idx="106">
                  <c:v>-720</c:v>
                </c:pt>
                <c:pt idx="107">
                  <c:v>-720</c:v>
                </c:pt>
                <c:pt idx="108">
                  <c:v>-720</c:v>
                </c:pt>
                <c:pt idx="109">
                  <c:v>-720</c:v>
                </c:pt>
              </c:numCache>
            </c:numRef>
          </c:yVal>
          <c:smooth val="0"/>
          <c:extLst>
            <c:ext xmlns:c16="http://schemas.microsoft.com/office/drawing/2014/chart" uri="{C3380CC4-5D6E-409C-BE32-E72D297353CC}">
              <c16:uniqueId val="{00000003-80C4-4BDD-97FE-9CAA94854A8E}"/>
            </c:ext>
          </c:extLst>
        </c:ser>
        <c:ser>
          <c:idx val="2"/>
          <c:order val="3"/>
          <c:tx>
            <c:strRef>
              <c:f>'08-07-25-Scen7-GennyFail'!$AO$1</c:f>
              <c:strCache>
                <c:ptCount val="1"/>
                <c:pt idx="0">
                  <c:v>10,000YBP Min</c:v>
                </c:pt>
              </c:strCache>
            </c:strRef>
          </c:tx>
          <c:spPr>
            <a:ln w="19050" cap="rnd">
              <a:solidFill>
                <a:srgbClr val="FFC000"/>
              </a:solidFill>
              <a:prstDash val="sysDot"/>
              <a:round/>
            </a:ln>
            <a:effectLst/>
          </c:spPr>
          <c:marker>
            <c:symbol val="none"/>
          </c:marker>
          <c:xVal>
            <c:numRef>
              <c:f>'08-07-25-Scen7-GennyFail'!$A$3:$A$112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'08-07-25-Scen7-GennyFail'!$AO$3:$AO$112</c:f>
              <c:numCache>
                <c:formatCode>General</c:formatCode>
                <c:ptCount val="110"/>
                <c:pt idx="0">
                  <c:v>-624</c:v>
                </c:pt>
                <c:pt idx="1">
                  <c:v>-624</c:v>
                </c:pt>
                <c:pt idx="2">
                  <c:v>-624</c:v>
                </c:pt>
                <c:pt idx="3">
                  <c:v>-624</c:v>
                </c:pt>
                <c:pt idx="4">
                  <c:v>-624</c:v>
                </c:pt>
                <c:pt idx="5">
                  <c:v>-624</c:v>
                </c:pt>
                <c:pt idx="6">
                  <c:v>-624</c:v>
                </c:pt>
                <c:pt idx="7">
                  <c:v>-624</c:v>
                </c:pt>
                <c:pt idx="8">
                  <c:v>-624</c:v>
                </c:pt>
                <c:pt idx="9">
                  <c:v>-624</c:v>
                </c:pt>
                <c:pt idx="10">
                  <c:v>-624</c:v>
                </c:pt>
                <c:pt idx="11">
                  <c:v>-624</c:v>
                </c:pt>
                <c:pt idx="12">
                  <c:v>-624</c:v>
                </c:pt>
                <c:pt idx="13">
                  <c:v>-624</c:v>
                </c:pt>
                <c:pt idx="14">
                  <c:v>-624</c:v>
                </c:pt>
                <c:pt idx="15">
                  <c:v>-624</c:v>
                </c:pt>
                <c:pt idx="16">
                  <c:v>-624</c:v>
                </c:pt>
                <c:pt idx="17">
                  <c:v>-624</c:v>
                </c:pt>
                <c:pt idx="18">
                  <c:v>-624</c:v>
                </c:pt>
                <c:pt idx="19">
                  <c:v>-624</c:v>
                </c:pt>
                <c:pt idx="20">
                  <c:v>-624</c:v>
                </c:pt>
                <c:pt idx="21">
                  <c:v>-624</c:v>
                </c:pt>
                <c:pt idx="22">
                  <c:v>-624</c:v>
                </c:pt>
                <c:pt idx="23">
                  <c:v>-624</c:v>
                </c:pt>
                <c:pt idx="24">
                  <c:v>-624</c:v>
                </c:pt>
                <c:pt idx="25">
                  <c:v>-624</c:v>
                </c:pt>
                <c:pt idx="26">
                  <c:v>-624</c:v>
                </c:pt>
                <c:pt idx="27">
                  <c:v>-624</c:v>
                </c:pt>
                <c:pt idx="28">
                  <c:v>-624</c:v>
                </c:pt>
                <c:pt idx="29">
                  <c:v>-624</c:v>
                </c:pt>
                <c:pt idx="30">
                  <c:v>-624</c:v>
                </c:pt>
                <c:pt idx="31">
                  <c:v>-624</c:v>
                </c:pt>
                <c:pt idx="32">
                  <c:v>-624</c:v>
                </c:pt>
                <c:pt idx="33">
                  <c:v>-624</c:v>
                </c:pt>
                <c:pt idx="34">
                  <c:v>-624</c:v>
                </c:pt>
                <c:pt idx="35">
                  <c:v>-624</c:v>
                </c:pt>
                <c:pt idx="36">
                  <c:v>-624</c:v>
                </c:pt>
                <c:pt idx="37">
                  <c:v>-624</c:v>
                </c:pt>
                <c:pt idx="38">
                  <c:v>-624</c:v>
                </c:pt>
                <c:pt idx="39">
                  <c:v>-624</c:v>
                </c:pt>
                <c:pt idx="40">
                  <c:v>-624</c:v>
                </c:pt>
                <c:pt idx="41">
                  <c:v>-624</c:v>
                </c:pt>
                <c:pt idx="42">
                  <c:v>-624</c:v>
                </c:pt>
                <c:pt idx="43">
                  <c:v>-624</c:v>
                </c:pt>
                <c:pt idx="44">
                  <c:v>-624</c:v>
                </c:pt>
                <c:pt idx="45">
                  <c:v>-624</c:v>
                </c:pt>
                <c:pt idx="46">
                  <c:v>-624</c:v>
                </c:pt>
                <c:pt idx="47">
                  <c:v>-624</c:v>
                </c:pt>
                <c:pt idx="48">
                  <c:v>-624</c:v>
                </c:pt>
                <c:pt idx="49">
                  <c:v>-624</c:v>
                </c:pt>
                <c:pt idx="50">
                  <c:v>-624</c:v>
                </c:pt>
                <c:pt idx="51">
                  <c:v>-624</c:v>
                </c:pt>
                <c:pt idx="52">
                  <c:v>-624</c:v>
                </c:pt>
                <c:pt idx="53">
                  <c:v>-624</c:v>
                </c:pt>
                <c:pt idx="54">
                  <c:v>-624</c:v>
                </c:pt>
                <c:pt idx="55">
                  <c:v>-624</c:v>
                </c:pt>
                <c:pt idx="56">
                  <c:v>-624</c:v>
                </c:pt>
                <c:pt idx="57">
                  <c:v>-624</c:v>
                </c:pt>
                <c:pt idx="58">
                  <c:v>-624</c:v>
                </c:pt>
                <c:pt idx="59">
                  <c:v>-624</c:v>
                </c:pt>
                <c:pt idx="60">
                  <c:v>-624</c:v>
                </c:pt>
                <c:pt idx="61">
                  <c:v>-624</c:v>
                </c:pt>
                <c:pt idx="62">
                  <c:v>-624</c:v>
                </c:pt>
                <c:pt idx="63">
                  <c:v>-624</c:v>
                </c:pt>
                <c:pt idx="64">
                  <c:v>-624</c:v>
                </c:pt>
                <c:pt idx="65">
                  <c:v>-624</c:v>
                </c:pt>
                <c:pt idx="66">
                  <c:v>-624</c:v>
                </c:pt>
                <c:pt idx="67">
                  <c:v>-624</c:v>
                </c:pt>
                <c:pt idx="68">
                  <c:v>-624</c:v>
                </c:pt>
                <c:pt idx="69">
                  <c:v>-624</c:v>
                </c:pt>
                <c:pt idx="70">
                  <c:v>-624</c:v>
                </c:pt>
                <c:pt idx="71">
                  <c:v>-624</c:v>
                </c:pt>
                <c:pt idx="72">
                  <c:v>-624</c:v>
                </c:pt>
                <c:pt idx="73">
                  <c:v>-624</c:v>
                </c:pt>
                <c:pt idx="74">
                  <c:v>-624</c:v>
                </c:pt>
                <c:pt idx="75">
                  <c:v>-624</c:v>
                </c:pt>
                <c:pt idx="76">
                  <c:v>-624</c:v>
                </c:pt>
                <c:pt idx="77">
                  <c:v>-624</c:v>
                </c:pt>
                <c:pt idx="78">
                  <c:v>-624</c:v>
                </c:pt>
                <c:pt idx="79">
                  <c:v>-624</c:v>
                </c:pt>
                <c:pt idx="80">
                  <c:v>-624</c:v>
                </c:pt>
                <c:pt idx="81">
                  <c:v>-624</c:v>
                </c:pt>
                <c:pt idx="82">
                  <c:v>-624</c:v>
                </c:pt>
                <c:pt idx="83">
                  <c:v>-624</c:v>
                </c:pt>
                <c:pt idx="84">
                  <c:v>-624</c:v>
                </c:pt>
                <c:pt idx="85">
                  <c:v>-624</c:v>
                </c:pt>
                <c:pt idx="86">
                  <c:v>-624</c:v>
                </c:pt>
                <c:pt idx="87">
                  <c:v>-624</c:v>
                </c:pt>
                <c:pt idx="88">
                  <c:v>-624</c:v>
                </c:pt>
                <c:pt idx="89">
                  <c:v>-624</c:v>
                </c:pt>
                <c:pt idx="90">
                  <c:v>-624</c:v>
                </c:pt>
                <c:pt idx="91">
                  <c:v>-624</c:v>
                </c:pt>
                <c:pt idx="92">
                  <c:v>-624</c:v>
                </c:pt>
                <c:pt idx="93">
                  <c:v>-624</c:v>
                </c:pt>
                <c:pt idx="94">
                  <c:v>-624</c:v>
                </c:pt>
                <c:pt idx="95">
                  <c:v>-624</c:v>
                </c:pt>
                <c:pt idx="96">
                  <c:v>-624</c:v>
                </c:pt>
                <c:pt idx="97">
                  <c:v>-624</c:v>
                </c:pt>
                <c:pt idx="98">
                  <c:v>-624</c:v>
                </c:pt>
                <c:pt idx="99">
                  <c:v>-624</c:v>
                </c:pt>
                <c:pt idx="100">
                  <c:v>-624</c:v>
                </c:pt>
                <c:pt idx="101">
                  <c:v>-624</c:v>
                </c:pt>
                <c:pt idx="102">
                  <c:v>-624</c:v>
                </c:pt>
                <c:pt idx="103">
                  <c:v>-624</c:v>
                </c:pt>
                <c:pt idx="104">
                  <c:v>-624</c:v>
                </c:pt>
                <c:pt idx="105">
                  <c:v>-624</c:v>
                </c:pt>
                <c:pt idx="106">
                  <c:v>-624</c:v>
                </c:pt>
                <c:pt idx="107">
                  <c:v>-624</c:v>
                </c:pt>
                <c:pt idx="108">
                  <c:v>-624</c:v>
                </c:pt>
                <c:pt idx="109">
                  <c:v>-624</c:v>
                </c:pt>
              </c:numCache>
            </c:numRef>
          </c:yVal>
          <c:smooth val="0"/>
          <c:extLst>
            <c:ext xmlns:c16="http://schemas.microsoft.com/office/drawing/2014/chart" uri="{C3380CC4-5D6E-409C-BE32-E72D297353CC}">
              <c16:uniqueId val="{00000004-80C4-4BDD-97FE-9CAA94854A8E}"/>
            </c:ext>
          </c:extLst>
        </c:ser>
        <c:ser>
          <c:idx val="3"/>
          <c:order val="4"/>
          <c:tx>
            <c:strRef>
              <c:f>'08-07-25-Scen7-GennyFail'!$AP$1</c:f>
              <c:strCache>
                <c:ptCount val="1"/>
                <c:pt idx="0">
                  <c:v>10,000YBP Max</c:v>
                </c:pt>
              </c:strCache>
            </c:strRef>
          </c:tx>
          <c:spPr>
            <a:ln w="19050" cap="rnd">
              <a:solidFill>
                <a:srgbClr val="FF0000"/>
              </a:solidFill>
              <a:prstDash val="sysDot"/>
              <a:round/>
            </a:ln>
            <a:effectLst/>
          </c:spPr>
          <c:marker>
            <c:symbol val="none"/>
          </c:marker>
          <c:xVal>
            <c:numRef>
              <c:f>'08-07-25-Scen7-GennyFail'!$A$3:$A$112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'08-07-25-Scen7-GennyFail'!$AP$3:$AP$112</c:f>
              <c:numCache>
                <c:formatCode>General</c:formatCode>
                <c:ptCount val="110"/>
                <c:pt idx="0">
                  <c:v>-688</c:v>
                </c:pt>
                <c:pt idx="1">
                  <c:v>-688</c:v>
                </c:pt>
                <c:pt idx="2">
                  <c:v>-688</c:v>
                </c:pt>
                <c:pt idx="3">
                  <c:v>-688</c:v>
                </c:pt>
                <c:pt idx="4">
                  <c:v>-688</c:v>
                </c:pt>
                <c:pt idx="5">
                  <c:v>-688</c:v>
                </c:pt>
                <c:pt idx="6">
                  <c:v>-688</c:v>
                </c:pt>
                <c:pt idx="7">
                  <c:v>-688</c:v>
                </c:pt>
                <c:pt idx="8">
                  <c:v>-688</c:v>
                </c:pt>
                <c:pt idx="9">
                  <c:v>-688</c:v>
                </c:pt>
                <c:pt idx="10">
                  <c:v>-688</c:v>
                </c:pt>
                <c:pt idx="11">
                  <c:v>-688</c:v>
                </c:pt>
                <c:pt idx="12">
                  <c:v>-688</c:v>
                </c:pt>
                <c:pt idx="13">
                  <c:v>-688</c:v>
                </c:pt>
                <c:pt idx="14">
                  <c:v>-688</c:v>
                </c:pt>
                <c:pt idx="15">
                  <c:v>-688</c:v>
                </c:pt>
                <c:pt idx="16">
                  <c:v>-688</c:v>
                </c:pt>
                <c:pt idx="17">
                  <c:v>-688</c:v>
                </c:pt>
                <c:pt idx="18">
                  <c:v>-688</c:v>
                </c:pt>
                <c:pt idx="19">
                  <c:v>-688</c:v>
                </c:pt>
                <c:pt idx="20">
                  <c:v>-688</c:v>
                </c:pt>
                <c:pt idx="21">
                  <c:v>-688</c:v>
                </c:pt>
                <c:pt idx="22">
                  <c:v>-688</c:v>
                </c:pt>
                <c:pt idx="23">
                  <c:v>-688</c:v>
                </c:pt>
                <c:pt idx="24">
                  <c:v>-688</c:v>
                </c:pt>
                <c:pt idx="25">
                  <c:v>-688</c:v>
                </c:pt>
                <c:pt idx="26">
                  <c:v>-688</c:v>
                </c:pt>
                <c:pt idx="27">
                  <c:v>-688</c:v>
                </c:pt>
                <c:pt idx="28">
                  <c:v>-688</c:v>
                </c:pt>
                <c:pt idx="29">
                  <c:v>-688</c:v>
                </c:pt>
                <c:pt idx="30">
                  <c:v>-688</c:v>
                </c:pt>
                <c:pt idx="31">
                  <c:v>-688</c:v>
                </c:pt>
                <c:pt idx="32">
                  <c:v>-688</c:v>
                </c:pt>
                <c:pt idx="33">
                  <c:v>-688</c:v>
                </c:pt>
                <c:pt idx="34">
                  <c:v>-688</c:v>
                </c:pt>
                <c:pt idx="35">
                  <c:v>-688</c:v>
                </c:pt>
                <c:pt idx="36">
                  <c:v>-688</c:v>
                </c:pt>
                <c:pt idx="37">
                  <c:v>-688</c:v>
                </c:pt>
                <c:pt idx="38">
                  <c:v>-688</c:v>
                </c:pt>
                <c:pt idx="39">
                  <c:v>-688</c:v>
                </c:pt>
                <c:pt idx="40">
                  <c:v>-688</c:v>
                </c:pt>
                <c:pt idx="41">
                  <c:v>-688</c:v>
                </c:pt>
                <c:pt idx="42">
                  <c:v>-688</c:v>
                </c:pt>
                <c:pt idx="43">
                  <c:v>-688</c:v>
                </c:pt>
                <c:pt idx="44">
                  <c:v>-688</c:v>
                </c:pt>
                <c:pt idx="45">
                  <c:v>-688</c:v>
                </c:pt>
                <c:pt idx="46">
                  <c:v>-688</c:v>
                </c:pt>
                <c:pt idx="47">
                  <c:v>-688</c:v>
                </c:pt>
                <c:pt idx="48">
                  <c:v>-688</c:v>
                </c:pt>
                <c:pt idx="49">
                  <c:v>-688</c:v>
                </c:pt>
                <c:pt idx="50">
                  <c:v>-688</c:v>
                </c:pt>
                <c:pt idx="51">
                  <c:v>-688</c:v>
                </c:pt>
                <c:pt idx="52">
                  <c:v>-688</c:v>
                </c:pt>
                <c:pt idx="53">
                  <c:v>-688</c:v>
                </c:pt>
                <c:pt idx="54">
                  <c:v>-688</c:v>
                </c:pt>
                <c:pt idx="55">
                  <c:v>-688</c:v>
                </c:pt>
                <c:pt idx="56">
                  <c:v>-688</c:v>
                </c:pt>
                <c:pt idx="57">
                  <c:v>-688</c:v>
                </c:pt>
                <c:pt idx="58">
                  <c:v>-688</c:v>
                </c:pt>
                <c:pt idx="59">
                  <c:v>-688</c:v>
                </c:pt>
                <c:pt idx="60">
                  <c:v>-688</c:v>
                </c:pt>
                <c:pt idx="61">
                  <c:v>-688</c:v>
                </c:pt>
                <c:pt idx="62">
                  <c:v>-688</c:v>
                </c:pt>
                <c:pt idx="63">
                  <c:v>-688</c:v>
                </c:pt>
                <c:pt idx="64">
                  <c:v>-688</c:v>
                </c:pt>
                <c:pt idx="65">
                  <c:v>-688</c:v>
                </c:pt>
                <c:pt idx="66">
                  <c:v>-688</c:v>
                </c:pt>
                <c:pt idx="67">
                  <c:v>-688</c:v>
                </c:pt>
                <c:pt idx="68">
                  <c:v>-688</c:v>
                </c:pt>
                <c:pt idx="69">
                  <c:v>-688</c:v>
                </c:pt>
                <c:pt idx="70">
                  <c:v>-688</c:v>
                </c:pt>
                <c:pt idx="71">
                  <c:v>-688</c:v>
                </c:pt>
                <c:pt idx="72">
                  <c:v>-688</c:v>
                </c:pt>
                <c:pt idx="73">
                  <c:v>-688</c:v>
                </c:pt>
                <c:pt idx="74">
                  <c:v>-688</c:v>
                </c:pt>
                <c:pt idx="75">
                  <c:v>-688</c:v>
                </c:pt>
                <c:pt idx="76">
                  <c:v>-688</c:v>
                </c:pt>
                <c:pt idx="77">
                  <c:v>-688</c:v>
                </c:pt>
                <c:pt idx="78">
                  <c:v>-688</c:v>
                </c:pt>
                <c:pt idx="79">
                  <c:v>-688</c:v>
                </c:pt>
                <c:pt idx="80">
                  <c:v>-688</c:v>
                </c:pt>
                <c:pt idx="81">
                  <c:v>-688</c:v>
                </c:pt>
                <c:pt idx="82">
                  <c:v>-688</c:v>
                </c:pt>
                <c:pt idx="83">
                  <c:v>-688</c:v>
                </c:pt>
                <c:pt idx="84">
                  <c:v>-688</c:v>
                </c:pt>
                <c:pt idx="85">
                  <c:v>-688</c:v>
                </c:pt>
                <c:pt idx="86">
                  <c:v>-688</c:v>
                </c:pt>
                <c:pt idx="87">
                  <c:v>-688</c:v>
                </c:pt>
                <c:pt idx="88">
                  <c:v>-688</c:v>
                </c:pt>
                <c:pt idx="89">
                  <c:v>-688</c:v>
                </c:pt>
                <c:pt idx="90">
                  <c:v>-688</c:v>
                </c:pt>
                <c:pt idx="91">
                  <c:v>-688</c:v>
                </c:pt>
                <c:pt idx="92">
                  <c:v>-688</c:v>
                </c:pt>
                <c:pt idx="93">
                  <c:v>-688</c:v>
                </c:pt>
                <c:pt idx="94">
                  <c:v>-688</c:v>
                </c:pt>
                <c:pt idx="95">
                  <c:v>-688</c:v>
                </c:pt>
                <c:pt idx="96">
                  <c:v>-688</c:v>
                </c:pt>
                <c:pt idx="97">
                  <c:v>-688</c:v>
                </c:pt>
                <c:pt idx="98">
                  <c:v>-688</c:v>
                </c:pt>
                <c:pt idx="99">
                  <c:v>-688</c:v>
                </c:pt>
                <c:pt idx="100">
                  <c:v>-688</c:v>
                </c:pt>
                <c:pt idx="101">
                  <c:v>-688</c:v>
                </c:pt>
                <c:pt idx="102">
                  <c:v>-688</c:v>
                </c:pt>
                <c:pt idx="103">
                  <c:v>-688</c:v>
                </c:pt>
                <c:pt idx="104">
                  <c:v>-688</c:v>
                </c:pt>
                <c:pt idx="105">
                  <c:v>-688</c:v>
                </c:pt>
                <c:pt idx="106">
                  <c:v>-688</c:v>
                </c:pt>
                <c:pt idx="107">
                  <c:v>-688</c:v>
                </c:pt>
                <c:pt idx="108">
                  <c:v>-688</c:v>
                </c:pt>
                <c:pt idx="109">
                  <c:v>-688</c:v>
                </c:pt>
              </c:numCache>
            </c:numRef>
          </c:yVal>
          <c:smooth val="0"/>
          <c:extLst>
            <c:ext xmlns:c16="http://schemas.microsoft.com/office/drawing/2014/chart" uri="{C3380CC4-5D6E-409C-BE32-E72D297353CC}">
              <c16:uniqueId val="{00000005-80C4-4BDD-97FE-9CAA94854A8E}"/>
            </c:ext>
          </c:extLst>
        </c:ser>
        <c:ser>
          <c:idx val="4"/>
          <c:order val="5"/>
          <c:tx>
            <c:strRef>
              <c:f>'08-07-25-Scen7-GennyFail'!$AK$1</c:f>
              <c:strCache>
                <c:ptCount val="1"/>
                <c:pt idx="0">
                  <c:v>Input</c:v>
                </c:pt>
              </c:strCache>
            </c:strRef>
          </c:tx>
          <c:spPr>
            <a:ln w="19050" cap="rnd">
              <a:noFill/>
              <a:round/>
            </a:ln>
            <a:effectLst/>
          </c:spPr>
          <c:marker>
            <c:symbol val="triangle"/>
            <c:size val="12"/>
            <c:spPr>
              <a:solidFill>
                <a:srgbClr val="7030A0"/>
              </a:solidFill>
              <a:ln w="9525">
                <a:solidFill>
                  <a:srgbClr val="7030A0"/>
                </a:solidFill>
              </a:ln>
              <a:effectLst/>
            </c:spPr>
          </c:marker>
          <c:dPt>
            <c:idx val="0"/>
            <c:marker>
              <c:symbol val="triangle"/>
              <c:size val="12"/>
              <c:spPr>
                <a:solidFill>
                  <a:srgbClr val="7030A0"/>
                </a:solidFill>
                <a:ln w="9525">
                  <a:solidFill>
                    <a:srgbClr val="7030A0"/>
                  </a:solidFill>
                </a:ln>
                <a:effectLst/>
              </c:spPr>
            </c:marker>
            <c:bubble3D val="0"/>
            <c:extLst>
              <c:ext xmlns:c16="http://schemas.microsoft.com/office/drawing/2014/chart" uri="{C3380CC4-5D6E-409C-BE32-E72D297353CC}">
                <c16:uniqueId val="{00000006-80C4-4BDD-97FE-9CAA94854A8E}"/>
              </c:ext>
            </c:extLst>
          </c:dPt>
          <c:xVal>
            <c:numRef>
              <c:f>'08-07-25-Scen7-GennyFail'!$BB$4:$BB$5</c:f>
              <c:numCache>
                <c:formatCode>m/d/yyyy</c:formatCode>
                <c:ptCount val="2"/>
                <c:pt idx="0">
                  <c:v>45973</c:v>
                </c:pt>
                <c:pt idx="1">
                  <c:v>45978</c:v>
                </c:pt>
              </c:numCache>
            </c:numRef>
          </c:xVal>
          <c:yVal>
            <c:numLit>
              <c:formatCode>General</c:formatCode>
              <c:ptCount val="2"/>
              <c:pt idx="0">
                <c:v>0</c:v>
              </c:pt>
              <c:pt idx="1">
                <c:v>0</c:v>
              </c:pt>
            </c:numLit>
          </c:yVal>
          <c:smooth val="0"/>
          <c:extLst>
            <c:ext xmlns:c16="http://schemas.microsoft.com/office/drawing/2014/chart" uri="{C3380CC4-5D6E-409C-BE32-E72D297353CC}">
              <c16:uniqueId val="{00000007-80C4-4BDD-97FE-9CAA94854A8E}"/>
            </c:ext>
          </c:extLst>
        </c:ser>
        <c:ser>
          <c:idx val="5"/>
          <c:order val="6"/>
          <c:tx>
            <c:strRef>
              <c:f>'08-07-25-Scen7-GennyFail'!$AQ$1</c:f>
              <c:strCache>
                <c:ptCount val="1"/>
                <c:pt idx="0">
                  <c:v>Able to Output</c:v>
                </c:pt>
              </c:strCache>
            </c:strRef>
          </c:tx>
          <c:spPr>
            <a:ln w="19050" cap="rnd">
              <a:noFill/>
              <a:round/>
            </a:ln>
            <a:effectLst/>
          </c:spPr>
          <c:marker>
            <c:symbol val="circle"/>
            <c:size val="12"/>
            <c:spPr>
              <a:solidFill>
                <a:srgbClr val="7030A0"/>
              </a:solidFill>
              <a:ln w="9525">
                <a:solidFill>
                  <a:srgbClr val="7030A0"/>
                </a:solidFill>
              </a:ln>
              <a:effectLst/>
            </c:spPr>
          </c:marker>
          <c:xVal>
            <c:numRef>
              <c:f>'08-07-25-Scen7-GennyFail'!$A$3:$A$112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'08-07-25-Scen7-GennyFail'!$AQ$3:$AQ$112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0</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6="http://schemas.microsoft.com/office/drawing/2014/chart" uri="{C3380CC4-5D6E-409C-BE32-E72D297353CC}">
              <c16:uniqueId val="{00000008-80C4-4BDD-97FE-9CAA94854A8E}"/>
            </c:ext>
          </c:extLst>
        </c:ser>
        <c:ser>
          <c:idx val="7"/>
          <c:order val="7"/>
          <c:tx>
            <c:v>Output</c:v>
          </c:tx>
          <c:spPr>
            <a:ln w="19050" cap="rnd">
              <a:noFill/>
              <a:round/>
            </a:ln>
            <a:effectLst/>
          </c:spPr>
          <c:marker>
            <c:symbol val="diamond"/>
            <c:size val="18"/>
            <c:spPr>
              <a:noFill/>
              <a:ln w="57150">
                <a:solidFill>
                  <a:srgbClr val="FF0000"/>
                </a:solidFill>
              </a:ln>
              <a:effectLst/>
            </c:spPr>
          </c:marker>
          <c:xVal>
            <c:numRef>
              <c:f>'08-07-25-Scen7-GennyFail'!$BF$4:$BF$5</c:f>
              <c:numCache>
                <c:formatCode>m/d/yyyy</c:formatCode>
                <c:ptCount val="2"/>
                <c:pt idx="0">
                  <c:v>46043</c:v>
                </c:pt>
                <c:pt idx="1">
                  <c:v>46055</c:v>
                </c:pt>
              </c:numCache>
            </c:numRef>
          </c:xVal>
          <c:yVal>
            <c:numLit>
              <c:formatCode>General</c:formatCode>
              <c:ptCount val="2"/>
              <c:pt idx="0">
                <c:v>0</c:v>
              </c:pt>
              <c:pt idx="1">
                <c:v>0</c:v>
              </c:pt>
            </c:numLit>
          </c:yVal>
          <c:smooth val="0"/>
          <c:extLst>
            <c:ext xmlns:c16="http://schemas.microsoft.com/office/drawing/2014/chart" uri="{C3380CC4-5D6E-409C-BE32-E72D297353CC}">
              <c16:uniqueId val="{00000009-80C4-4BDD-97FE-9CAA94854A8E}"/>
            </c:ext>
          </c:extLst>
        </c:ser>
        <c:ser>
          <c:idx val="12"/>
          <c:order val="8"/>
          <c:tx>
            <c:strRef>
              <c:f>'08-07-25-Scen7-GennyFail'!$AR$1</c:f>
              <c:strCache>
                <c:ptCount val="1"/>
                <c:pt idx="0">
                  <c:v>Drilling Fuel Planned</c:v>
                </c:pt>
              </c:strCache>
            </c:strRef>
          </c:tx>
          <c:spPr>
            <a:ln w="19050" cap="rnd">
              <a:noFill/>
              <a:round/>
            </a:ln>
            <a:effectLst/>
          </c:spPr>
          <c:marker>
            <c:symbol val="circle"/>
            <c:size val="10"/>
            <c:spPr>
              <a:solidFill>
                <a:schemeClr val="bg1"/>
              </a:solidFill>
              <a:ln w="31750">
                <a:solidFill>
                  <a:srgbClr val="FF0000"/>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80C4-4BDD-97FE-9CAA94854A8E}"/>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80C4-4BDD-97FE-9CAA94854A8E}"/>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80C4-4BDD-97FE-9CAA94854A8E}"/>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80C4-4BDD-97FE-9CAA94854A8E}"/>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80C4-4BDD-97FE-9CAA94854A8E}"/>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80C4-4BDD-97FE-9CAA94854A8E}"/>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80C4-4BDD-97FE-9CAA94854A8E}"/>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80C4-4BDD-97FE-9CAA94854A8E}"/>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80C4-4BDD-97FE-9CAA94854A8E}"/>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80C4-4BDD-97FE-9CAA94854A8E}"/>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80C4-4BDD-97FE-9CAA94854A8E}"/>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80C4-4BDD-97FE-9CAA94854A8E}"/>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80C4-4BDD-97FE-9CAA94854A8E}"/>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80C4-4BDD-97FE-9CAA94854A8E}"/>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80C4-4BDD-97FE-9CAA94854A8E}"/>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80C4-4BDD-97FE-9CAA94854A8E}"/>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80C4-4BDD-97FE-9CAA94854A8E}"/>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80C4-4BDD-97FE-9CAA94854A8E}"/>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80C4-4BDD-97FE-9CAA94854A8E}"/>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80C4-4BDD-97FE-9CAA94854A8E}"/>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80C4-4BDD-97FE-9CAA94854A8E}"/>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80C4-4BDD-97FE-9CAA94854A8E}"/>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80C4-4BDD-97FE-9CAA94854A8E}"/>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80C4-4BDD-97FE-9CAA94854A8E}"/>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80C4-4BDD-97FE-9CAA94854A8E}"/>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80C4-4BDD-97FE-9CAA94854A8E}"/>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80C4-4BDD-97FE-9CAA94854A8E}"/>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80C4-4BDD-97FE-9CAA94854A8E}"/>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80C4-4BDD-97FE-9CAA94854A8E}"/>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80C4-4BDD-97FE-9CAA94854A8E}"/>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80C4-4BDD-97FE-9CAA94854A8E}"/>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80C4-4BDD-97FE-9CAA94854A8E}"/>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80C4-4BDD-97FE-9CAA94854A8E}"/>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80C4-4BDD-97FE-9CAA94854A8E}"/>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80C4-4BDD-97FE-9CAA94854A8E}"/>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80C4-4BDD-97FE-9CAA94854A8E}"/>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80C4-4BDD-97FE-9CAA94854A8E}"/>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80C4-4BDD-97FE-9CAA94854A8E}"/>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80C4-4BDD-97FE-9CAA94854A8E}"/>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80C4-4BDD-97FE-9CAA94854A8E}"/>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80C4-4BDD-97FE-9CAA94854A8E}"/>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80C4-4BDD-97FE-9CAA94854A8E}"/>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80C4-4BDD-97FE-9CAA94854A8E}"/>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80C4-4BDD-97FE-9CAA94854A8E}"/>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80C4-4BDD-97FE-9CAA94854A8E}"/>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80C4-4BDD-97FE-9CAA94854A8E}"/>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80C4-4BDD-97FE-9CAA94854A8E}"/>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9-80C4-4BDD-97FE-9CAA94854A8E}"/>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A-80C4-4BDD-97FE-9CAA94854A8E}"/>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B-80C4-4BDD-97FE-9CAA94854A8E}"/>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C-80C4-4BDD-97FE-9CAA94854A8E}"/>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80C4-4BDD-97FE-9CAA94854A8E}"/>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80C4-4BDD-97FE-9CAA94854A8E}"/>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80C4-4BDD-97FE-9CAA94854A8E}"/>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80C4-4BDD-97FE-9CAA94854A8E}"/>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80C4-4BDD-97FE-9CAA94854A8E}"/>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80C4-4BDD-97FE-9CAA94854A8E}"/>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80C4-4BDD-97FE-9CAA94854A8E}"/>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80C4-4BDD-97FE-9CAA94854A8E}"/>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80C4-4BDD-97FE-9CAA94854A8E}"/>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80C4-4BDD-97FE-9CAA94854A8E}"/>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7-80C4-4BDD-97FE-9CAA94854A8E}"/>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80C4-4BDD-97FE-9CAA94854A8E}"/>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80C4-4BDD-97FE-9CAA94854A8E}"/>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80C4-4BDD-97FE-9CAA94854A8E}"/>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80C4-4BDD-97FE-9CAA94854A8E}"/>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80C4-4BDD-97FE-9CAA94854A8E}"/>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80C4-4BDD-97FE-9CAA94854A8E}"/>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E-80C4-4BDD-97FE-9CAA94854A8E}"/>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F-80C4-4BDD-97FE-9CAA94854A8E}"/>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0-80C4-4BDD-97FE-9CAA94854A8E}"/>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1-80C4-4BDD-97FE-9CAA94854A8E}"/>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2-80C4-4BDD-97FE-9CAA94854A8E}"/>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3-80C4-4BDD-97FE-9CAA94854A8E}"/>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4-80C4-4BDD-97FE-9CAA94854A8E}"/>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5-80C4-4BDD-97FE-9CAA94854A8E}"/>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6-80C4-4BDD-97FE-9CAA94854A8E}"/>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7-80C4-4BDD-97FE-9CAA94854A8E}"/>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8-80C4-4BDD-97FE-9CAA94854A8E}"/>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9-80C4-4BDD-97FE-9CAA94854A8E}"/>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A-80C4-4BDD-97FE-9CAA94854A8E}"/>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B-80C4-4BDD-97FE-9CAA94854A8E}"/>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C-80C4-4BDD-97FE-9CAA94854A8E}"/>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D-80C4-4BDD-97FE-9CAA94854A8E}"/>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E-80C4-4BDD-97FE-9CAA94854A8E}"/>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5F-80C4-4BDD-97FE-9CAA94854A8E}"/>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0-80C4-4BDD-97FE-9CAA94854A8E}"/>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1-80C4-4BDD-97FE-9CAA94854A8E}"/>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2-80C4-4BDD-97FE-9CAA94854A8E}"/>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3-80C4-4BDD-97FE-9CAA94854A8E}"/>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4-80C4-4BDD-97FE-9CAA94854A8E}"/>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5-80C4-4BDD-97FE-9CAA94854A8E}"/>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6-80C4-4BDD-97FE-9CAA94854A8E}"/>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7-80C4-4BDD-97FE-9CAA94854A8E}"/>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8-80C4-4BDD-97FE-9CAA94854A8E}"/>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9-80C4-4BDD-97FE-9CAA94854A8E}"/>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A-80C4-4BDD-97FE-9CAA94854A8E}"/>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B-80C4-4BDD-97FE-9CAA94854A8E}"/>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C-80C4-4BDD-97FE-9CAA94854A8E}"/>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D-80C4-4BDD-97FE-9CAA94854A8E}"/>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E-80C4-4BDD-97FE-9CAA94854A8E}"/>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6F-80C4-4BDD-97FE-9CAA94854A8E}"/>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0-80C4-4BDD-97FE-9CAA94854A8E}"/>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1-80C4-4BDD-97FE-9CAA94854A8E}"/>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2-80C4-4BDD-97FE-9CAA94854A8E}"/>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3-80C4-4BDD-97FE-9CAA94854A8E}"/>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4-80C4-4BDD-97FE-9CAA94854A8E}"/>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5-80C4-4BDD-97FE-9CAA94854A8E}"/>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6-80C4-4BDD-97FE-9CAA94854A8E}"/>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7-80C4-4BDD-97FE-9CAA94854A8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FF0000"/>
                      </a:solidFill>
                    </a:ln>
                    <a:solidFill>
                      <a:srgbClr val="FF000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'08-07-25-Scen7-GennyFail'!$A$3:$A$112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'08-07-25-Scen7-GennyFail'!$AR$3:$AR$112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'08-07-25-Scen7-GennyFail'!$X$3:$X$112</c15:f>
                <c15:dlblRangeCache>
                  <c:ptCount val="110"/>
                </c15:dlblRangeCache>
              </c15:datalabelsRange>
            </c:ext>
            <c:ext xmlns:c16="http://schemas.microsoft.com/office/drawing/2014/chart" uri="{C3380CC4-5D6E-409C-BE32-E72D297353CC}">
              <c16:uniqueId val="{00000078-80C4-4BDD-97FE-9CAA94854A8E}"/>
            </c:ext>
          </c:extLst>
        </c:ser>
        <c:ser>
          <c:idx val="13"/>
          <c:order val="9"/>
          <c:tx>
            <c:strRef>
              <c:f>'08-07-25-Scen7-GennyFail'!$AS$1</c:f>
              <c:strCache>
                <c:ptCount val="1"/>
                <c:pt idx="0">
                  <c:v>Drilling Fuel Still Needed</c:v>
                </c:pt>
              </c:strCache>
            </c:strRef>
          </c:tx>
          <c:spPr>
            <a:ln w="19050" cap="rnd">
              <a:noFill/>
              <a:round/>
            </a:ln>
            <a:effectLst/>
          </c:spPr>
          <c:marker>
            <c:symbol val="x"/>
            <c:size val="10"/>
            <c:spPr>
              <a:solidFill>
                <a:schemeClr val="bg1"/>
              </a:solidFill>
              <a:ln w="31750">
                <a:solidFill>
                  <a:srgbClr val="FF0000"/>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9-80C4-4BDD-97FE-9CAA94854A8E}"/>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A-80C4-4BDD-97FE-9CAA94854A8E}"/>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B-80C4-4BDD-97FE-9CAA94854A8E}"/>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C-80C4-4BDD-97FE-9CAA94854A8E}"/>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D-80C4-4BDD-97FE-9CAA94854A8E}"/>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E-80C4-4BDD-97FE-9CAA94854A8E}"/>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7F-80C4-4BDD-97FE-9CAA94854A8E}"/>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0-80C4-4BDD-97FE-9CAA94854A8E}"/>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1-80C4-4BDD-97FE-9CAA94854A8E}"/>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2-80C4-4BDD-97FE-9CAA94854A8E}"/>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3-80C4-4BDD-97FE-9CAA94854A8E}"/>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4-80C4-4BDD-97FE-9CAA94854A8E}"/>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5-80C4-4BDD-97FE-9CAA94854A8E}"/>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6-80C4-4BDD-97FE-9CAA94854A8E}"/>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7-80C4-4BDD-97FE-9CAA94854A8E}"/>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8-80C4-4BDD-97FE-9CAA94854A8E}"/>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9-80C4-4BDD-97FE-9CAA94854A8E}"/>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A-80C4-4BDD-97FE-9CAA94854A8E}"/>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B-80C4-4BDD-97FE-9CAA94854A8E}"/>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C-80C4-4BDD-97FE-9CAA94854A8E}"/>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D-80C4-4BDD-97FE-9CAA94854A8E}"/>
                </c:ext>
              </c:extLst>
            </c:dLbl>
            <c:dLbl>
              <c:idx val="21"/>
              <c:tx>
                <c:rich>
                  <a:bodyPr/>
                  <a:lstStyle/>
                  <a:p>
                    <a:fld id="{3FA7E037-1FD4-47E2-A6A4-2BBCD7FBC72D}"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8E-80C4-4BDD-97FE-9CAA94854A8E}"/>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8F-80C4-4BDD-97FE-9CAA94854A8E}"/>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0-80C4-4BDD-97FE-9CAA94854A8E}"/>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1-80C4-4BDD-97FE-9CAA94854A8E}"/>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2-80C4-4BDD-97FE-9CAA94854A8E}"/>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3-80C4-4BDD-97FE-9CAA94854A8E}"/>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4-80C4-4BDD-97FE-9CAA94854A8E}"/>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5-80C4-4BDD-97FE-9CAA94854A8E}"/>
                </c:ext>
              </c:extLst>
            </c:dLbl>
            <c:dLbl>
              <c:idx val="29"/>
              <c:tx>
                <c:rich>
                  <a:bodyPr/>
                  <a:lstStyle/>
                  <a:p>
                    <a:fld id="{3FF88AD4-EDE9-4F51-AA72-D76599CA9162}"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80C4-4BDD-97FE-9CAA94854A8E}"/>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7-80C4-4BDD-97FE-9CAA94854A8E}"/>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8-80C4-4BDD-97FE-9CAA94854A8E}"/>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9-80C4-4BDD-97FE-9CAA94854A8E}"/>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A-80C4-4BDD-97FE-9CAA94854A8E}"/>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B-80C4-4BDD-97FE-9CAA94854A8E}"/>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C-80C4-4BDD-97FE-9CAA94854A8E}"/>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D-80C4-4BDD-97FE-9CAA94854A8E}"/>
                </c:ext>
              </c:extLst>
            </c:dLbl>
            <c:dLbl>
              <c:idx val="37"/>
              <c:tx>
                <c:rich>
                  <a:bodyPr/>
                  <a:lstStyle/>
                  <a:p>
                    <a:fld id="{4A0373F5-FB9A-4FAE-896B-7EA9F3682F63}"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80C4-4BDD-97FE-9CAA94854A8E}"/>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9F-80C4-4BDD-97FE-9CAA94854A8E}"/>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0-80C4-4BDD-97FE-9CAA94854A8E}"/>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1-80C4-4BDD-97FE-9CAA94854A8E}"/>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2-80C4-4BDD-97FE-9CAA94854A8E}"/>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3-80C4-4BDD-97FE-9CAA94854A8E}"/>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4-80C4-4BDD-97FE-9CAA94854A8E}"/>
                </c:ext>
              </c:extLst>
            </c:dLbl>
            <c:dLbl>
              <c:idx val="44"/>
              <c:tx>
                <c:rich>
                  <a:bodyPr/>
                  <a:lstStyle/>
                  <a:p>
                    <a:fld id="{58DBF5EF-0141-486A-B1E6-06804682E619}"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5-80C4-4BDD-97FE-9CAA94854A8E}"/>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6-80C4-4BDD-97FE-9CAA94854A8E}"/>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7-80C4-4BDD-97FE-9CAA94854A8E}"/>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8-80C4-4BDD-97FE-9CAA94854A8E}"/>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9-80C4-4BDD-97FE-9CAA94854A8E}"/>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A-80C4-4BDD-97FE-9CAA94854A8E}"/>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B-80C4-4BDD-97FE-9CAA94854A8E}"/>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C-80C4-4BDD-97FE-9CAA94854A8E}"/>
                </c:ext>
              </c:extLst>
            </c:dLbl>
            <c:dLbl>
              <c:idx val="52"/>
              <c:tx>
                <c:rich>
                  <a:bodyPr/>
                  <a:lstStyle/>
                  <a:p>
                    <a:fld id="{C3ED16BB-357C-42CA-A5EA-AFB1BE89FCFC}"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D-80C4-4BDD-97FE-9CAA94854A8E}"/>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E-80C4-4BDD-97FE-9CAA94854A8E}"/>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AF-80C4-4BDD-97FE-9CAA94854A8E}"/>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0-80C4-4BDD-97FE-9CAA94854A8E}"/>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1-80C4-4BDD-97FE-9CAA94854A8E}"/>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2-80C4-4BDD-97FE-9CAA94854A8E}"/>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3-80C4-4BDD-97FE-9CAA94854A8E}"/>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4-80C4-4BDD-97FE-9CAA94854A8E}"/>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5-80C4-4BDD-97FE-9CAA94854A8E}"/>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6-80C4-4BDD-97FE-9CAA94854A8E}"/>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7-80C4-4BDD-97FE-9CAA94854A8E}"/>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8-80C4-4BDD-97FE-9CAA94854A8E}"/>
                </c:ext>
              </c:extLst>
            </c:dLbl>
            <c:dLbl>
              <c:idx val="64"/>
              <c:tx>
                <c:rich>
                  <a:bodyPr/>
                  <a:lstStyle/>
                  <a:p>
                    <a:fld id="{8C4B7B10-ABDF-4146-B206-8F1F6E16E108}" type="CELLRANGE">
                      <a:rPr lang="en-US"/>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B9-80C4-4BDD-97FE-9CAA94854A8E}"/>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A-80C4-4BDD-97FE-9CAA94854A8E}"/>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B-80C4-4BDD-97FE-9CAA94854A8E}"/>
                </c:ext>
              </c:extLst>
            </c:dLbl>
            <c:dLbl>
              <c:idx val="67"/>
              <c:tx>
                <c:rich>
                  <a:bodyPr/>
                  <a:lstStyle/>
                  <a:p>
                    <a:fld id="{A053CD93-7A11-4AF2-965E-BA145FAF8ECB}"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BC-80C4-4BDD-97FE-9CAA94854A8E}"/>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D-80C4-4BDD-97FE-9CAA94854A8E}"/>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E-80C4-4BDD-97FE-9CAA94854A8E}"/>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BF-80C4-4BDD-97FE-9CAA94854A8E}"/>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0-80C4-4BDD-97FE-9CAA94854A8E}"/>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1-80C4-4BDD-97FE-9CAA94854A8E}"/>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2-80C4-4BDD-97FE-9CAA94854A8E}"/>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3-80C4-4BDD-97FE-9CAA94854A8E}"/>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4-80C4-4BDD-97FE-9CAA94854A8E}"/>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5-80C4-4BDD-97FE-9CAA94854A8E}"/>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6-80C4-4BDD-97FE-9CAA94854A8E}"/>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7-80C4-4BDD-97FE-9CAA94854A8E}"/>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8-80C4-4BDD-97FE-9CAA94854A8E}"/>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9-80C4-4BDD-97FE-9CAA94854A8E}"/>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A-80C4-4BDD-97FE-9CAA94854A8E}"/>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B-80C4-4BDD-97FE-9CAA94854A8E}"/>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C-80C4-4BDD-97FE-9CAA94854A8E}"/>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D-80C4-4BDD-97FE-9CAA94854A8E}"/>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E-80C4-4BDD-97FE-9CAA94854A8E}"/>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CF-80C4-4BDD-97FE-9CAA94854A8E}"/>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0-80C4-4BDD-97FE-9CAA94854A8E}"/>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1-80C4-4BDD-97FE-9CAA94854A8E}"/>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2-80C4-4BDD-97FE-9CAA94854A8E}"/>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3-80C4-4BDD-97FE-9CAA94854A8E}"/>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4-80C4-4BDD-97FE-9CAA94854A8E}"/>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5-80C4-4BDD-97FE-9CAA94854A8E}"/>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6-80C4-4BDD-97FE-9CAA94854A8E}"/>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7-80C4-4BDD-97FE-9CAA94854A8E}"/>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8-80C4-4BDD-97FE-9CAA94854A8E}"/>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9-80C4-4BDD-97FE-9CAA94854A8E}"/>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A-80C4-4BDD-97FE-9CAA94854A8E}"/>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B-80C4-4BDD-97FE-9CAA94854A8E}"/>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C-80C4-4BDD-97FE-9CAA94854A8E}"/>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D-80C4-4BDD-97FE-9CAA94854A8E}"/>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E-80C4-4BDD-97FE-9CAA94854A8E}"/>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DF-80C4-4BDD-97FE-9CAA94854A8E}"/>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0-80C4-4BDD-97FE-9CAA94854A8E}"/>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1-80C4-4BDD-97FE-9CAA94854A8E}"/>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2-80C4-4BDD-97FE-9CAA94854A8E}"/>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3-80C4-4BDD-97FE-9CAA94854A8E}"/>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4-80C4-4BDD-97FE-9CAA94854A8E}"/>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5-80C4-4BDD-97FE-9CAA94854A8E}"/>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6-80C4-4BDD-97FE-9CAA94854A8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FF0000"/>
                      </a:solidFill>
                    </a:ln>
                    <a:solidFill>
                      <a:srgbClr val="FF000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'08-07-25-Scen7-GennyFail'!$A$3:$A$112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'08-07-25-Scen7-GennyFail'!$AS$3:$AS$112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-72</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-72</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-72</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-72</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'08-07-25-Scen7-GennyFail'!$Y$3:$Y$112</c15:f>
                <c15:dlblRangeCache>
                  <c:ptCount val="11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6</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6</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6</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6</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15:dlblRangeCache>
              </c15:datalabelsRange>
            </c:ext>
            <c:ext xmlns:c16="http://schemas.microsoft.com/office/drawing/2014/chart" uri="{C3380CC4-5D6E-409C-BE32-E72D297353CC}">
              <c16:uniqueId val="{000000E7-80C4-4BDD-97FE-9CAA94854A8E}"/>
            </c:ext>
          </c:extLst>
        </c:ser>
        <c:ser>
          <c:idx val="8"/>
          <c:order val="10"/>
          <c:tx>
            <c:strRef>
              <c:f>'08-07-25-Scen7-GennyFail'!$AU$1</c:f>
              <c:strCache>
                <c:ptCount val="1"/>
                <c:pt idx="0">
                  <c:v>Drill Fluid Still Needed In</c:v>
                </c:pt>
              </c:strCache>
            </c:strRef>
          </c:tx>
          <c:spPr>
            <a:ln w="19050" cap="rnd">
              <a:noFill/>
              <a:round/>
            </a:ln>
            <a:effectLst/>
          </c:spPr>
          <c:marker>
            <c:symbol val="x"/>
            <c:size val="10"/>
            <c:spPr>
              <a:solidFill>
                <a:schemeClr val="bg1"/>
              </a:solidFill>
              <a:ln w="31750">
                <a:solidFill>
                  <a:schemeClr val="tx2">
                    <a:lumMod val="50000"/>
                    <a:lumOff val="50000"/>
                  </a:schemeClr>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8-80C4-4BDD-97FE-9CAA94854A8E}"/>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9-80C4-4BDD-97FE-9CAA94854A8E}"/>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A-80C4-4BDD-97FE-9CAA94854A8E}"/>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B-80C4-4BDD-97FE-9CAA94854A8E}"/>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C-80C4-4BDD-97FE-9CAA94854A8E}"/>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D-80C4-4BDD-97FE-9CAA94854A8E}"/>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E-80C4-4BDD-97FE-9CAA94854A8E}"/>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EF-80C4-4BDD-97FE-9CAA94854A8E}"/>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0-80C4-4BDD-97FE-9CAA94854A8E}"/>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1-80C4-4BDD-97FE-9CAA94854A8E}"/>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2-80C4-4BDD-97FE-9CAA94854A8E}"/>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3-80C4-4BDD-97FE-9CAA94854A8E}"/>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4-80C4-4BDD-97FE-9CAA94854A8E}"/>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5-80C4-4BDD-97FE-9CAA94854A8E}"/>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6-80C4-4BDD-97FE-9CAA94854A8E}"/>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7-80C4-4BDD-97FE-9CAA94854A8E}"/>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8-80C4-4BDD-97FE-9CAA94854A8E}"/>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9-80C4-4BDD-97FE-9CAA94854A8E}"/>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A-80C4-4BDD-97FE-9CAA94854A8E}"/>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B-80C4-4BDD-97FE-9CAA94854A8E}"/>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C-80C4-4BDD-97FE-9CAA94854A8E}"/>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D-80C4-4BDD-97FE-9CAA94854A8E}"/>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E-80C4-4BDD-97FE-9CAA94854A8E}"/>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FF-80C4-4BDD-97FE-9CAA94854A8E}"/>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0-80C4-4BDD-97FE-9CAA94854A8E}"/>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1-80C4-4BDD-97FE-9CAA94854A8E}"/>
                </c:ext>
              </c:extLst>
            </c:dLbl>
            <c:dLbl>
              <c:idx val="26"/>
              <c:tx>
                <c:rich>
                  <a:bodyPr/>
                  <a:lstStyle/>
                  <a:p>
                    <a:fld id="{539E2F27-2DDB-4D52-AEF3-5E97A314E898}"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2-80C4-4BDD-97FE-9CAA94854A8E}"/>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3-80C4-4BDD-97FE-9CAA94854A8E}"/>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4-80C4-4BDD-97FE-9CAA94854A8E}"/>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5-80C4-4BDD-97FE-9CAA94854A8E}"/>
                </c:ext>
              </c:extLst>
            </c:dLbl>
            <c:dLbl>
              <c:idx val="30"/>
              <c:tx>
                <c:rich>
                  <a:bodyPr/>
                  <a:lstStyle/>
                  <a:p>
                    <a:fld id="{B480F8F4-F015-4FD4-8610-FB41D0509E74}"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6-80C4-4BDD-97FE-9CAA94854A8E}"/>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7-80C4-4BDD-97FE-9CAA94854A8E}"/>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8-80C4-4BDD-97FE-9CAA94854A8E}"/>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9-80C4-4BDD-97FE-9CAA94854A8E}"/>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A-80C4-4BDD-97FE-9CAA94854A8E}"/>
                </c:ext>
              </c:extLst>
            </c:dLbl>
            <c:dLbl>
              <c:idx val="35"/>
              <c:tx>
                <c:rich>
                  <a:bodyPr/>
                  <a:lstStyle/>
                  <a:p>
                    <a:fld id="{3B05102C-D8D7-4CEC-8307-EDDD91522297}"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0B-80C4-4BDD-97FE-9CAA94854A8E}"/>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C-80C4-4BDD-97FE-9CAA94854A8E}"/>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D-80C4-4BDD-97FE-9CAA94854A8E}"/>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E-80C4-4BDD-97FE-9CAA94854A8E}"/>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0F-80C4-4BDD-97FE-9CAA94854A8E}"/>
                </c:ext>
              </c:extLst>
            </c:dLbl>
            <c:dLbl>
              <c:idx val="40"/>
              <c:tx>
                <c:rich>
                  <a:bodyPr/>
                  <a:lstStyle/>
                  <a:p>
                    <a:fld id="{71665579-57AF-4B87-A06B-BBB76A010581}"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10-80C4-4BDD-97FE-9CAA94854A8E}"/>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1-80C4-4BDD-97FE-9CAA94854A8E}"/>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2-80C4-4BDD-97FE-9CAA94854A8E}"/>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3-80C4-4BDD-97FE-9CAA94854A8E}"/>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4-80C4-4BDD-97FE-9CAA94854A8E}"/>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5-80C4-4BDD-97FE-9CAA94854A8E}"/>
                </c:ext>
              </c:extLst>
            </c:dLbl>
            <c:dLbl>
              <c:idx val="46"/>
              <c:tx>
                <c:rich>
                  <a:bodyPr/>
                  <a:lstStyle/>
                  <a:p>
                    <a:fld id="{2905301D-DA5C-476C-A039-A3CDBD5746AB}"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16-80C4-4BDD-97FE-9CAA94854A8E}"/>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7-80C4-4BDD-97FE-9CAA94854A8E}"/>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8-80C4-4BDD-97FE-9CAA94854A8E}"/>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9-80C4-4BDD-97FE-9CAA94854A8E}"/>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A-80C4-4BDD-97FE-9CAA94854A8E}"/>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B-80C4-4BDD-97FE-9CAA94854A8E}"/>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C-80C4-4BDD-97FE-9CAA94854A8E}"/>
                </c:ext>
              </c:extLst>
            </c:dLbl>
            <c:dLbl>
              <c:idx val="53"/>
              <c:tx>
                <c:rich>
                  <a:bodyPr/>
                  <a:lstStyle/>
                  <a:p>
                    <a:fld id="{9371D9FE-33A8-41F7-B4F2-9403DAECBA51}"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1D-80C4-4BDD-97FE-9CAA94854A8E}"/>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E-80C4-4BDD-97FE-9CAA94854A8E}"/>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1F-80C4-4BDD-97FE-9CAA94854A8E}"/>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0-80C4-4BDD-97FE-9CAA94854A8E}"/>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1-80C4-4BDD-97FE-9CAA94854A8E}"/>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2-80C4-4BDD-97FE-9CAA94854A8E}"/>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3-80C4-4BDD-97FE-9CAA94854A8E}"/>
                </c:ext>
              </c:extLst>
            </c:dLbl>
            <c:dLbl>
              <c:idx val="60"/>
              <c:tx>
                <c:rich>
                  <a:bodyPr/>
                  <a:lstStyle/>
                  <a:p>
                    <a:fld id="{BAD3EB6B-796B-4730-840D-3172E4CA18F8}"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124-80C4-4BDD-97FE-9CAA94854A8E}"/>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5-80C4-4BDD-97FE-9CAA94854A8E}"/>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6-80C4-4BDD-97FE-9CAA94854A8E}"/>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7-80C4-4BDD-97FE-9CAA94854A8E}"/>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8-80C4-4BDD-97FE-9CAA94854A8E}"/>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9-80C4-4BDD-97FE-9CAA94854A8E}"/>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A-80C4-4BDD-97FE-9CAA94854A8E}"/>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B-80C4-4BDD-97FE-9CAA94854A8E}"/>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C-80C4-4BDD-97FE-9CAA94854A8E}"/>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D-80C4-4BDD-97FE-9CAA94854A8E}"/>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E-80C4-4BDD-97FE-9CAA94854A8E}"/>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2F-80C4-4BDD-97FE-9CAA94854A8E}"/>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0-80C4-4BDD-97FE-9CAA94854A8E}"/>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1-80C4-4BDD-97FE-9CAA94854A8E}"/>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2-80C4-4BDD-97FE-9CAA94854A8E}"/>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3-80C4-4BDD-97FE-9CAA94854A8E}"/>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4-80C4-4BDD-97FE-9CAA94854A8E}"/>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5-80C4-4BDD-97FE-9CAA94854A8E}"/>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6-80C4-4BDD-97FE-9CAA94854A8E}"/>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7-80C4-4BDD-97FE-9CAA94854A8E}"/>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8-80C4-4BDD-97FE-9CAA94854A8E}"/>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9-80C4-4BDD-97FE-9CAA94854A8E}"/>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A-80C4-4BDD-97FE-9CAA94854A8E}"/>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B-80C4-4BDD-97FE-9CAA94854A8E}"/>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C-80C4-4BDD-97FE-9CAA94854A8E}"/>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D-80C4-4BDD-97FE-9CAA94854A8E}"/>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E-80C4-4BDD-97FE-9CAA94854A8E}"/>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3F-80C4-4BDD-97FE-9CAA94854A8E}"/>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0-80C4-4BDD-97FE-9CAA94854A8E}"/>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1-80C4-4BDD-97FE-9CAA94854A8E}"/>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2-80C4-4BDD-97FE-9CAA94854A8E}"/>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3-80C4-4BDD-97FE-9CAA94854A8E}"/>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4-80C4-4BDD-97FE-9CAA94854A8E}"/>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5-80C4-4BDD-97FE-9CAA94854A8E}"/>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6-80C4-4BDD-97FE-9CAA94854A8E}"/>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7-80C4-4BDD-97FE-9CAA94854A8E}"/>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8-80C4-4BDD-97FE-9CAA94854A8E}"/>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9-80C4-4BDD-97FE-9CAA94854A8E}"/>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A-80C4-4BDD-97FE-9CAA94854A8E}"/>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B-80C4-4BDD-97FE-9CAA94854A8E}"/>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C-80C4-4BDD-97FE-9CAA94854A8E}"/>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D-80C4-4BDD-97FE-9CAA94854A8E}"/>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E-80C4-4BDD-97FE-9CAA94854A8E}"/>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4F-80C4-4BDD-97FE-9CAA94854A8E}"/>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0-80C4-4BDD-97FE-9CAA94854A8E}"/>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1-80C4-4BDD-97FE-9CAA94854A8E}"/>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2-80C4-4BDD-97FE-9CAA94854A8E}"/>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3-80C4-4BDD-97FE-9CAA94854A8E}"/>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4-80C4-4BDD-97FE-9CAA94854A8E}"/>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5-80C4-4BDD-97FE-9CAA94854A8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2">
                          <a:lumMod val="50000"/>
                          <a:lumOff val="50000"/>
                        </a:schemeClr>
                      </a:solidFill>
                    </a:ln>
                    <a:solidFill>
                      <a:schemeClr val="tx2">
                        <a:lumMod val="50000"/>
                        <a:lumOff val="50000"/>
                      </a:schemeClr>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'08-07-25-Scen7-GennyFail'!$A$3:$A$112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'08-07-25-Scen7-GennyFail'!$AU$3:$AU$112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-144</c:v>
                </c:pt>
                <c:pt idx="27">
                  <c:v>#N/A</c:v>
                </c:pt>
                <c:pt idx="28">
                  <c:v>#N/A</c:v>
                </c:pt>
                <c:pt idx="29">
                  <c:v>#N/A</c:v>
                </c:pt>
                <c:pt idx="30">
                  <c:v>-144</c:v>
                </c:pt>
                <c:pt idx="31">
                  <c:v>#N/A</c:v>
                </c:pt>
                <c:pt idx="32">
                  <c:v>#N/A</c:v>
                </c:pt>
                <c:pt idx="33">
                  <c:v>#N/A</c:v>
                </c:pt>
                <c:pt idx="34">
                  <c:v>#N/A</c:v>
                </c:pt>
                <c:pt idx="35">
                  <c:v>-144</c:v>
                </c:pt>
                <c:pt idx="36">
                  <c:v>#N/A</c:v>
                </c:pt>
                <c:pt idx="37">
                  <c:v>#N/A</c:v>
                </c:pt>
                <c:pt idx="38">
                  <c:v>#N/A</c:v>
                </c:pt>
                <c:pt idx="39">
                  <c:v>#N/A</c:v>
                </c:pt>
                <c:pt idx="40">
                  <c:v>-144</c:v>
                </c:pt>
                <c:pt idx="41">
                  <c:v>#N/A</c:v>
                </c:pt>
                <c:pt idx="42">
                  <c:v>#N/A</c:v>
                </c:pt>
                <c:pt idx="43">
                  <c:v>#N/A</c:v>
                </c:pt>
                <c:pt idx="44">
                  <c:v>#N/A</c:v>
                </c:pt>
                <c:pt idx="45">
                  <c:v>#N/A</c:v>
                </c:pt>
                <c:pt idx="46">
                  <c:v>-144</c:v>
                </c:pt>
                <c:pt idx="47">
                  <c:v>#N/A</c:v>
                </c:pt>
                <c:pt idx="48">
                  <c:v>#N/A</c:v>
                </c:pt>
                <c:pt idx="49">
                  <c:v>#N/A</c:v>
                </c:pt>
                <c:pt idx="50">
                  <c:v>#N/A</c:v>
                </c:pt>
                <c:pt idx="51">
                  <c:v>#N/A</c:v>
                </c:pt>
                <c:pt idx="52">
                  <c:v>#N/A</c:v>
                </c:pt>
                <c:pt idx="53">
                  <c:v>-144</c:v>
                </c:pt>
                <c:pt idx="54">
                  <c:v>#N/A</c:v>
                </c:pt>
                <c:pt idx="55">
                  <c:v>#N/A</c:v>
                </c:pt>
                <c:pt idx="56">
                  <c:v>#N/A</c:v>
                </c:pt>
                <c:pt idx="57">
                  <c:v>#N/A</c:v>
                </c:pt>
                <c:pt idx="58">
                  <c:v>#N/A</c:v>
                </c:pt>
                <c:pt idx="59">
                  <c:v>#N/A</c:v>
                </c:pt>
                <c:pt idx="60">
                  <c:v>-144</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'08-07-25-Scen7-GennyFail'!$AC$3:$AC$112</c15:f>
                <c15:dlblRangeCache>
                  <c:ptCount val="11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6</c:v>
                  </c:pt>
                  <c:pt idx="27">
                    <c:v>0</c:v>
                  </c:pt>
                  <c:pt idx="28">
                    <c:v>0</c:v>
                  </c:pt>
                  <c:pt idx="29">
                    <c:v>0</c:v>
                  </c:pt>
                  <c:pt idx="30">
                    <c:v>6</c:v>
                  </c:pt>
                  <c:pt idx="31">
                    <c:v>0</c:v>
                  </c:pt>
                  <c:pt idx="32">
                    <c:v>0</c:v>
                  </c:pt>
                  <c:pt idx="33">
                    <c:v>0</c:v>
                  </c:pt>
                  <c:pt idx="34">
                    <c:v>0</c:v>
                  </c:pt>
                  <c:pt idx="35">
                    <c:v>6</c:v>
                  </c:pt>
                  <c:pt idx="36">
                    <c:v>0</c:v>
                  </c:pt>
                  <c:pt idx="37">
                    <c:v>0</c:v>
                  </c:pt>
                  <c:pt idx="38">
                    <c:v>0</c:v>
                  </c:pt>
                  <c:pt idx="39">
                    <c:v>0</c:v>
                  </c:pt>
                  <c:pt idx="40">
                    <c:v>6</c:v>
                  </c:pt>
                  <c:pt idx="41">
                    <c:v>0</c:v>
                  </c:pt>
                  <c:pt idx="42">
                    <c:v>0</c:v>
                  </c:pt>
                  <c:pt idx="43">
                    <c:v>0</c:v>
                  </c:pt>
                  <c:pt idx="44">
                    <c:v>0</c:v>
                  </c:pt>
                  <c:pt idx="45">
                    <c:v>0</c:v>
                  </c:pt>
                  <c:pt idx="46">
                    <c:v>6</c:v>
                  </c:pt>
                  <c:pt idx="47">
                    <c:v>0</c:v>
                  </c:pt>
                  <c:pt idx="48">
                    <c:v>0</c:v>
                  </c:pt>
                  <c:pt idx="49">
                    <c:v>0</c:v>
                  </c:pt>
                  <c:pt idx="50">
                    <c:v>0</c:v>
                  </c:pt>
                  <c:pt idx="51">
                    <c:v>0</c:v>
                  </c:pt>
                  <c:pt idx="52">
                    <c:v>0</c:v>
                  </c:pt>
                  <c:pt idx="53">
                    <c:v>6</c:v>
                  </c:pt>
                  <c:pt idx="54">
                    <c:v>0</c:v>
                  </c:pt>
                  <c:pt idx="55">
                    <c:v>0</c:v>
                  </c:pt>
                  <c:pt idx="56">
                    <c:v>0</c:v>
                  </c:pt>
                  <c:pt idx="57">
                    <c:v>0</c:v>
                  </c:pt>
                  <c:pt idx="58">
                    <c:v>0</c:v>
                  </c:pt>
                  <c:pt idx="59">
                    <c:v>0</c:v>
                  </c:pt>
                  <c:pt idx="60">
                    <c:v>6</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15:dlblRangeCache>
              </c15:datalabelsRange>
            </c:ext>
            <c:ext xmlns:c16="http://schemas.microsoft.com/office/drawing/2014/chart" uri="{C3380CC4-5D6E-409C-BE32-E72D297353CC}">
              <c16:uniqueId val="{00000156-80C4-4BDD-97FE-9CAA94854A8E}"/>
            </c:ext>
          </c:extLst>
        </c:ser>
        <c:ser>
          <c:idx val="9"/>
          <c:order val="11"/>
          <c:tx>
            <c:strRef>
              <c:f>'08-07-25-Scen7-GennyFail'!$AT$1</c:f>
              <c:strCache>
                <c:ptCount val="1"/>
                <c:pt idx="0">
                  <c:v>Drill Fluid Planned In</c:v>
                </c:pt>
              </c:strCache>
            </c:strRef>
          </c:tx>
          <c:spPr>
            <a:ln w="19050" cap="rnd">
              <a:noFill/>
              <a:round/>
            </a:ln>
            <a:effectLst/>
          </c:spPr>
          <c:marker>
            <c:symbol val="circle"/>
            <c:size val="10"/>
            <c:spPr>
              <a:solidFill>
                <a:schemeClr val="bg1"/>
              </a:solidFill>
              <a:ln w="31750">
                <a:solidFill>
                  <a:schemeClr val="tx2">
                    <a:lumMod val="50000"/>
                    <a:lumOff val="50000"/>
                  </a:schemeClr>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7-80C4-4BDD-97FE-9CAA94854A8E}"/>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8-80C4-4BDD-97FE-9CAA94854A8E}"/>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9-80C4-4BDD-97FE-9CAA94854A8E}"/>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A-80C4-4BDD-97FE-9CAA94854A8E}"/>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B-80C4-4BDD-97FE-9CAA94854A8E}"/>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C-80C4-4BDD-97FE-9CAA94854A8E}"/>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D-80C4-4BDD-97FE-9CAA94854A8E}"/>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E-80C4-4BDD-97FE-9CAA94854A8E}"/>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5F-80C4-4BDD-97FE-9CAA94854A8E}"/>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0-80C4-4BDD-97FE-9CAA94854A8E}"/>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1-80C4-4BDD-97FE-9CAA94854A8E}"/>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2-80C4-4BDD-97FE-9CAA94854A8E}"/>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3-80C4-4BDD-97FE-9CAA94854A8E}"/>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4-80C4-4BDD-97FE-9CAA94854A8E}"/>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5-80C4-4BDD-97FE-9CAA94854A8E}"/>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6-80C4-4BDD-97FE-9CAA94854A8E}"/>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7-80C4-4BDD-97FE-9CAA94854A8E}"/>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8-80C4-4BDD-97FE-9CAA94854A8E}"/>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9-80C4-4BDD-97FE-9CAA94854A8E}"/>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A-80C4-4BDD-97FE-9CAA94854A8E}"/>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B-80C4-4BDD-97FE-9CAA94854A8E}"/>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C-80C4-4BDD-97FE-9CAA94854A8E}"/>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D-80C4-4BDD-97FE-9CAA94854A8E}"/>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E-80C4-4BDD-97FE-9CAA94854A8E}"/>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6F-80C4-4BDD-97FE-9CAA94854A8E}"/>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0-80C4-4BDD-97FE-9CAA94854A8E}"/>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1-80C4-4BDD-97FE-9CAA94854A8E}"/>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2-80C4-4BDD-97FE-9CAA94854A8E}"/>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3-80C4-4BDD-97FE-9CAA94854A8E}"/>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4-80C4-4BDD-97FE-9CAA94854A8E}"/>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5-80C4-4BDD-97FE-9CAA94854A8E}"/>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6-80C4-4BDD-97FE-9CAA94854A8E}"/>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7-80C4-4BDD-97FE-9CAA94854A8E}"/>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8-80C4-4BDD-97FE-9CAA94854A8E}"/>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9-80C4-4BDD-97FE-9CAA94854A8E}"/>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A-80C4-4BDD-97FE-9CAA94854A8E}"/>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B-80C4-4BDD-97FE-9CAA94854A8E}"/>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C-80C4-4BDD-97FE-9CAA94854A8E}"/>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D-80C4-4BDD-97FE-9CAA94854A8E}"/>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E-80C4-4BDD-97FE-9CAA94854A8E}"/>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7F-80C4-4BDD-97FE-9CAA94854A8E}"/>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0-80C4-4BDD-97FE-9CAA94854A8E}"/>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1-80C4-4BDD-97FE-9CAA94854A8E}"/>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2-80C4-4BDD-97FE-9CAA94854A8E}"/>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3-80C4-4BDD-97FE-9CAA94854A8E}"/>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4-80C4-4BDD-97FE-9CAA94854A8E}"/>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5-80C4-4BDD-97FE-9CAA94854A8E}"/>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6-80C4-4BDD-97FE-9CAA94854A8E}"/>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7-80C4-4BDD-97FE-9CAA94854A8E}"/>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8-80C4-4BDD-97FE-9CAA94854A8E}"/>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9-80C4-4BDD-97FE-9CAA94854A8E}"/>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A-80C4-4BDD-97FE-9CAA94854A8E}"/>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B-80C4-4BDD-97FE-9CAA94854A8E}"/>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C-80C4-4BDD-97FE-9CAA94854A8E}"/>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D-80C4-4BDD-97FE-9CAA94854A8E}"/>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E-80C4-4BDD-97FE-9CAA94854A8E}"/>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8F-80C4-4BDD-97FE-9CAA94854A8E}"/>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0-80C4-4BDD-97FE-9CAA94854A8E}"/>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1-80C4-4BDD-97FE-9CAA94854A8E}"/>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2-80C4-4BDD-97FE-9CAA94854A8E}"/>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3-80C4-4BDD-97FE-9CAA94854A8E}"/>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4-80C4-4BDD-97FE-9CAA94854A8E}"/>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5-80C4-4BDD-97FE-9CAA94854A8E}"/>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6-80C4-4BDD-97FE-9CAA94854A8E}"/>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7-80C4-4BDD-97FE-9CAA94854A8E}"/>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8-80C4-4BDD-97FE-9CAA94854A8E}"/>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9-80C4-4BDD-97FE-9CAA94854A8E}"/>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A-80C4-4BDD-97FE-9CAA94854A8E}"/>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B-80C4-4BDD-97FE-9CAA94854A8E}"/>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C-80C4-4BDD-97FE-9CAA94854A8E}"/>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D-80C4-4BDD-97FE-9CAA94854A8E}"/>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E-80C4-4BDD-97FE-9CAA94854A8E}"/>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9F-80C4-4BDD-97FE-9CAA94854A8E}"/>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0-80C4-4BDD-97FE-9CAA94854A8E}"/>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1-80C4-4BDD-97FE-9CAA94854A8E}"/>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2-80C4-4BDD-97FE-9CAA94854A8E}"/>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3-80C4-4BDD-97FE-9CAA94854A8E}"/>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4-80C4-4BDD-97FE-9CAA94854A8E}"/>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5-80C4-4BDD-97FE-9CAA94854A8E}"/>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6-80C4-4BDD-97FE-9CAA94854A8E}"/>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7-80C4-4BDD-97FE-9CAA94854A8E}"/>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8-80C4-4BDD-97FE-9CAA94854A8E}"/>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9-80C4-4BDD-97FE-9CAA94854A8E}"/>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A-80C4-4BDD-97FE-9CAA94854A8E}"/>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B-80C4-4BDD-97FE-9CAA94854A8E}"/>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C-80C4-4BDD-97FE-9CAA94854A8E}"/>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D-80C4-4BDD-97FE-9CAA94854A8E}"/>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E-80C4-4BDD-97FE-9CAA94854A8E}"/>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AF-80C4-4BDD-97FE-9CAA94854A8E}"/>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0-80C4-4BDD-97FE-9CAA94854A8E}"/>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1-80C4-4BDD-97FE-9CAA94854A8E}"/>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2-80C4-4BDD-97FE-9CAA94854A8E}"/>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3-80C4-4BDD-97FE-9CAA94854A8E}"/>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4-80C4-4BDD-97FE-9CAA94854A8E}"/>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5-80C4-4BDD-97FE-9CAA94854A8E}"/>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6-80C4-4BDD-97FE-9CAA94854A8E}"/>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7-80C4-4BDD-97FE-9CAA94854A8E}"/>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8-80C4-4BDD-97FE-9CAA94854A8E}"/>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9-80C4-4BDD-97FE-9CAA94854A8E}"/>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A-80C4-4BDD-97FE-9CAA94854A8E}"/>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B-80C4-4BDD-97FE-9CAA94854A8E}"/>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C-80C4-4BDD-97FE-9CAA94854A8E}"/>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D-80C4-4BDD-97FE-9CAA94854A8E}"/>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E-80C4-4BDD-97FE-9CAA94854A8E}"/>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BF-80C4-4BDD-97FE-9CAA94854A8E}"/>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0-80C4-4BDD-97FE-9CAA94854A8E}"/>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1-80C4-4BDD-97FE-9CAA94854A8E}"/>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2-80C4-4BDD-97FE-9CAA94854A8E}"/>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3-80C4-4BDD-97FE-9CAA94854A8E}"/>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4-80C4-4BDD-97FE-9CAA94854A8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tx2">
                          <a:lumMod val="50000"/>
                          <a:lumOff val="50000"/>
                        </a:schemeClr>
                      </a:solidFill>
                    </a:ln>
                    <a:solidFill>
                      <a:schemeClr val="tx2">
                        <a:lumMod val="50000"/>
                        <a:lumOff val="50000"/>
                      </a:schemeClr>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'08-07-25-Scen7-GennyFail'!$A$3:$A$112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'08-07-25-Scen7-GennyFail'!$AT$3:$AT$112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'08-07-25-Scen7-GennyFail'!$AB$3:$AB$112</c15:f>
                <c15:dlblRangeCache>
                  <c:ptCount val="110"/>
                </c15:dlblRangeCache>
              </c15:datalabelsRange>
            </c:ext>
            <c:ext xmlns:c16="http://schemas.microsoft.com/office/drawing/2014/chart" uri="{C3380CC4-5D6E-409C-BE32-E72D297353CC}">
              <c16:uniqueId val="{000001C5-80C4-4BDD-97FE-9CAA94854A8E}"/>
            </c:ext>
          </c:extLst>
        </c:ser>
        <c:ser>
          <c:idx val="10"/>
          <c:order val="12"/>
          <c:tx>
            <c:strRef>
              <c:f>'08-07-25-Scen7-GennyFail'!$AV$1</c:f>
              <c:strCache>
                <c:ptCount val="1"/>
                <c:pt idx="0">
                  <c:v>Ice Core Boxes Planned OUT</c:v>
                </c:pt>
              </c:strCache>
            </c:strRef>
          </c:tx>
          <c:spPr>
            <a:ln w="19050" cap="rnd">
              <a:noFill/>
              <a:round/>
            </a:ln>
            <a:effectLst/>
          </c:spPr>
          <c:marker>
            <c:symbol val="circle"/>
            <c:size val="10"/>
            <c:spPr>
              <a:solidFill>
                <a:schemeClr val="bg1"/>
              </a:solidFill>
              <a:ln w="31750">
                <a:solidFill>
                  <a:srgbClr val="00B050"/>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6-80C4-4BDD-97FE-9CAA94854A8E}"/>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7-80C4-4BDD-97FE-9CAA94854A8E}"/>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8-80C4-4BDD-97FE-9CAA94854A8E}"/>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9-80C4-4BDD-97FE-9CAA94854A8E}"/>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A-80C4-4BDD-97FE-9CAA94854A8E}"/>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B-80C4-4BDD-97FE-9CAA94854A8E}"/>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C-80C4-4BDD-97FE-9CAA94854A8E}"/>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D-80C4-4BDD-97FE-9CAA94854A8E}"/>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E-80C4-4BDD-97FE-9CAA94854A8E}"/>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CF-80C4-4BDD-97FE-9CAA94854A8E}"/>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0-80C4-4BDD-97FE-9CAA94854A8E}"/>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1-80C4-4BDD-97FE-9CAA94854A8E}"/>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2-80C4-4BDD-97FE-9CAA94854A8E}"/>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3-80C4-4BDD-97FE-9CAA94854A8E}"/>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4-80C4-4BDD-97FE-9CAA94854A8E}"/>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5-80C4-4BDD-97FE-9CAA94854A8E}"/>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6-80C4-4BDD-97FE-9CAA94854A8E}"/>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7-80C4-4BDD-97FE-9CAA94854A8E}"/>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8-80C4-4BDD-97FE-9CAA94854A8E}"/>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9-80C4-4BDD-97FE-9CAA94854A8E}"/>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A-80C4-4BDD-97FE-9CAA94854A8E}"/>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B-80C4-4BDD-97FE-9CAA94854A8E}"/>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C-80C4-4BDD-97FE-9CAA94854A8E}"/>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D-80C4-4BDD-97FE-9CAA94854A8E}"/>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E-80C4-4BDD-97FE-9CAA94854A8E}"/>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DF-80C4-4BDD-97FE-9CAA94854A8E}"/>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0-80C4-4BDD-97FE-9CAA94854A8E}"/>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1-80C4-4BDD-97FE-9CAA94854A8E}"/>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2-80C4-4BDD-97FE-9CAA94854A8E}"/>
                </c:ext>
              </c:extLst>
            </c:dLbl>
            <c:dLbl>
              <c:idx val="2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3-80C4-4BDD-97FE-9CAA94854A8E}"/>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4-80C4-4BDD-97FE-9CAA94854A8E}"/>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5-80C4-4BDD-97FE-9CAA94854A8E}"/>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6-80C4-4BDD-97FE-9CAA94854A8E}"/>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7-80C4-4BDD-97FE-9CAA94854A8E}"/>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8-80C4-4BDD-97FE-9CAA94854A8E}"/>
                </c:ext>
              </c:extLst>
            </c:dLbl>
            <c:dLbl>
              <c:idx val="3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9-80C4-4BDD-97FE-9CAA94854A8E}"/>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A-80C4-4BDD-97FE-9CAA94854A8E}"/>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B-80C4-4BDD-97FE-9CAA94854A8E}"/>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C-80C4-4BDD-97FE-9CAA94854A8E}"/>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D-80C4-4BDD-97FE-9CAA94854A8E}"/>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E-80C4-4BDD-97FE-9CAA94854A8E}"/>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EF-80C4-4BDD-97FE-9CAA94854A8E}"/>
                </c:ext>
              </c:extLst>
            </c:dLbl>
            <c:dLbl>
              <c:idx val="4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0-80C4-4BDD-97FE-9CAA94854A8E}"/>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1-80C4-4BDD-97FE-9CAA94854A8E}"/>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2-80C4-4BDD-97FE-9CAA94854A8E}"/>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3-80C4-4BDD-97FE-9CAA94854A8E}"/>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4-80C4-4BDD-97FE-9CAA94854A8E}"/>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5-80C4-4BDD-97FE-9CAA94854A8E}"/>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6-80C4-4BDD-97FE-9CAA94854A8E}"/>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7-80C4-4BDD-97FE-9CAA94854A8E}"/>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8-80C4-4BDD-97FE-9CAA94854A8E}"/>
                </c:ext>
              </c:extLst>
            </c:dLbl>
            <c:dLbl>
              <c:idx val="5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9-80C4-4BDD-97FE-9CAA94854A8E}"/>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A-80C4-4BDD-97FE-9CAA94854A8E}"/>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B-80C4-4BDD-97FE-9CAA94854A8E}"/>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C-80C4-4BDD-97FE-9CAA94854A8E}"/>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D-80C4-4BDD-97FE-9CAA94854A8E}"/>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E-80C4-4BDD-97FE-9CAA94854A8E}"/>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1FF-80C4-4BDD-97FE-9CAA94854A8E}"/>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0-80C4-4BDD-97FE-9CAA94854A8E}"/>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1-80C4-4BDD-97FE-9CAA94854A8E}"/>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2-80C4-4BDD-97FE-9CAA94854A8E}"/>
                </c:ext>
              </c:extLst>
            </c:dLbl>
            <c:dLbl>
              <c:idx val="6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3-80C4-4BDD-97FE-9CAA94854A8E}"/>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4-80C4-4BDD-97FE-9CAA94854A8E}"/>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5-80C4-4BDD-97FE-9CAA94854A8E}"/>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6-80C4-4BDD-97FE-9CAA94854A8E}"/>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7-80C4-4BDD-97FE-9CAA94854A8E}"/>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8-80C4-4BDD-97FE-9CAA94854A8E}"/>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9-80C4-4BDD-97FE-9CAA94854A8E}"/>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A-80C4-4BDD-97FE-9CAA94854A8E}"/>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B-80C4-4BDD-97FE-9CAA94854A8E}"/>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C-80C4-4BDD-97FE-9CAA94854A8E}"/>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D-80C4-4BDD-97FE-9CAA94854A8E}"/>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E-80C4-4BDD-97FE-9CAA94854A8E}"/>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0F-80C4-4BDD-97FE-9CAA94854A8E}"/>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0-80C4-4BDD-97FE-9CAA94854A8E}"/>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1-80C4-4BDD-97FE-9CAA94854A8E}"/>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2-80C4-4BDD-97FE-9CAA94854A8E}"/>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3-80C4-4BDD-97FE-9CAA94854A8E}"/>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4-80C4-4BDD-97FE-9CAA94854A8E}"/>
                </c:ext>
              </c:extLst>
            </c:dLbl>
            <c:dLbl>
              <c:idx val="7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5-80C4-4BDD-97FE-9CAA94854A8E}"/>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6-80C4-4BDD-97FE-9CAA94854A8E}"/>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7-80C4-4BDD-97FE-9CAA94854A8E}"/>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8-80C4-4BDD-97FE-9CAA94854A8E}"/>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9-80C4-4BDD-97FE-9CAA94854A8E}"/>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A-80C4-4BDD-97FE-9CAA94854A8E}"/>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B-80C4-4BDD-97FE-9CAA94854A8E}"/>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C-80C4-4BDD-97FE-9CAA94854A8E}"/>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D-80C4-4BDD-97FE-9CAA94854A8E}"/>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E-80C4-4BDD-97FE-9CAA94854A8E}"/>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1F-80C4-4BDD-97FE-9CAA94854A8E}"/>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0-80C4-4BDD-97FE-9CAA94854A8E}"/>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1-80C4-4BDD-97FE-9CAA94854A8E}"/>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2-80C4-4BDD-97FE-9CAA94854A8E}"/>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3-80C4-4BDD-97FE-9CAA94854A8E}"/>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4-80C4-4BDD-97FE-9CAA94854A8E}"/>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5-80C4-4BDD-97FE-9CAA94854A8E}"/>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6-80C4-4BDD-97FE-9CAA94854A8E}"/>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7-80C4-4BDD-97FE-9CAA94854A8E}"/>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8-80C4-4BDD-97FE-9CAA94854A8E}"/>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9-80C4-4BDD-97FE-9CAA94854A8E}"/>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A-80C4-4BDD-97FE-9CAA94854A8E}"/>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B-80C4-4BDD-97FE-9CAA94854A8E}"/>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C-80C4-4BDD-97FE-9CAA94854A8E}"/>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D-80C4-4BDD-97FE-9CAA94854A8E}"/>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E-80C4-4BDD-97FE-9CAA94854A8E}"/>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2F-80C4-4BDD-97FE-9CAA94854A8E}"/>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0-80C4-4BDD-97FE-9CAA94854A8E}"/>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1-80C4-4BDD-97FE-9CAA94854A8E}"/>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2-80C4-4BDD-97FE-9CAA94854A8E}"/>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3-80C4-4BDD-97FE-9CAA94854A8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B050"/>
                      </a:solidFill>
                    </a:ln>
                    <a:solidFill>
                      <a:srgbClr val="00B05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'08-07-25-Scen7-GennyFail'!$A$3:$A$112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'08-07-25-Scen7-GennyFail'!$AV$3:$AV$112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'08-07-25-Scen7-GennyFail'!$AH$3:$AH$112</c15:f>
                <c15:dlblRangeCache>
                  <c:ptCount val="110"/>
                </c15:dlblRangeCache>
              </c15:datalabelsRange>
            </c:ext>
            <c:ext xmlns:c16="http://schemas.microsoft.com/office/drawing/2014/chart" uri="{C3380CC4-5D6E-409C-BE32-E72D297353CC}">
              <c16:uniqueId val="{00000234-80C4-4BDD-97FE-9CAA94854A8E}"/>
            </c:ext>
          </c:extLst>
        </c:ser>
        <c:ser>
          <c:idx val="11"/>
          <c:order val="13"/>
          <c:tx>
            <c:strRef>
              <c:f>'08-07-25-Scen7-GennyFail'!$AW$1</c:f>
              <c:strCache>
                <c:ptCount val="1"/>
                <c:pt idx="0">
                  <c:v>Ice Core Boxes Still Needed OUT</c:v>
                </c:pt>
              </c:strCache>
            </c:strRef>
          </c:tx>
          <c:spPr>
            <a:ln w="19050" cap="rnd">
              <a:noFill/>
              <a:round/>
            </a:ln>
            <a:effectLst/>
          </c:spPr>
          <c:marker>
            <c:symbol val="x"/>
            <c:size val="10"/>
            <c:spPr>
              <a:noFill/>
              <a:ln w="31750">
                <a:solidFill>
                  <a:srgbClr val="00B050"/>
                </a:solidFill>
              </a:ln>
              <a:effectLst/>
            </c:spPr>
          </c:marker>
          <c:dLbls>
            <c:dLbl>
              <c:idx val="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5-80C4-4BDD-97FE-9CAA94854A8E}"/>
                </c:ext>
              </c:extLst>
            </c:dLbl>
            <c:dLbl>
              <c:idx val="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6-80C4-4BDD-97FE-9CAA94854A8E}"/>
                </c:ext>
              </c:extLst>
            </c:dLbl>
            <c:dLbl>
              <c:idx val="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7-80C4-4BDD-97FE-9CAA94854A8E}"/>
                </c:ext>
              </c:extLst>
            </c:dLbl>
            <c:dLbl>
              <c:idx val="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8-80C4-4BDD-97FE-9CAA94854A8E}"/>
                </c:ext>
              </c:extLst>
            </c:dLbl>
            <c:dLbl>
              <c:idx val="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9-80C4-4BDD-97FE-9CAA94854A8E}"/>
                </c:ext>
              </c:extLst>
            </c:dLbl>
            <c:dLbl>
              <c:idx val="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A-80C4-4BDD-97FE-9CAA94854A8E}"/>
                </c:ext>
              </c:extLst>
            </c:dLbl>
            <c:dLbl>
              <c:idx val="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B-80C4-4BDD-97FE-9CAA94854A8E}"/>
                </c:ext>
              </c:extLst>
            </c:dLbl>
            <c:dLbl>
              <c:idx val="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C-80C4-4BDD-97FE-9CAA94854A8E}"/>
                </c:ext>
              </c:extLst>
            </c:dLbl>
            <c:dLbl>
              <c:idx val="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D-80C4-4BDD-97FE-9CAA94854A8E}"/>
                </c:ext>
              </c:extLst>
            </c:dLbl>
            <c:dLbl>
              <c:idx val="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E-80C4-4BDD-97FE-9CAA94854A8E}"/>
                </c:ext>
              </c:extLst>
            </c:dLbl>
            <c:dLbl>
              <c:idx val="1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3F-80C4-4BDD-97FE-9CAA94854A8E}"/>
                </c:ext>
              </c:extLst>
            </c:dLbl>
            <c:dLbl>
              <c:idx val="1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0-80C4-4BDD-97FE-9CAA94854A8E}"/>
                </c:ext>
              </c:extLst>
            </c:dLbl>
            <c:dLbl>
              <c:idx val="1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1-80C4-4BDD-97FE-9CAA94854A8E}"/>
                </c:ext>
              </c:extLst>
            </c:dLbl>
            <c:dLbl>
              <c:idx val="1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2-80C4-4BDD-97FE-9CAA94854A8E}"/>
                </c:ext>
              </c:extLst>
            </c:dLbl>
            <c:dLbl>
              <c:idx val="1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3-80C4-4BDD-97FE-9CAA94854A8E}"/>
                </c:ext>
              </c:extLst>
            </c:dLbl>
            <c:dLbl>
              <c:idx val="1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4-80C4-4BDD-97FE-9CAA94854A8E}"/>
                </c:ext>
              </c:extLst>
            </c:dLbl>
            <c:dLbl>
              <c:idx val="1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5-80C4-4BDD-97FE-9CAA94854A8E}"/>
                </c:ext>
              </c:extLst>
            </c:dLbl>
            <c:dLbl>
              <c:idx val="1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6-80C4-4BDD-97FE-9CAA94854A8E}"/>
                </c:ext>
              </c:extLst>
            </c:dLbl>
            <c:dLbl>
              <c:idx val="1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7-80C4-4BDD-97FE-9CAA94854A8E}"/>
                </c:ext>
              </c:extLst>
            </c:dLbl>
            <c:dLbl>
              <c:idx val="1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8-80C4-4BDD-97FE-9CAA94854A8E}"/>
                </c:ext>
              </c:extLst>
            </c:dLbl>
            <c:dLbl>
              <c:idx val="2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9-80C4-4BDD-97FE-9CAA94854A8E}"/>
                </c:ext>
              </c:extLst>
            </c:dLbl>
            <c:dLbl>
              <c:idx val="2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A-80C4-4BDD-97FE-9CAA94854A8E}"/>
                </c:ext>
              </c:extLst>
            </c:dLbl>
            <c:dLbl>
              <c:idx val="2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B-80C4-4BDD-97FE-9CAA94854A8E}"/>
                </c:ext>
              </c:extLst>
            </c:dLbl>
            <c:dLbl>
              <c:idx val="2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C-80C4-4BDD-97FE-9CAA94854A8E}"/>
                </c:ext>
              </c:extLst>
            </c:dLbl>
            <c:dLbl>
              <c:idx val="2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D-80C4-4BDD-97FE-9CAA94854A8E}"/>
                </c:ext>
              </c:extLst>
            </c:dLbl>
            <c:dLbl>
              <c:idx val="2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E-80C4-4BDD-97FE-9CAA94854A8E}"/>
                </c:ext>
              </c:extLst>
            </c:dLbl>
            <c:dLbl>
              <c:idx val="2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4F-80C4-4BDD-97FE-9CAA94854A8E}"/>
                </c:ext>
              </c:extLst>
            </c:dLbl>
            <c:dLbl>
              <c:idx val="2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0-80C4-4BDD-97FE-9CAA94854A8E}"/>
                </c:ext>
              </c:extLst>
            </c:dLbl>
            <c:dLbl>
              <c:idx val="2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1-80C4-4BDD-97FE-9CAA94854A8E}"/>
                </c:ext>
              </c:extLst>
            </c:dLbl>
            <c:dLbl>
              <c:idx val="29"/>
              <c:tx>
                <c:rich>
                  <a:bodyPr/>
                  <a:lstStyle/>
                  <a:p>
                    <a:fld id="{E983D365-D34C-450F-94CD-053F44446502}"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52-80C4-4BDD-97FE-9CAA94854A8E}"/>
                </c:ext>
              </c:extLst>
            </c:dLbl>
            <c:dLbl>
              <c:idx val="3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3-80C4-4BDD-97FE-9CAA94854A8E}"/>
                </c:ext>
              </c:extLst>
            </c:dLbl>
            <c:dLbl>
              <c:idx val="3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4-80C4-4BDD-97FE-9CAA94854A8E}"/>
                </c:ext>
              </c:extLst>
            </c:dLbl>
            <c:dLbl>
              <c:idx val="3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5-80C4-4BDD-97FE-9CAA94854A8E}"/>
                </c:ext>
              </c:extLst>
            </c:dLbl>
            <c:dLbl>
              <c:idx val="3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6-80C4-4BDD-97FE-9CAA94854A8E}"/>
                </c:ext>
              </c:extLst>
            </c:dLbl>
            <c:dLbl>
              <c:idx val="3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7-80C4-4BDD-97FE-9CAA94854A8E}"/>
                </c:ext>
              </c:extLst>
            </c:dLbl>
            <c:dLbl>
              <c:idx val="35"/>
              <c:tx>
                <c:rich>
                  <a:bodyPr/>
                  <a:lstStyle/>
                  <a:p>
                    <a:fld id="{0A79817F-4AD4-48C8-A224-C2A174FC1CC2}"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58-80C4-4BDD-97FE-9CAA94854A8E}"/>
                </c:ext>
              </c:extLst>
            </c:dLbl>
            <c:dLbl>
              <c:idx val="3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9-80C4-4BDD-97FE-9CAA94854A8E}"/>
                </c:ext>
              </c:extLst>
            </c:dLbl>
            <c:dLbl>
              <c:idx val="3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A-80C4-4BDD-97FE-9CAA94854A8E}"/>
                </c:ext>
              </c:extLst>
            </c:dLbl>
            <c:dLbl>
              <c:idx val="3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B-80C4-4BDD-97FE-9CAA94854A8E}"/>
                </c:ext>
              </c:extLst>
            </c:dLbl>
            <c:dLbl>
              <c:idx val="3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C-80C4-4BDD-97FE-9CAA94854A8E}"/>
                </c:ext>
              </c:extLst>
            </c:dLbl>
            <c:dLbl>
              <c:idx val="4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D-80C4-4BDD-97FE-9CAA94854A8E}"/>
                </c:ext>
              </c:extLst>
            </c:dLbl>
            <c:dLbl>
              <c:idx val="4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5E-80C4-4BDD-97FE-9CAA94854A8E}"/>
                </c:ext>
              </c:extLst>
            </c:dLbl>
            <c:dLbl>
              <c:idx val="42"/>
              <c:tx>
                <c:rich>
                  <a:bodyPr/>
                  <a:lstStyle/>
                  <a:p>
                    <a:fld id="{6664BCAE-2103-4072-8F22-811B81135D2A}"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5F-80C4-4BDD-97FE-9CAA94854A8E}"/>
                </c:ext>
              </c:extLst>
            </c:dLbl>
            <c:dLbl>
              <c:idx val="4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0-80C4-4BDD-97FE-9CAA94854A8E}"/>
                </c:ext>
              </c:extLst>
            </c:dLbl>
            <c:dLbl>
              <c:idx val="4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1-80C4-4BDD-97FE-9CAA94854A8E}"/>
                </c:ext>
              </c:extLst>
            </c:dLbl>
            <c:dLbl>
              <c:idx val="4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2-80C4-4BDD-97FE-9CAA94854A8E}"/>
                </c:ext>
              </c:extLst>
            </c:dLbl>
            <c:dLbl>
              <c:idx val="4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3-80C4-4BDD-97FE-9CAA94854A8E}"/>
                </c:ext>
              </c:extLst>
            </c:dLbl>
            <c:dLbl>
              <c:idx val="4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4-80C4-4BDD-97FE-9CAA94854A8E}"/>
                </c:ext>
              </c:extLst>
            </c:dLbl>
            <c:dLbl>
              <c:idx val="4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5-80C4-4BDD-97FE-9CAA94854A8E}"/>
                </c:ext>
              </c:extLst>
            </c:dLbl>
            <c:dLbl>
              <c:idx val="4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6-80C4-4BDD-97FE-9CAA94854A8E}"/>
                </c:ext>
              </c:extLst>
            </c:dLbl>
            <c:dLbl>
              <c:idx val="5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7-80C4-4BDD-97FE-9CAA94854A8E}"/>
                </c:ext>
              </c:extLst>
            </c:dLbl>
            <c:dLbl>
              <c:idx val="51"/>
              <c:tx>
                <c:rich>
                  <a:bodyPr/>
                  <a:lstStyle/>
                  <a:p>
                    <a:fld id="{5D9E81B1-4BAF-4E87-8A6A-CF469020F69B}"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68-80C4-4BDD-97FE-9CAA94854A8E}"/>
                </c:ext>
              </c:extLst>
            </c:dLbl>
            <c:dLbl>
              <c:idx val="5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9-80C4-4BDD-97FE-9CAA94854A8E}"/>
                </c:ext>
              </c:extLst>
            </c:dLbl>
            <c:dLbl>
              <c:idx val="5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A-80C4-4BDD-97FE-9CAA94854A8E}"/>
                </c:ext>
              </c:extLst>
            </c:dLbl>
            <c:dLbl>
              <c:idx val="5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B-80C4-4BDD-97FE-9CAA94854A8E}"/>
                </c:ext>
              </c:extLst>
            </c:dLbl>
            <c:dLbl>
              <c:idx val="5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C-80C4-4BDD-97FE-9CAA94854A8E}"/>
                </c:ext>
              </c:extLst>
            </c:dLbl>
            <c:dLbl>
              <c:idx val="5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D-80C4-4BDD-97FE-9CAA94854A8E}"/>
                </c:ext>
              </c:extLst>
            </c:dLbl>
            <c:dLbl>
              <c:idx val="5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E-80C4-4BDD-97FE-9CAA94854A8E}"/>
                </c:ext>
              </c:extLst>
            </c:dLbl>
            <c:dLbl>
              <c:idx val="5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6F-80C4-4BDD-97FE-9CAA94854A8E}"/>
                </c:ext>
              </c:extLst>
            </c:dLbl>
            <c:dLbl>
              <c:idx val="5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0-80C4-4BDD-97FE-9CAA94854A8E}"/>
                </c:ext>
              </c:extLst>
            </c:dLbl>
            <c:dLbl>
              <c:idx val="6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1-80C4-4BDD-97FE-9CAA94854A8E}"/>
                </c:ext>
              </c:extLst>
            </c:dLbl>
            <c:dLbl>
              <c:idx val="61"/>
              <c:tx>
                <c:rich>
                  <a:bodyPr/>
                  <a:lstStyle/>
                  <a:p>
                    <a:fld id="{AD6C1A13-E28A-41F5-9C6D-F07B121D98B2}"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72-80C4-4BDD-97FE-9CAA94854A8E}"/>
                </c:ext>
              </c:extLst>
            </c:dLbl>
            <c:dLbl>
              <c:idx val="6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3-80C4-4BDD-97FE-9CAA94854A8E}"/>
                </c:ext>
              </c:extLst>
            </c:dLbl>
            <c:dLbl>
              <c:idx val="6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4-80C4-4BDD-97FE-9CAA94854A8E}"/>
                </c:ext>
              </c:extLst>
            </c:dLbl>
            <c:dLbl>
              <c:idx val="6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5-80C4-4BDD-97FE-9CAA94854A8E}"/>
                </c:ext>
              </c:extLst>
            </c:dLbl>
            <c:dLbl>
              <c:idx val="6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6-80C4-4BDD-97FE-9CAA94854A8E}"/>
                </c:ext>
              </c:extLst>
            </c:dLbl>
            <c:dLbl>
              <c:idx val="6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7-80C4-4BDD-97FE-9CAA94854A8E}"/>
                </c:ext>
              </c:extLst>
            </c:dLbl>
            <c:dLbl>
              <c:idx val="6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8-80C4-4BDD-97FE-9CAA94854A8E}"/>
                </c:ext>
              </c:extLst>
            </c:dLbl>
            <c:dLbl>
              <c:idx val="6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9-80C4-4BDD-97FE-9CAA94854A8E}"/>
                </c:ext>
              </c:extLst>
            </c:dLbl>
            <c:dLbl>
              <c:idx val="6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A-80C4-4BDD-97FE-9CAA94854A8E}"/>
                </c:ext>
              </c:extLst>
            </c:dLbl>
            <c:dLbl>
              <c:idx val="7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B-80C4-4BDD-97FE-9CAA94854A8E}"/>
                </c:ext>
              </c:extLst>
            </c:dLbl>
            <c:dLbl>
              <c:idx val="7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C-80C4-4BDD-97FE-9CAA94854A8E}"/>
                </c:ext>
              </c:extLst>
            </c:dLbl>
            <c:dLbl>
              <c:idx val="7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D-80C4-4BDD-97FE-9CAA94854A8E}"/>
                </c:ext>
              </c:extLst>
            </c:dLbl>
            <c:dLbl>
              <c:idx val="7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E-80C4-4BDD-97FE-9CAA94854A8E}"/>
                </c:ext>
              </c:extLst>
            </c:dLbl>
            <c:dLbl>
              <c:idx val="7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7F-80C4-4BDD-97FE-9CAA94854A8E}"/>
                </c:ext>
              </c:extLst>
            </c:dLbl>
            <c:dLbl>
              <c:idx val="7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0-80C4-4BDD-97FE-9CAA94854A8E}"/>
                </c:ext>
              </c:extLst>
            </c:dLbl>
            <c:dLbl>
              <c:idx val="7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1-80C4-4BDD-97FE-9CAA94854A8E}"/>
                </c:ext>
              </c:extLst>
            </c:dLbl>
            <c:dLbl>
              <c:idx val="7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2-80C4-4BDD-97FE-9CAA94854A8E}"/>
                </c:ext>
              </c:extLst>
            </c:dLbl>
            <c:dLbl>
              <c:idx val="7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3-80C4-4BDD-97FE-9CAA94854A8E}"/>
                </c:ext>
              </c:extLst>
            </c:dLbl>
            <c:dLbl>
              <c:idx val="79"/>
              <c:tx>
                <c:rich>
                  <a:bodyPr/>
                  <a:lstStyle/>
                  <a:p>
                    <a:fld id="{A25D655E-CDC6-43D9-8C13-796ED73A6B19}" type="CELLRANGE">
                      <a:rPr lang="en-GB"/>
                      <a:pPr/>
                      <a:t>[CELLRANGE]</a:t>
                    </a:fld>
                    <a:endParaRPr lang="en-GB"/>
                  </a:p>
                </c:rich>
              </c:tx>
              <c:dLblPos val="b"/>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284-80C4-4BDD-97FE-9CAA94854A8E}"/>
                </c:ext>
              </c:extLst>
            </c:dLbl>
            <c:dLbl>
              <c:idx val="8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5-80C4-4BDD-97FE-9CAA94854A8E}"/>
                </c:ext>
              </c:extLst>
            </c:dLbl>
            <c:dLbl>
              <c:idx val="8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6-80C4-4BDD-97FE-9CAA94854A8E}"/>
                </c:ext>
              </c:extLst>
            </c:dLbl>
            <c:dLbl>
              <c:idx val="8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7-80C4-4BDD-97FE-9CAA94854A8E}"/>
                </c:ext>
              </c:extLst>
            </c:dLbl>
            <c:dLbl>
              <c:idx val="8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8-80C4-4BDD-97FE-9CAA94854A8E}"/>
                </c:ext>
              </c:extLst>
            </c:dLbl>
            <c:dLbl>
              <c:idx val="8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9-80C4-4BDD-97FE-9CAA94854A8E}"/>
                </c:ext>
              </c:extLst>
            </c:dLbl>
            <c:dLbl>
              <c:idx val="8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A-80C4-4BDD-97FE-9CAA94854A8E}"/>
                </c:ext>
              </c:extLst>
            </c:dLbl>
            <c:dLbl>
              <c:idx val="8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B-80C4-4BDD-97FE-9CAA94854A8E}"/>
                </c:ext>
              </c:extLst>
            </c:dLbl>
            <c:dLbl>
              <c:idx val="8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C-80C4-4BDD-97FE-9CAA94854A8E}"/>
                </c:ext>
              </c:extLst>
            </c:dLbl>
            <c:dLbl>
              <c:idx val="8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D-80C4-4BDD-97FE-9CAA94854A8E}"/>
                </c:ext>
              </c:extLst>
            </c:dLbl>
            <c:dLbl>
              <c:idx val="8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E-80C4-4BDD-97FE-9CAA94854A8E}"/>
                </c:ext>
              </c:extLst>
            </c:dLbl>
            <c:dLbl>
              <c:idx val="9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8F-80C4-4BDD-97FE-9CAA94854A8E}"/>
                </c:ext>
              </c:extLst>
            </c:dLbl>
            <c:dLbl>
              <c:idx val="9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0-80C4-4BDD-97FE-9CAA94854A8E}"/>
                </c:ext>
              </c:extLst>
            </c:dLbl>
            <c:dLbl>
              <c:idx val="9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1-80C4-4BDD-97FE-9CAA94854A8E}"/>
                </c:ext>
              </c:extLst>
            </c:dLbl>
            <c:dLbl>
              <c:idx val="9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2-80C4-4BDD-97FE-9CAA94854A8E}"/>
                </c:ext>
              </c:extLst>
            </c:dLbl>
            <c:dLbl>
              <c:idx val="9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3-80C4-4BDD-97FE-9CAA94854A8E}"/>
                </c:ext>
              </c:extLst>
            </c:dLbl>
            <c:dLbl>
              <c:idx val="9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4-80C4-4BDD-97FE-9CAA94854A8E}"/>
                </c:ext>
              </c:extLst>
            </c:dLbl>
            <c:dLbl>
              <c:idx val="9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5-80C4-4BDD-97FE-9CAA94854A8E}"/>
                </c:ext>
              </c:extLst>
            </c:dLbl>
            <c:dLbl>
              <c:idx val="9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6-80C4-4BDD-97FE-9CAA94854A8E}"/>
                </c:ext>
              </c:extLst>
            </c:dLbl>
            <c:dLbl>
              <c:idx val="9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7-80C4-4BDD-97FE-9CAA94854A8E}"/>
                </c:ext>
              </c:extLst>
            </c:dLbl>
            <c:dLbl>
              <c:idx val="9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8-80C4-4BDD-97FE-9CAA94854A8E}"/>
                </c:ext>
              </c:extLst>
            </c:dLbl>
            <c:dLbl>
              <c:idx val="100"/>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9-80C4-4BDD-97FE-9CAA94854A8E}"/>
                </c:ext>
              </c:extLst>
            </c:dLbl>
            <c:dLbl>
              <c:idx val="101"/>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A-80C4-4BDD-97FE-9CAA94854A8E}"/>
                </c:ext>
              </c:extLst>
            </c:dLbl>
            <c:dLbl>
              <c:idx val="102"/>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B-80C4-4BDD-97FE-9CAA94854A8E}"/>
                </c:ext>
              </c:extLst>
            </c:dLbl>
            <c:dLbl>
              <c:idx val="103"/>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C-80C4-4BDD-97FE-9CAA94854A8E}"/>
                </c:ext>
              </c:extLst>
            </c:dLbl>
            <c:dLbl>
              <c:idx val="104"/>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D-80C4-4BDD-97FE-9CAA94854A8E}"/>
                </c:ext>
              </c:extLst>
            </c:dLbl>
            <c:dLbl>
              <c:idx val="105"/>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E-80C4-4BDD-97FE-9CAA94854A8E}"/>
                </c:ext>
              </c:extLst>
            </c:dLbl>
            <c:dLbl>
              <c:idx val="106"/>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9F-80C4-4BDD-97FE-9CAA94854A8E}"/>
                </c:ext>
              </c:extLst>
            </c:dLbl>
            <c:dLbl>
              <c:idx val="107"/>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A0-80C4-4BDD-97FE-9CAA94854A8E}"/>
                </c:ext>
              </c:extLst>
            </c:dLbl>
            <c:dLbl>
              <c:idx val="108"/>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A1-80C4-4BDD-97FE-9CAA94854A8E}"/>
                </c:ext>
              </c:extLst>
            </c:dLbl>
            <c:dLbl>
              <c:idx val="109"/>
              <c:tx>
                <c:rich>
                  <a:bodyPr/>
                  <a:lstStyle/>
                  <a:p>
                    <a:endParaRPr lang="en-GB"/>
                  </a:p>
                </c:rich>
              </c:tx>
              <c:dLblPos val="b"/>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2A2-80C4-4BDD-97FE-9CAA94854A8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rgbClr val="00B050"/>
                      </a:solidFill>
                    </a:ln>
                    <a:solidFill>
                      <a:srgbClr val="00B050"/>
                    </a:solidFill>
                    <a:latin typeface="+mn-lt"/>
                    <a:ea typeface="+mn-ea"/>
                    <a:cs typeface="+mn-cs"/>
                  </a:defRPr>
                </a:pPr>
                <a:endParaRPr lang="en-US"/>
              </a:p>
            </c:txPr>
            <c:dLblPos val="b"/>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'08-07-25-Scen7-GennyFail'!$A$3:$A$112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'08-07-25-Scen7-GennyFail'!$AW$3:$AW$112</c:f>
              <c:numCache>
                <c:formatCode>General</c:formatCode>
                <c:ptCount val="11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-216</c:v>
                </c:pt>
                <c:pt idx="30">
                  <c:v>#N/A</c:v>
                </c:pt>
                <c:pt idx="31">
                  <c:v>#N/A</c:v>
                </c:pt>
                <c:pt idx="32">
                  <c:v>#N/A</c:v>
                </c:pt>
                <c:pt idx="33">
                  <c:v>#N/A</c:v>
                </c:pt>
                <c:pt idx="34">
                  <c:v>#N/A</c:v>
                </c:pt>
                <c:pt idx="35">
                  <c:v>-216</c:v>
                </c:pt>
                <c:pt idx="36">
                  <c:v>#N/A</c:v>
                </c:pt>
                <c:pt idx="37">
                  <c:v>#N/A</c:v>
                </c:pt>
                <c:pt idx="38">
                  <c:v>#N/A</c:v>
                </c:pt>
                <c:pt idx="39">
                  <c:v>#N/A</c:v>
                </c:pt>
                <c:pt idx="40">
                  <c:v>#N/A</c:v>
                </c:pt>
                <c:pt idx="41">
                  <c:v>#N/A</c:v>
                </c:pt>
                <c:pt idx="42">
                  <c:v>-216</c:v>
                </c:pt>
                <c:pt idx="43">
                  <c:v>#N/A</c:v>
                </c:pt>
                <c:pt idx="44">
                  <c:v>#N/A</c:v>
                </c:pt>
                <c:pt idx="45">
                  <c:v>#N/A</c:v>
                </c:pt>
                <c:pt idx="46">
                  <c:v>#N/A</c:v>
                </c:pt>
                <c:pt idx="47">
                  <c:v>#N/A</c:v>
                </c:pt>
                <c:pt idx="48">
                  <c:v>#N/A</c:v>
                </c:pt>
                <c:pt idx="49">
                  <c:v>#N/A</c:v>
                </c:pt>
                <c:pt idx="50">
                  <c:v>#N/A</c:v>
                </c:pt>
                <c:pt idx="51">
                  <c:v>-216</c:v>
                </c:pt>
                <c:pt idx="52">
                  <c:v>#N/A</c:v>
                </c:pt>
                <c:pt idx="53">
                  <c:v>#N/A</c:v>
                </c:pt>
                <c:pt idx="54">
                  <c:v>#N/A</c:v>
                </c:pt>
                <c:pt idx="55">
                  <c:v>#N/A</c:v>
                </c:pt>
                <c:pt idx="56">
                  <c:v>#N/A</c:v>
                </c:pt>
                <c:pt idx="57">
                  <c:v>#N/A</c:v>
                </c:pt>
                <c:pt idx="58">
                  <c:v>#N/A</c:v>
                </c:pt>
                <c:pt idx="59">
                  <c:v>#N/A</c:v>
                </c:pt>
                <c:pt idx="60">
                  <c:v>#N/A</c:v>
                </c:pt>
                <c:pt idx="61">
                  <c:v>-216</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-216</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numCache>
            </c:numRef>
          </c:yVal>
          <c:smooth val="0"/>
          <c:extLst>
            <c:ext xmlns:c15="http://schemas.microsoft.com/office/drawing/2012/chart" uri="{02D57815-91ED-43cb-92C2-25804820EDAC}">
              <c15:datalabelsRange>
                <c15:f>'08-07-25-Scen7-GennyFail'!$AI$3:$AI$112</c15:f>
                <c15:dlblRangeCache>
                  <c:ptCount val="110"/>
                  <c:pt idx="0">
                    <c:v>0.0</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pt idx="24">
                    <c:v>0.0</c:v>
                  </c:pt>
                  <c:pt idx="25">
                    <c:v>0.0</c:v>
                  </c:pt>
                  <c:pt idx="26">
                    <c:v>0.0</c:v>
                  </c:pt>
                  <c:pt idx="27">
                    <c:v>0.0</c:v>
                  </c:pt>
                  <c:pt idx="28">
                    <c:v>0.0</c:v>
                  </c:pt>
                  <c:pt idx="29">
                    <c:v>20.0</c:v>
                  </c:pt>
                  <c:pt idx="30">
                    <c:v>0.0</c:v>
                  </c:pt>
                  <c:pt idx="31">
                    <c:v>0.0</c:v>
                  </c:pt>
                  <c:pt idx="32">
                    <c:v>0.0</c:v>
                  </c:pt>
                  <c:pt idx="33">
                    <c:v>0.0</c:v>
                  </c:pt>
                  <c:pt idx="34">
                    <c:v>0.0</c:v>
                  </c:pt>
                  <c:pt idx="35">
                    <c:v>20.0</c:v>
                  </c:pt>
                  <c:pt idx="36">
                    <c:v>0.0</c:v>
                  </c:pt>
                  <c:pt idx="37">
                    <c:v>0.0</c:v>
                  </c:pt>
                  <c:pt idx="38">
                    <c:v>0.0</c:v>
                  </c:pt>
                  <c:pt idx="39">
                    <c:v>0.0</c:v>
                  </c:pt>
                  <c:pt idx="40">
                    <c:v>0.0</c:v>
                  </c:pt>
                  <c:pt idx="41">
                    <c:v>0.0</c:v>
                  </c:pt>
                  <c:pt idx="42">
                    <c:v>20.0</c:v>
                  </c:pt>
                  <c:pt idx="43">
                    <c:v>0.0</c:v>
                  </c:pt>
                  <c:pt idx="44">
                    <c:v>0.0</c:v>
                  </c:pt>
                  <c:pt idx="45">
                    <c:v>0.0</c:v>
                  </c:pt>
                  <c:pt idx="46">
                    <c:v>0.0</c:v>
                  </c:pt>
                  <c:pt idx="47">
                    <c:v>0.0</c:v>
                  </c:pt>
                  <c:pt idx="48">
                    <c:v>0.0</c:v>
                  </c:pt>
                  <c:pt idx="49">
                    <c:v>0.0</c:v>
                  </c:pt>
                  <c:pt idx="50">
                    <c:v>0.0</c:v>
                  </c:pt>
                  <c:pt idx="51">
                    <c:v>20.0</c:v>
                  </c:pt>
                  <c:pt idx="52">
                    <c:v>0.0</c:v>
                  </c:pt>
                  <c:pt idx="53">
                    <c:v>0.0</c:v>
                  </c:pt>
                  <c:pt idx="54">
                    <c:v>0.0</c:v>
                  </c:pt>
                  <c:pt idx="55">
                    <c:v>0.0</c:v>
                  </c:pt>
                  <c:pt idx="56">
                    <c:v>0.0</c:v>
                  </c:pt>
                  <c:pt idx="57">
                    <c:v>0.0</c:v>
                  </c:pt>
                  <c:pt idx="58">
                    <c:v>0.0</c:v>
                  </c:pt>
                  <c:pt idx="59">
                    <c:v>0.0</c:v>
                  </c:pt>
                  <c:pt idx="60">
                    <c:v>0.0</c:v>
                  </c:pt>
                  <c:pt idx="61">
                    <c:v>20.0</c:v>
                  </c:pt>
                  <c:pt idx="62">
                    <c:v>0.0</c:v>
                  </c:pt>
                  <c:pt idx="63">
                    <c:v>0.0</c:v>
                  </c:pt>
                  <c:pt idx="64">
                    <c:v>0.0</c:v>
                  </c:pt>
                  <c:pt idx="65">
                    <c:v>0.0</c:v>
                  </c:pt>
                  <c:pt idx="66">
                    <c:v>0.0</c:v>
                  </c:pt>
                  <c:pt idx="67">
                    <c:v>0.0</c:v>
                  </c:pt>
                  <c:pt idx="68">
                    <c:v>0.0</c:v>
                  </c:pt>
                  <c:pt idx="69">
                    <c:v>0.0</c:v>
                  </c:pt>
                  <c:pt idx="70">
                    <c:v>0.0</c:v>
                  </c:pt>
                  <c:pt idx="71">
                    <c:v>0.0</c:v>
                  </c:pt>
                  <c:pt idx="72">
                    <c:v>0.0</c:v>
                  </c:pt>
                  <c:pt idx="73">
                    <c:v>0.0</c:v>
                  </c:pt>
                  <c:pt idx="74">
                    <c:v>0.0</c:v>
                  </c:pt>
                  <c:pt idx="75">
                    <c:v>0.0</c:v>
                  </c:pt>
                  <c:pt idx="76">
                    <c:v>0.0</c:v>
                  </c:pt>
                  <c:pt idx="77">
                    <c:v>0.0</c:v>
                  </c:pt>
                  <c:pt idx="78">
                    <c:v>0.0</c:v>
                  </c:pt>
                  <c:pt idx="79">
                    <c:v>9.0</c:v>
                  </c:pt>
                  <c:pt idx="80">
                    <c:v>0.0</c:v>
                  </c:pt>
                  <c:pt idx="81">
                    <c:v>0.0</c:v>
                  </c:pt>
                  <c:pt idx="82">
                    <c:v>0.0</c:v>
                  </c:pt>
                  <c:pt idx="83">
                    <c:v>0.0</c:v>
                  </c:pt>
                  <c:pt idx="84">
                    <c:v>0.0</c:v>
                  </c:pt>
                  <c:pt idx="85">
                    <c:v>0.0</c:v>
                  </c:pt>
                  <c:pt idx="86">
                    <c:v>0.0</c:v>
                  </c:pt>
                  <c:pt idx="87">
                    <c:v>0.0</c:v>
                  </c:pt>
                  <c:pt idx="88">
                    <c:v>0.0</c:v>
                  </c:pt>
                  <c:pt idx="89">
                    <c:v>0.0</c:v>
                  </c:pt>
                  <c:pt idx="90">
                    <c:v>0.0</c:v>
                  </c:pt>
                  <c:pt idx="91">
                    <c:v>0.0</c:v>
                  </c:pt>
                  <c:pt idx="92">
                    <c:v>0.0</c:v>
                  </c:pt>
                  <c:pt idx="93">
                    <c:v>0.0</c:v>
                  </c:pt>
                  <c:pt idx="94">
                    <c:v>0.0</c:v>
                  </c:pt>
                  <c:pt idx="95">
                    <c:v>0.0</c:v>
                  </c:pt>
                  <c:pt idx="96">
                    <c:v>0.0</c:v>
                  </c:pt>
                  <c:pt idx="97">
                    <c:v>0.0</c:v>
                  </c:pt>
                  <c:pt idx="98">
                    <c:v>0.0</c:v>
                  </c:pt>
                  <c:pt idx="99">
                    <c:v>0.0</c:v>
                  </c:pt>
                  <c:pt idx="100">
                    <c:v>0.0</c:v>
                  </c:pt>
                  <c:pt idx="101">
                    <c:v>0.0</c:v>
                  </c:pt>
                  <c:pt idx="102">
                    <c:v>0.0</c:v>
                  </c:pt>
                  <c:pt idx="103">
                    <c:v>0.0</c:v>
                  </c:pt>
                  <c:pt idx="104">
                    <c:v>0.0</c:v>
                  </c:pt>
                  <c:pt idx="105">
                    <c:v>0.0</c:v>
                  </c:pt>
                  <c:pt idx="106">
                    <c:v>0.0</c:v>
                  </c:pt>
                  <c:pt idx="107">
                    <c:v>0.0</c:v>
                  </c:pt>
                  <c:pt idx="108">
                    <c:v>0.0</c:v>
                  </c:pt>
                  <c:pt idx="109">
                    <c:v>0.0</c:v>
                  </c:pt>
                </c15:dlblRangeCache>
              </c15:datalabelsRange>
            </c:ext>
            <c:ext xmlns:c16="http://schemas.microsoft.com/office/drawing/2014/chart" uri="{C3380CC4-5D6E-409C-BE32-E72D297353CC}">
              <c16:uniqueId val="{000002A3-80C4-4BDD-97FE-9CAA94854A8E}"/>
            </c:ext>
          </c:extLst>
        </c:ser>
        <c:dLbls>
          <c:showLegendKey val="0"/>
          <c:showVal val="0"/>
          <c:showCatName val="0"/>
          <c:showSerName val="0"/>
          <c:showPercent val="0"/>
          <c:showBubbleSize val="0"/>
        </c:dLbls>
        <c:axId val="311442800"/>
        <c:axId val="311442320"/>
      </c:scatterChart>
      <c:valAx>
        <c:axId val="311442800"/>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dd/mm" sourceLinked="1"/>
        <c:majorTickMark val="none"/>
        <c:minorTickMark val="none"/>
        <c:tickLblPos val="nextTo"/>
        <c:spPr>
          <a:noFill/>
          <a:ln w="9525" cap="flat" cmpd="sng" algn="ctr">
            <a:solidFill>
              <a:schemeClr val="tx1">
                <a:lumMod val="25000"/>
                <a:lumOff val="7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442320"/>
        <c:crosses val="autoZero"/>
        <c:crossBetween val="midCat"/>
        <c:majorUnit val="7"/>
        <c:minorUnit val="1"/>
      </c:valAx>
      <c:valAx>
        <c:axId val="3114423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144280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Consumables</a:t>
            </a:r>
            <a:r>
              <a:rPr lang="en-GB" b="1" baseline="0"/>
              <a:t> in Camp</a:t>
            </a:r>
            <a:endParaRPr lang="en-GB" b="1"/>
          </a:p>
        </c:rich>
      </c:tx>
      <c:layout>
        <c:manualLayout>
          <c:xMode val="edge"/>
          <c:yMode val="edge"/>
          <c:x val="0.35868508257076437"/>
          <c:y val="3.8523267986456528E-2"/>
        </c:manualLayout>
      </c:layout>
      <c:overlay val="1"/>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scatterChart>
        <c:scatterStyle val="lineMarker"/>
        <c:varyColors val="0"/>
        <c:ser>
          <c:idx val="0"/>
          <c:order val="0"/>
          <c:tx>
            <c:strRef>
              <c:f>'08-07-25-Scen7-GennyFail'!$AX$1</c:f>
              <c:strCache>
                <c:ptCount val="1"/>
                <c:pt idx="0">
                  <c:v>Drilling Fuel in Camp</c:v>
                </c:pt>
              </c:strCache>
            </c:strRef>
          </c:tx>
          <c:spPr>
            <a:ln w="19050" cap="rnd">
              <a:solidFill>
                <a:srgbClr val="FF0000"/>
              </a:solidFill>
              <a:round/>
            </a:ln>
            <a:effectLst/>
          </c:spPr>
          <c:marker>
            <c:symbol val="none"/>
          </c:marker>
          <c:xVal>
            <c:numRef>
              <c:f>'08-07-25-Scen7-GennyFail'!$A$3:$A$112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'08-07-25-Scen7-GennyFail'!$AX$3:$AX$112</c:f>
              <c:numCache>
                <c:formatCode>0</c:formatCode>
                <c:ptCount val="11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5.8396747967479676</c:v>
                </c:pt>
                <c:pt idx="23">
                  <c:v>5.6793495934959353</c:v>
                </c:pt>
                <c:pt idx="24">
                  <c:v>5.5190243902439029</c:v>
                </c:pt>
                <c:pt idx="25">
                  <c:v>5.0380487804878049</c:v>
                </c:pt>
                <c:pt idx="26">
                  <c:v>5.0380487804878049</c:v>
                </c:pt>
                <c:pt idx="27">
                  <c:v>4.5570731707317069</c:v>
                </c:pt>
                <c:pt idx="28">
                  <c:v>4.0760975609756089</c:v>
                </c:pt>
                <c:pt idx="29">
                  <c:v>3.5951219512195114</c:v>
                </c:pt>
                <c:pt idx="30">
                  <c:v>3.1141463414634138</c:v>
                </c:pt>
                <c:pt idx="31">
                  <c:v>2.6331707317073163</c:v>
                </c:pt>
                <c:pt idx="32">
                  <c:v>2.6331707317073163</c:v>
                </c:pt>
                <c:pt idx="33">
                  <c:v>2.1521951219512188</c:v>
                </c:pt>
                <c:pt idx="34">
                  <c:v>1.6712195121951212</c:v>
                </c:pt>
                <c:pt idx="35">
                  <c:v>1.1902439024390237</c:v>
                </c:pt>
                <c:pt idx="36">
                  <c:v>0.70926829268292613</c:v>
                </c:pt>
                <c:pt idx="37">
                  <c:v>0.22829268292682853</c:v>
                </c:pt>
                <c:pt idx="38">
                  <c:v>5.7473170731707306</c:v>
                </c:pt>
                <c:pt idx="39">
                  <c:v>5.7473170731707306</c:v>
                </c:pt>
                <c:pt idx="40">
                  <c:v>5.2663414634146326</c:v>
                </c:pt>
                <c:pt idx="41">
                  <c:v>4.7853658536585346</c:v>
                </c:pt>
                <c:pt idx="42">
                  <c:v>4.3043902439024366</c:v>
                </c:pt>
                <c:pt idx="43">
                  <c:v>4.3043902439024366</c:v>
                </c:pt>
                <c:pt idx="44">
                  <c:v>3.8234146341463391</c:v>
                </c:pt>
                <c:pt idx="45">
                  <c:v>3.3424390243902415</c:v>
                </c:pt>
                <c:pt idx="46">
                  <c:v>2.861463414634144</c:v>
                </c:pt>
                <c:pt idx="47">
                  <c:v>2.3804878048780465</c:v>
                </c:pt>
                <c:pt idx="48">
                  <c:v>1.8995121951219489</c:v>
                </c:pt>
                <c:pt idx="49">
                  <c:v>1.8995121951219489</c:v>
                </c:pt>
                <c:pt idx="50">
                  <c:v>1.4185365853658514</c:v>
                </c:pt>
                <c:pt idx="51">
                  <c:v>0.93756097560975382</c:v>
                </c:pt>
                <c:pt idx="52">
                  <c:v>0.45658536585365622</c:v>
                </c:pt>
                <c:pt idx="53">
                  <c:v>5.9756097560975583</c:v>
                </c:pt>
                <c:pt idx="54">
                  <c:v>5.4946341463414603</c:v>
                </c:pt>
                <c:pt idx="55">
                  <c:v>5.0136585365853623</c:v>
                </c:pt>
                <c:pt idx="56">
                  <c:v>5.0136585365853623</c:v>
                </c:pt>
                <c:pt idx="57">
                  <c:v>4.5326829268292643</c:v>
                </c:pt>
                <c:pt idx="58">
                  <c:v>4.0517073170731663</c:v>
                </c:pt>
                <c:pt idx="59">
                  <c:v>3.5707317073170688</c:v>
                </c:pt>
                <c:pt idx="60">
                  <c:v>3.5707317073170688</c:v>
                </c:pt>
                <c:pt idx="61">
                  <c:v>3.0897560975609712</c:v>
                </c:pt>
                <c:pt idx="62">
                  <c:v>2.6087804878048737</c:v>
                </c:pt>
                <c:pt idx="63">
                  <c:v>2.1278048780487762</c:v>
                </c:pt>
                <c:pt idx="64">
                  <c:v>1.6468292682926786</c:v>
                </c:pt>
                <c:pt idx="65">
                  <c:v>1.061463414634142</c:v>
                </c:pt>
                <c:pt idx="66">
                  <c:v>0.47609756097560529</c:v>
                </c:pt>
                <c:pt idx="67">
                  <c:v>0.47609756097560529</c:v>
                </c:pt>
                <c:pt idx="68">
                  <c:v>5.8907317073170686</c:v>
                </c:pt>
                <c:pt idx="69">
                  <c:v>5.3053658536585324</c:v>
                </c:pt>
                <c:pt idx="70">
                  <c:v>4.7199999999999953</c:v>
                </c:pt>
                <c:pt idx="71">
                  <c:v>4.7199999999999953</c:v>
                </c:pt>
                <c:pt idx="72">
                  <c:v>4.4273170731707268</c:v>
                </c:pt>
                <c:pt idx="73">
                  <c:v>4.4273170731707268</c:v>
                </c:pt>
                <c:pt idx="74">
                  <c:v>4.4273170731707268</c:v>
                </c:pt>
                <c:pt idx="75">
                  <c:v>4.4273170731707268</c:v>
                </c:pt>
                <c:pt idx="76">
                  <c:v>4.4273170731707268</c:v>
                </c:pt>
                <c:pt idx="77">
                  <c:v>4.4273170731707268</c:v>
                </c:pt>
                <c:pt idx="78">
                  <c:v>4.4273170731707268</c:v>
                </c:pt>
                <c:pt idx="79">
                  <c:v>4.4273170731707268</c:v>
                </c:pt>
                <c:pt idx="80">
                  <c:v>4.4273170731707268</c:v>
                </c:pt>
                <c:pt idx="81">
                  <c:v>4.4273170731707268</c:v>
                </c:pt>
                <c:pt idx="82">
                  <c:v>4.4273170731707268</c:v>
                </c:pt>
                <c:pt idx="83">
                  <c:v>4.4273170731707268</c:v>
                </c:pt>
                <c:pt idx="84">
                  <c:v>4.4273170731707268</c:v>
                </c:pt>
                <c:pt idx="85">
                  <c:v>4.4273170731707268</c:v>
                </c:pt>
                <c:pt idx="86">
                  <c:v>4.4273170731707268</c:v>
                </c:pt>
                <c:pt idx="87">
                  <c:v>4.4273170731707268</c:v>
                </c:pt>
                <c:pt idx="88">
                  <c:v>4.4273170731707268</c:v>
                </c:pt>
                <c:pt idx="89">
                  <c:v>4.4273170731707268</c:v>
                </c:pt>
                <c:pt idx="90">
                  <c:v>4.4273170731707268</c:v>
                </c:pt>
                <c:pt idx="91">
                  <c:v>4.4273170731707268</c:v>
                </c:pt>
                <c:pt idx="92">
                  <c:v>4.4273170731707268</c:v>
                </c:pt>
                <c:pt idx="93">
                  <c:v>4.4273170731707268</c:v>
                </c:pt>
                <c:pt idx="94">
                  <c:v>4.4273170731707268</c:v>
                </c:pt>
                <c:pt idx="95">
                  <c:v>4.4273170731707268</c:v>
                </c:pt>
                <c:pt idx="96">
                  <c:v>4.4273170731707268</c:v>
                </c:pt>
                <c:pt idx="97">
                  <c:v>4.4273170731707268</c:v>
                </c:pt>
                <c:pt idx="98">
                  <c:v>4.4273170731707268</c:v>
                </c:pt>
                <c:pt idx="99">
                  <c:v>4.4273170731707268</c:v>
                </c:pt>
                <c:pt idx="100">
                  <c:v>4.4273170731707268</c:v>
                </c:pt>
                <c:pt idx="101">
                  <c:v>4.4273170731707268</c:v>
                </c:pt>
                <c:pt idx="102">
                  <c:v>4.4273170731707268</c:v>
                </c:pt>
                <c:pt idx="103">
                  <c:v>4.4273170731707268</c:v>
                </c:pt>
                <c:pt idx="104">
                  <c:v>4.4273170731707268</c:v>
                </c:pt>
                <c:pt idx="105">
                  <c:v>4.4273170731707268</c:v>
                </c:pt>
                <c:pt idx="106">
                  <c:v>4.4273170731707268</c:v>
                </c:pt>
                <c:pt idx="107">
                  <c:v>4.4273170731707268</c:v>
                </c:pt>
                <c:pt idx="108">
                  <c:v>4.4273170731707268</c:v>
                </c:pt>
                <c:pt idx="109">
                  <c:v>4.4273170731707268</c:v>
                </c:pt>
              </c:numCache>
            </c:numRef>
          </c:yVal>
          <c:smooth val="0"/>
          <c:extLst>
            <c:ext xmlns:c16="http://schemas.microsoft.com/office/drawing/2014/chart" uri="{C3380CC4-5D6E-409C-BE32-E72D297353CC}">
              <c16:uniqueId val="{00000000-BF51-4573-B47C-8C36B559CF75}"/>
            </c:ext>
          </c:extLst>
        </c:ser>
        <c:ser>
          <c:idx val="1"/>
          <c:order val="1"/>
          <c:tx>
            <c:strRef>
              <c:f>'08-07-25-Scen7-GennyFail'!$AY$1</c:f>
              <c:strCache>
                <c:ptCount val="1"/>
                <c:pt idx="0">
                  <c:v>D60 in Camp (excl Borehole)</c:v>
                </c:pt>
              </c:strCache>
            </c:strRef>
          </c:tx>
          <c:spPr>
            <a:ln w="19050" cap="rnd">
              <a:solidFill>
                <a:schemeClr val="tx2">
                  <a:lumMod val="50000"/>
                  <a:lumOff val="50000"/>
                </a:schemeClr>
              </a:solidFill>
              <a:round/>
            </a:ln>
            <a:effectLst/>
          </c:spPr>
          <c:marker>
            <c:symbol val="none"/>
          </c:marker>
          <c:xVal>
            <c:numRef>
              <c:f>'08-07-25-Scen7-GennyFail'!$A$3:$A$112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'08-07-25-Scen7-GennyFail'!$AY$3:$AY$112</c:f>
              <c:numCache>
                <c:formatCode>0</c:formatCode>
                <c:ptCount val="110"/>
                <c:pt idx="0">
                  <c:v>4</c:v>
                </c:pt>
                <c:pt idx="1">
                  <c:v>4</c:v>
                </c:pt>
                <c:pt idx="2">
                  <c:v>4</c:v>
                </c:pt>
                <c:pt idx="3">
                  <c:v>4</c:v>
                </c:pt>
                <c:pt idx="4">
                  <c:v>4</c:v>
                </c:pt>
                <c:pt idx="5">
                  <c:v>4</c:v>
                </c:pt>
                <c:pt idx="6">
                  <c:v>4</c:v>
                </c:pt>
                <c:pt idx="7">
                  <c:v>4</c:v>
                </c:pt>
                <c:pt idx="8">
                  <c:v>4</c:v>
                </c:pt>
                <c:pt idx="9">
                  <c:v>4</c:v>
                </c:pt>
                <c:pt idx="10">
                  <c:v>4</c:v>
                </c:pt>
                <c:pt idx="11">
                  <c:v>4</c:v>
                </c:pt>
                <c:pt idx="12">
                  <c:v>4</c:v>
                </c:pt>
                <c:pt idx="13">
                  <c:v>4</c:v>
                </c:pt>
                <c:pt idx="14">
                  <c:v>4</c:v>
                </c:pt>
                <c:pt idx="15">
                  <c:v>4</c:v>
                </c:pt>
                <c:pt idx="16">
                  <c:v>4</c:v>
                </c:pt>
                <c:pt idx="17">
                  <c:v>4</c:v>
                </c:pt>
                <c:pt idx="18">
                  <c:v>4</c:v>
                </c:pt>
                <c:pt idx="19">
                  <c:v>4</c:v>
                </c:pt>
                <c:pt idx="20">
                  <c:v>4</c:v>
                </c:pt>
                <c:pt idx="21">
                  <c:v>4</c:v>
                </c:pt>
                <c:pt idx="22">
                  <c:v>4</c:v>
                </c:pt>
                <c:pt idx="23">
                  <c:v>3.36598575811509</c:v>
                </c:pt>
                <c:pt idx="24">
                  <c:v>2.7308059103965605</c:v>
                </c:pt>
                <c:pt idx="25">
                  <c:v>0.88063953537515527</c:v>
                </c:pt>
                <c:pt idx="26">
                  <c:v>0.88063953537515527</c:v>
                </c:pt>
                <c:pt idx="27">
                  <c:v>5.1057042289417556</c:v>
                </c:pt>
                <c:pt idx="28">
                  <c:v>3.3975070835227861</c:v>
                </c:pt>
                <c:pt idx="29">
                  <c:v>1.7490422094902911</c:v>
                </c:pt>
                <c:pt idx="30">
                  <c:v>0.15444990529254099</c:v>
                </c:pt>
                <c:pt idx="31">
                  <c:v>4.6087701379776735</c:v>
                </c:pt>
                <c:pt idx="32">
                  <c:v>4.6087701379776735</c:v>
                </c:pt>
                <c:pt idx="33">
                  <c:v>3.1077602736037715</c:v>
                </c:pt>
                <c:pt idx="34">
                  <c:v>1.6477577042985594</c:v>
                </c:pt>
                <c:pt idx="35">
                  <c:v>0.22557455265660664</c:v>
                </c:pt>
                <c:pt idx="36">
                  <c:v>4.8384157477139773</c:v>
                </c:pt>
                <c:pt idx="37">
                  <c:v>3.4838144284861059</c:v>
                </c:pt>
                <c:pt idx="38">
                  <c:v>2.1595803957419584</c:v>
                </c:pt>
                <c:pt idx="39">
                  <c:v>2.1595803957419584</c:v>
                </c:pt>
                <c:pt idx="40">
                  <c:v>0.86375852829310418</c:v>
                </c:pt>
                <c:pt idx="41">
                  <c:v>5.5945949060555655</c:v>
                </c:pt>
                <c:pt idx="42">
                  <c:v>4.3505089629003848</c:v>
                </c:pt>
                <c:pt idx="43">
                  <c:v>4.3505089629003777</c:v>
                </c:pt>
                <c:pt idx="44">
                  <c:v>3.1300704072279864</c:v>
                </c:pt>
                <c:pt idx="45">
                  <c:v>1.9319799489917386</c:v>
                </c:pt>
                <c:pt idx="46">
                  <c:v>0.75505309288308453</c:v>
                </c:pt>
                <c:pt idx="47">
                  <c:v>5.5982064217532717</c:v>
                </c:pt>
                <c:pt idx="48">
                  <c:v>4.4604459179876521</c:v>
                </c:pt>
                <c:pt idx="49">
                  <c:v>4.460445917987645</c:v>
                </c:pt>
                <c:pt idx="50">
                  <c:v>3.3408569645377391</c:v>
                </c:pt>
                <c:pt idx="51">
                  <c:v>2.238595739464337</c:v>
                </c:pt>
                <c:pt idx="52">
                  <c:v>1.1528817737314938</c:v>
                </c:pt>
                <c:pt idx="53">
                  <c:v>8.2991485649834829E-2</c:v>
                </c:pt>
                <c:pt idx="54">
                  <c:v>5.0282525397443791</c:v>
                </c:pt>
                <c:pt idx="55">
                  <c:v>3.9880389050922602</c:v>
                </c:pt>
                <c:pt idx="56">
                  <c:v>3.9880389050922602</c:v>
                </c:pt>
                <c:pt idx="57">
                  <c:v>2.9617665099596238</c:v>
                </c:pt>
                <c:pt idx="58">
                  <c:v>1.9488894070833638</c:v>
                </c:pt>
                <c:pt idx="59">
                  <c:v>0.94889637811471061</c:v>
                </c:pt>
                <c:pt idx="60">
                  <c:v>0.94889637811471061</c:v>
                </c:pt>
                <c:pt idx="61">
                  <c:v>5.9613079172753984</c:v>
                </c:pt>
                <c:pt idx="62">
                  <c:v>4.9856735437149027</c:v>
                </c:pt>
                <c:pt idx="63">
                  <c:v>4.0215693998212529</c:v>
                </c:pt>
                <c:pt idx="64">
                  <c:v>3.0685960991568138</c:v>
                </c:pt>
                <c:pt idx="65">
                  <c:v>13.832794795332163</c:v>
                </c:pt>
                <c:pt idx="66">
                  <c:v>22.296873773896685</c:v>
                </c:pt>
                <c:pt idx="67">
                  <c:v>22.296873773896689</c:v>
                </c:pt>
                <c:pt idx="68">
                  <c:v>28.880225942274066</c:v>
                </c:pt>
                <c:pt idx="69">
                  <c:v>34.461108311756732</c:v>
                </c:pt>
                <c:pt idx="70">
                  <c:v>39.392960146104933</c:v>
                </c:pt>
                <c:pt idx="71">
                  <c:v>39.392960146104933</c:v>
                </c:pt>
                <c:pt idx="72">
                  <c:v>41.676605068484115</c:v>
                </c:pt>
                <c:pt idx="73">
                  <c:v>41.676605068484115</c:v>
                </c:pt>
                <c:pt idx="74">
                  <c:v>41.676605068484115</c:v>
                </c:pt>
                <c:pt idx="75">
                  <c:v>41.676605068484115</c:v>
                </c:pt>
                <c:pt idx="76">
                  <c:v>41.676605068484115</c:v>
                </c:pt>
                <c:pt idx="77">
                  <c:v>41.676605068484115</c:v>
                </c:pt>
                <c:pt idx="78">
                  <c:v>41.676605068484115</c:v>
                </c:pt>
                <c:pt idx="79">
                  <c:v>41.676605068484115</c:v>
                </c:pt>
                <c:pt idx="80">
                  <c:v>41.676605068484115</c:v>
                </c:pt>
                <c:pt idx="81">
                  <c:v>41.676605068484115</c:v>
                </c:pt>
                <c:pt idx="82">
                  <c:v>41.676605068484115</c:v>
                </c:pt>
                <c:pt idx="83">
                  <c:v>41.676605068484115</c:v>
                </c:pt>
                <c:pt idx="84">
                  <c:v>41.676605068484115</c:v>
                </c:pt>
                <c:pt idx="85">
                  <c:v>41.676605068484115</c:v>
                </c:pt>
                <c:pt idx="86">
                  <c:v>41.676605068484115</c:v>
                </c:pt>
                <c:pt idx="87">
                  <c:v>41.676605068484115</c:v>
                </c:pt>
                <c:pt idx="88">
                  <c:v>41.676605068484115</c:v>
                </c:pt>
                <c:pt idx="89">
                  <c:v>41.676605068484115</c:v>
                </c:pt>
                <c:pt idx="90">
                  <c:v>41.676605068484115</c:v>
                </c:pt>
                <c:pt idx="91">
                  <c:v>41.676605068484115</c:v>
                </c:pt>
                <c:pt idx="92">
                  <c:v>41.676605068484115</c:v>
                </c:pt>
                <c:pt idx="93">
                  <c:v>41.676605068484115</c:v>
                </c:pt>
                <c:pt idx="94">
                  <c:v>41.676605068484115</c:v>
                </c:pt>
                <c:pt idx="95">
                  <c:v>41.676605068484115</c:v>
                </c:pt>
                <c:pt idx="96">
                  <c:v>41.676605068484115</c:v>
                </c:pt>
                <c:pt idx="97">
                  <c:v>41.676605068484115</c:v>
                </c:pt>
                <c:pt idx="98">
                  <c:v>41.676605068484115</c:v>
                </c:pt>
                <c:pt idx="99">
                  <c:v>41.676605068484115</c:v>
                </c:pt>
                <c:pt idx="100">
                  <c:v>41.676605068484115</c:v>
                </c:pt>
                <c:pt idx="101">
                  <c:v>41.676605068484115</c:v>
                </c:pt>
                <c:pt idx="102">
                  <c:v>41.676605068484115</c:v>
                </c:pt>
                <c:pt idx="103">
                  <c:v>41.676605068484115</c:v>
                </c:pt>
                <c:pt idx="104">
                  <c:v>41.676605068484115</c:v>
                </c:pt>
                <c:pt idx="105">
                  <c:v>41.676605068484115</c:v>
                </c:pt>
                <c:pt idx="106">
                  <c:v>41.676605068484115</c:v>
                </c:pt>
                <c:pt idx="107">
                  <c:v>41.676605068484115</c:v>
                </c:pt>
                <c:pt idx="108">
                  <c:v>41.676605068484115</c:v>
                </c:pt>
                <c:pt idx="109">
                  <c:v>41.676605068484115</c:v>
                </c:pt>
              </c:numCache>
            </c:numRef>
          </c:yVal>
          <c:smooth val="0"/>
          <c:extLst>
            <c:ext xmlns:c16="http://schemas.microsoft.com/office/drawing/2014/chart" uri="{C3380CC4-5D6E-409C-BE32-E72D297353CC}">
              <c16:uniqueId val="{00000001-BF51-4573-B47C-8C36B559CF75}"/>
            </c:ext>
          </c:extLst>
        </c:ser>
        <c:dLbls>
          <c:showLegendKey val="0"/>
          <c:showVal val="0"/>
          <c:showCatName val="0"/>
          <c:showSerName val="0"/>
          <c:showPercent val="0"/>
          <c:showBubbleSize val="0"/>
        </c:dLbls>
        <c:axId val="980558687"/>
        <c:axId val="980561087"/>
      </c:scatterChart>
      <c:scatterChart>
        <c:scatterStyle val="lineMarker"/>
        <c:varyColors val="0"/>
        <c:ser>
          <c:idx val="2"/>
          <c:order val="2"/>
          <c:tx>
            <c:strRef>
              <c:f>'08-07-25-Scen7-GennyFail'!$AZ$1</c:f>
              <c:strCache>
                <c:ptCount val="1"/>
                <c:pt idx="0">
                  <c:v>Filled Core Boxes in Camp</c:v>
                </c:pt>
              </c:strCache>
            </c:strRef>
          </c:tx>
          <c:spPr>
            <a:ln w="19050" cap="rnd">
              <a:solidFill>
                <a:srgbClr val="00B050"/>
              </a:solidFill>
              <a:round/>
            </a:ln>
            <a:effectLst/>
          </c:spPr>
          <c:marker>
            <c:symbol val="none"/>
          </c:marker>
          <c:xVal>
            <c:numRef>
              <c:f>'08-07-25-Scen7-GennyFail'!$A$3:$A$112</c:f>
              <c:numCache>
                <c:formatCode>dd/mm</c:formatCode>
                <c:ptCount val="110"/>
                <c:pt idx="0">
                  <c:v>45973</c:v>
                </c:pt>
                <c:pt idx="1">
                  <c:v>45974</c:v>
                </c:pt>
                <c:pt idx="2">
                  <c:v>45975</c:v>
                </c:pt>
                <c:pt idx="3">
                  <c:v>45976</c:v>
                </c:pt>
                <c:pt idx="4">
                  <c:v>45977</c:v>
                </c:pt>
                <c:pt idx="5">
                  <c:v>45978</c:v>
                </c:pt>
                <c:pt idx="6">
                  <c:v>45979</c:v>
                </c:pt>
                <c:pt idx="7">
                  <c:v>45980</c:v>
                </c:pt>
                <c:pt idx="8">
                  <c:v>45981</c:v>
                </c:pt>
                <c:pt idx="9">
                  <c:v>45982</c:v>
                </c:pt>
                <c:pt idx="10">
                  <c:v>45983</c:v>
                </c:pt>
                <c:pt idx="11">
                  <c:v>45984</c:v>
                </c:pt>
                <c:pt idx="12">
                  <c:v>45985</c:v>
                </c:pt>
                <c:pt idx="13">
                  <c:v>45986</c:v>
                </c:pt>
                <c:pt idx="14">
                  <c:v>45987</c:v>
                </c:pt>
                <c:pt idx="15">
                  <c:v>45988</c:v>
                </c:pt>
                <c:pt idx="16">
                  <c:v>45989</c:v>
                </c:pt>
                <c:pt idx="17">
                  <c:v>45990</c:v>
                </c:pt>
                <c:pt idx="18">
                  <c:v>45991</c:v>
                </c:pt>
                <c:pt idx="19">
                  <c:v>45992</c:v>
                </c:pt>
                <c:pt idx="20">
                  <c:v>45993</c:v>
                </c:pt>
                <c:pt idx="21">
                  <c:v>45994</c:v>
                </c:pt>
                <c:pt idx="22">
                  <c:v>45995</c:v>
                </c:pt>
                <c:pt idx="23">
                  <c:v>45996</c:v>
                </c:pt>
                <c:pt idx="24">
                  <c:v>45997</c:v>
                </c:pt>
                <c:pt idx="25">
                  <c:v>45998</c:v>
                </c:pt>
                <c:pt idx="26">
                  <c:v>45999</c:v>
                </c:pt>
                <c:pt idx="27">
                  <c:v>46000</c:v>
                </c:pt>
                <c:pt idx="28">
                  <c:v>46001</c:v>
                </c:pt>
                <c:pt idx="29">
                  <c:v>46002</c:v>
                </c:pt>
                <c:pt idx="30">
                  <c:v>46003</c:v>
                </c:pt>
                <c:pt idx="31">
                  <c:v>46004</c:v>
                </c:pt>
                <c:pt idx="32">
                  <c:v>46005</c:v>
                </c:pt>
                <c:pt idx="33">
                  <c:v>46006</c:v>
                </c:pt>
                <c:pt idx="34">
                  <c:v>46007</c:v>
                </c:pt>
                <c:pt idx="35">
                  <c:v>46008</c:v>
                </c:pt>
                <c:pt idx="36">
                  <c:v>46009</c:v>
                </c:pt>
                <c:pt idx="37">
                  <c:v>46010</c:v>
                </c:pt>
                <c:pt idx="38">
                  <c:v>46011</c:v>
                </c:pt>
                <c:pt idx="39">
                  <c:v>46012</c:v>
                </c:pt>
                <c:pt idx="40">
                  <c:v>46013</c:v>
                </c:pt>
                <c:pt idx="41">
                  <c:v>46014</c:v>
                </c:pt>
                <c:pt idx="42">
                  <c:v>46015</c:v>
                </c:pt>
                <c:pt idx="43">
                  <c:v>46016</c:v>
                </c:pt>
                <c:pt idx="44">
                  <c:v>46017</c:v>
                </c:pt>
                <c:pt idx="45">
                  <c:v>46018</c:v>
                </c:pt>
                <c:pt idx="46">
                  <c:v>46019</c:v>
                </c:pt>
                <c:pt idx="47">
                  <c:v>46020</c:v>
                </c:pt>
                <c:pt idx="48">
                  <c:v>46021</c:v>
                </c:pt>
                <c:pt idx="49">
                  <c:v>46022</c:v>
                </c:pt>
                <c:pt idx="50">
                  <c:v>46023</c:v>
                </c:pt>
                <c:pt idx="51">
                  <c:v>46024</c:v>
                </c:pt>
                <c:pt idx="52">
                  <c:v>46025</c:v>
                </c:pt>
                <c:pt idx="53">
                  <c:v>46026</c:v>
                </c:pt>
                <c:pt idx="54">
                  <c:v>46027</c:v>
                </c:pt>
                <c:pt idx="55">
                  <c:v>46028</c:v>
                </c:pt>
                <c:pt idx="56">
                  <c:v>46029</c:v>
                </c:pt>
                <c:pt idx="57">
                  <c:v>46030</c:v>
                </c:pt>
                <c:pt idx="58">
                  <c:v>46031</c:v>
                </c:pt>
                <c:pt idx="59">
                  <c:v>46032</c:v>
                </c:pt>
                <c:pt idx="60">
                  <c:v>46033</c:v>
                </c:pt>
                <c:pt idx="61">
                  <c:v>46034</c:v>
                </c:pt>
                <c:pt idx="62">
                  <c:v>46035</c:v>
                </c:pt>
                <c:pt idx="63">
                  <c:v>46036</c:v>
                </c:pt>
                <c:pt idx="64">
                  <c:v>46037</c:v>
                </c:pt>
                <c:pt idx="65">
                  <c:v>46038</c:v>
                </c:pt>
                <c:pt idx="66">
                  <c:v>46039</c:v>
                </c:pt>
                <c:pt idx="67">
                  <c:v>46040</c:v>
                </c:pt>
                <c:pt idx="68">
                  <c:v>46041</c:v>
                </c:pt>
                <c:pt idx="69">
                  <c:v>46042</c:v>
                </c:pt>
                <c:pt idx="70">
                  <c:v>46043</c:v>
                </c:pt>
                <c:pt idx="71">
                  <c:v>46044</c:v>
                </c:pt>
                <c:pt idx="72">
                  <c:v>46045</c:v>
                </c:pt>
                <c:pt idx="73">
                  <c:v>46046</c:v>
                </c:pt>
                <c:pt idx="74">
                  <c:v>46047</c:v>
                </c:pt>
                <c:pt idx="75">
                  <c:v>46048</c:v>
                </c:pt>
                <c:pt idx="76">
                  <c:v>46049</c:v>
                </c:pt>
                <c:pt idx="77">
                  <c:v>46050</c:v>
                </c:pt>
                <c:pt idx="78">
                  <c:v>46051</c:v>
                </c:pt>
                <c:pt idx="79">
                  <c:v>46052</c:v>
                </c:pt>
                <c:pt idx="80">
                  <c:v>46053</c:v>
                </c:pt>
                <c:pt idx="81">
                  <c:v>46054</c:v>
                </c:pt>
                <c:pt idx="82">
                  <c:v>46055</c:v>
                </c:pt>
                <c:pt idx="83">
                  <c:v>46056</c:v>
                </c:pt>
                <c:pt idx="84">
                  <c:v>46057</c:v>
                </c:pt>
                <c:pt idx="85">
                  <c:v>46058</c:v>
                </c:pt>
                <c:pt idx="86">
                  <c:v>46059</c:v>
                </c:pt>
                <c:pt idx="87">
                  <c:v>46060</c:v>
                </c:pt>
                <c:pt idx="88">
                  <c:v>46061</c:v>
                </c:pt>
                <c:pt idx="89">
                  <c:v>46062</c:v>
                </c:pt>
                <c:pt idx="90">
                  <c:v>46063</c:v>
                </c:pt>
                <c:pt idx="91">
                  <c:v>46064</c:v>
                </c:pt>
                <c:pt idx="92">
                  <c:v>46065</c:v>
                </c:pt>
                <c:pt idx="93">
                  <c:v>46066</c:v>
                </c:pt>
                <c:pt idx="94">
                  <c:v>46067</c:v>
                </c:pt>
                <c:pt idx="95">
                  <c:v>46068</c:v>
                </c:pt>
                <c:pt idx="96">
                  <c:v>46069</c:v>
                </c:pt>
                <c:pt idx="97">
                  <c:v>46070</c:v>
                </c:pt>
                <c:pt idx="98">
                  <c:v>46071</c:v>
                </c:pt>
                <c:pt idx="99">
                  <c:v>46072</c:v>
                </c:pt>
                <c:pt idx="100">
                  <c:v>46073</c:v>
                </c:pt>
                <c:pt idx="101">
                  <c:v>46074</c:v>
                </c:pt>
                <c:pt idx="102">
                  <c:v>46075</c:v>
                </c:pt>
                <c:pt idx="103">
                  <c:v>46076</c:v>
                </c:pt>
                <c:pt idx="104">
                  <c:v>46077</c:v>
                </c:pt>
                <c:pt idx="105">
                  <c:v>46078</c:v>
                </c:pt>
                <c:pt idx="106">
                  <c:v>46079</c:v>
                </c:pt>
                <c:pt idx="107">
                  <c:v>46080</c:v>
                </c:pt>
                <c:pt idx="108">
                  <c:v>46081</c:v>
                </c:pt>
                <c:pt idx="109">
                  <c:v>46082</c:v>
                </c:pt>
              </c:numCache>
            </c:numRef>
          </c:xVal>
          <c:yVal>
            <c:numRef>
              <c:f>'08-07-25-Scen7-GennyFail'!$AZ$3:$AZ$112</c:f>
              <c:numCache>
                <c:formatCode>0</c:formatCode>
                <c:ptCount val="11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1.6388869864316742</c:v>
                </c:pt>
                <c:pt idx="23">
                  <c:v>3.251702271378941</c:v>
                </c:pt>
                <c:pt idx="24">
                  <c:v>4.8396518906752659</c:v>
                </c:pt>
                <c:pt idx="25">
                  <c:v>9.4650678282287775</c:v>
                </c:pt>
                <c:pt idx="26">
                  <c:v>9.4650678282287775</c:v>
                </c:pt>
                <c:pt idx="27">
                  <c:v>13.902406094312278</c:v>
                </c:pt>
                <c:pt idx="28">
                  <c:v>18.172898957859701</c:v>
                </c:pt>
                <c:pt idx="29">
                  <c:v>22.294061142940937</c:v>
                </c:pt>
                <c:pt idx="30">
                  <c:v>6.2805419034353172</c:v>
                </c:pt>
                <c:pt idx="31">
                  <c:v>10.144741321722481</c:v>
                </c:pt>
                <c:pt idx="32">
                  <c:v>10.144741321722481</c:v>
                </c:pt>
                <c:pt idx="33">
                  <c:v>13.897265982657238</c:v>
                </c:pt>
                <c:pt idx="34">
                  <c:v>17.547272405920268</c:v>
                </c:pt>
                <c:pt idx="35">
                  <c:v>21.102730285025153</c:v>
                </c:pt>
                <c:pt idx="36">
                  <c:v>4.5706272973817192</c:v>
                </c:pt>
                <c:pt idx="37">
                  <c:v>7.957130595451396</c:v>
                </c:pt>
                <c:pt idx="38">
                  <c:v>11.26771567731177</c:v>
                </c:pt>
                <c:pt idx="39">
                  <c:v>11.26771567731177</c:v>
                </c:pt>
                <c:pt idx="40">
                  <c:v>14.507270345933904</c:v>
                </c:pt>
                <c:pt idx="41">
                  <c:v>17.680179401527759</c:v>
                </c:pt>
                <c:pt idx="42">
                  <c:v>20.790394259415706</c:v>
                </c:pt>
                <c:pt idx="43">
                  <c:v>0.79039425941572716</c:v>
                </c:pt>
                <c:pt idx="44">
                  <c:v>3.8414906485967037</c:v>
                </c:pt>
                <c:pt idx="45">
                  <c:v>6.8367167941873248</c:v>
                </c:pt>
                <c:pt idx="46">
                  <c:v>9.7790339344589512</c:v>
                </c:pt>
                <c:pt idx="47">
                  <c:v>12.671150612283483</c:v>
                </c:pt>
                <c:pt idx="48">
                  <c:v>15.515551871697539</c:v>
                </c:pt>
                <c:pt idx="49">
                  <c:v>15.515551871697554</c:v>
                </c:pt>
                <c:pt idx="50">
                  <c:v>18.314524255322326</c:v>
                </c:pt>
                <c:pt idx="51">
                  <c:v>21.070177318005832</c:v>
                </c:pt>
                <c:pt idx="52">
                  <c:v>3.7844622323379298</c:v>
                </c:pt>
                <c:pt idx="53">
                  <c:v>6.4591879525420808</c:v>
                </c:pt>
                <c:pt idx="54">
                  <c:v>9.09603531730572</c:v>
                </c:pt>
                <c:pt idx="55">
                  <c:v>11.69656940393601</c:v>
                </c:pt>
                <c:pt idx="56">
                  <c:v>11.69656940393601</c:v>
                </c:pt>
                <c:pt idx="57">
                  <c:v>14.262250391767608</c:v>
                </c:pt>
                <c:pt idx="58">
                  <c:v>16.794443148958251</c:v>
                </c:pt>
                <c:pt idx="59">
                  <c:v>19.294425721379881</c:v>
                </c:pt>
                <c:pt idx="60">
                  <c:v>19.294425721379881</c:v>
                </c:pt>
                <c:pt idx="61">
                  <c:v>21.763396873478158</c:v>
                </c:pt>
                <c:pt idx="62">
                  <c:v>4.2024828073794112</c:v>
                </c:pt>
                <c:pt idx="63">
                  <c:v>6.6127431671135355</c:v>
                </c:pt>
                <c:pt idx="64">
                  <c:v>8.9951764187746335</c:v>
                </c:pt>
                <c:pt idx="65">
                  <c:v>8.9951764187746335</c:v>
                </c:pt>
                <c:pt idx="66">
                  <c:v>8.9951764187746335</c:v>
                </c:pt>
                <c:pt idx="67">
                  <c:v>8.9951764187746335</c:v>
                </c:pt>
                <c:pt idx="68">
                  <c:v>8.9951764187746335</c:v>
                </c:pt>
                <c:pt idx="69">
                  <c:v>8.9951764187746335</c:v>
                </c:pt>
                <c:pt idx="70">
                  <c:v>8.9951764187746335</c:v>
                </c:pt>
                <c:pt idx="71">
                  <c:v>8.9951764187746335</c:v>
                </c:pt>
                <c:pt idx="72">
                  <c:v>8.9951764187746335</c:v>
                </c:pt>
                <c:pt idx="73">
                  <c:v>8.9951764187746335</c:v>
                </c:pt>
                <c:pt idx="74">
                  <c:v>8.9951764187746335</c:v>
                </c:pt>
                <c:pt idx="75">
                  <c:v>8.9951764187746335</c:v>
                </c:pt>
                <c:pt idx="76">
                  <c:v>8.9951764187746335</c:v>
                </c:pt>
                <c:pt idx="77">
                  <c:v>8.9951764187746335</c:v>
                </c:pt>
                <c:pt idx="78">
                  <c:v>8.9951764187746335</c:v>
                </c:pt>
                <c:pt idx="79">
                  <c:v>8.9951764187746335</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numCache>
            </c:numRef>
          </c:yVal>
          <c:smooth val="0"/>
          <c:extLst>
            <c:ext xmlns:c16="http://schemas.microsoft.com/office/drawing/2014/chart" uri="{C3380CC4-5D6E-409C-BE32-E72D297353CC}">
              <c16:uniqueId val="{00000002-BF51-4573-B47C-8C36B559CF75}"/>
            </c:ext>
          </c:extLst>
        </c:ser>
        <c:dLbls>
          <c:showLegendKey val="0"/>
          <c:showVal val="0"/>
          <c:showCatName val="0"/>
          <c:showSerName val="0"/>
          <c:showPercent val="0"/>
          <c:showBubbleSize val="0"/>
        </c:dLbls>
        <c:axId val="1374332383"/>
        <c:axId val="1374338623"/>
      </c:scatterChart>
      <c:valAx>
        <c:axId val="980558687"/>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dd/mm" sourceLinked="1"/>
        <c:majorTickMark val="none"/>
        <c:minorTickMark val="none"/>
        <c:tickLblPos val="nextTo"/>
        <c:spPr>
          <a:noFill/>
          <a:ln w="9525" cap="flat" cmpd="sng" algn="ctr">
            <a:solidFill>
              <a:schemeClr val="tx1">
                <a:lumMod val="25000"/>
                <a:lumOff val="7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561087"/>
        <c:crosses val="autoZero"/>
        <c:crossBetween val="midCat"/>
        <c:majorUnit val="7"/>
        <c:minorUnit val="1"/>
      </c:valAx>
      <c:valAx>
        <c:axId val="9805610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Drums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0558687"/>
        <c:crosses val="autoZero"/>
        <c:crossBetween val="midCat"/>
      </c:valAx>
      <c:valAx>
        <c:axId val="1374338623"/>
        <c:scaling>
          <c:orientation val="minMax"/>
          <c:min val="0"/>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Core</a:t>
                </a:r>
                <a:r>
                  <a:rPr lang="en-GB" baseline="0"/>
                  <a:t> Boxes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332383"/>
        <c:crosses val="max"/>
        <c:crossBetween val="midCat"/>
      </c:valAx>
      <c:valAx>
        <c:axId val="1374332383"/>
        <c:scaling>
          <c:orientation val="minMax"/>
        </c:scaling>
        <c:delete val="1"/>
        <c:axPos val="b"/>
        <c:numFmt formatCode="dd/mm" sourceLinked="1"/>
        <c:majorTickMark val="out"/>
        <c:minorTickMark val="none"/>
        <c:tickLblPos val="nextTo"/>
        <c:crossAx val="13743386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39</xdr:col>
      <xdr:colOff>57150</xdr:colOff>
      <xdr:row>2</xdr:row>
      <xdr:rowOff>52386</xdr:rowOff>
    </xdr:from>
    <xdr:to>
      <xdr:col>56</xdr:col>
      <xdr:colOff>533400</xdr:colOff>
      <xdr:row>41</xdr:row>
      <xdr:rowOff>38099</xdr:rowOff>
    </xdr:to>
    <xdr:graphicFrame macro="">
      <xdr:nvGraphicFramePr>
        <xdr:cNvPr id="2" name="Chart 1">
          <a:extLst>
            <a:ext uri="{FF2B5EF4-FFF2-40B4-BE49-F238E27FC236}">
              <a16:creationId xmlns:a16="http://schemas.microsoft.com/office/drawing/2014/main" id="{B023D850-ABEE-48B2-A4F5-C47C2333BF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39</xdr:col>
      <xdr:colOff>57150</xdr:colOff>
      <xdr:row>2</xdr:row>
      <xdr:rowOff>52386</xdr:rowOff>
    </xdr:from>
    <xdr:to>
      <xdr:col>56</xdr:col>
      <xdr:colOff>552450</xdr:colOff>
      <xdr:row>41</xdr:row>
      <xdr:rowOff>38099</xdr:rowOff>
    </xdr:to>
    <xdr:graphicFrame macro="">
      <xdr:nvGraphicFramePr>
        <xdr:cNvPr id="2" name="Chart 1">
          <a:extLst>
            <a:ext uri="{FF2B5EF4-FFF2-40B4-BE49-F238E27FC236}">
              <a16:creationId xmlns:a16="http://schemas.microsoft.com/office/drawing/2014/main" id="{C1D7615C-8CB1-451B-8C7A-922E2E3866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52</xdr:col>
      <xdr:colOff>95250</xdr:colOff>
      <xdr:row>4</xdr:row>
      <xdr:rowOff>176212</xdr:rowOff>
    </xdr:from>
    <xdr:to>
      <xdr:col>70</xdr:col>
      <xdr:colOff>9525</xdr:colOff>
      <xdr:row>28</xdr:row>
      <xdr:rowOff>180976</xdr:rowOff>
    </xdr:to>
    <xdr:graphicFrame macro="">
      <xdr:nvGraphicFramePr>
        <xdr:cNvPr id="2" name="Chart 1">
          <a:extLst>
            <a:ext uri="{FF2B5EF4-FFF2-40B4-BE49-F238E27FC236}">
              <a16:creationId xmlns:a16="http://schemas.microsoft.com/office/drawing/2014/main" id="{ECDF7A19-ED16-4889-B8E8-A622C06B6B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52</xdr:col>
      <xdr:colOff>57150</xdr:colOff>
      <xdr:row>29</xdr:row>
      <xdr:rowOff>42861</xdr:rowOff>
    </xdr:from>
    <xdr:to>
      <xdr:col>70</xdr:col>
      <xdr:colOff>66675</xdr:colOff>
      <xdr:row>44</xdr:row>
      <xdr:rowOff>152400</xdr:rowOff>
    </xdr:to>
    <xdr:graphicFrame macro="">
      <xdr:nvGraphicFramePr>
        <xdr:cNvPr id="3" name="Chart 2">
          <a:extLst>
            <a:ext uri="{FF2B5EF4-FFF2-40B4-BE49-F238E27FC236}">
              <a16:creationId xmlns:a16="http://schemas.microsoft.com/office/drawing/2014/main" id="{BA9156EF-8B86-5838-6226-58AF3FBEB0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52</xdr:col>
      <xdr:colOff>95250</xdr:colOff>
      <xdr:row>4</xdr:row>
      <xdr:rowOff>176212</xdr:rowOff>
    </xdr:from>
    <xdr:to>
      <xdr:col>70</xdr:col>
      <xdr:colOff>9525</xdr:colOff>
      <xdr:row>28</xdr:row>
      <xdr:rowOff>180976</xdr:rowOff>
    </xdr:to>
    <xdr:graphicFrame macro="">
      <xdr:nvGraphicFramePr>
        <xdr:cNvPr id="2" name="Chart 1">
          <a:extLst>
            <a:ext uri="{FF2B5EF4-FFF2-40B4-BE49-F238E27FC236}">
              <a16:creationId xmlns:a16="http://schemas.microsoft.com/office/drawing/2014/main" id="{2202ECDD-F482-4FFE-8650-C68A2B1833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52</xdr:col>
      <xdr:colOff>57150</xdr:colOff>
      <xdr:row>29</xdr:row>
      <xdr:rowOff>42861</xdr:rowOff>
    </xdr:from>
    <xdr:to>
      <xdr:col>70</xdr:col>
      <xdr:colOff>66675</xdr:colOff>
      <xdr:row>44</xdr:row>
      <xdr:rowOff>152400</xdr:rowOff>
    </xdr:to>
    <xdr:graphicFrame macro="">
      <xdr:nvGraphicFramePr>
        <xdr:cNvPr id="3" name="Chart 2">
          <a:extLst>
            <a:ext uri="{FF2B5EF4-FFF2-40B4-BE49-F238E27FC236}">
              <a16:creationId xmlns:a16="http://schemas.microsoft.com/office/drawing/2014/main" id="{3FAC75C8-66E2-42A9-942C-CBAC37606C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52</xdr:col>
      <xdr:colOff>95250</xdr:colOff>
      <xdr:row>4</xdr:row>
      <xdr:rowOff>176212</xdr:rowOff>
    </xdr:from>
    <xdr:to>
      <xdr:col>70</xdr:col>
      <xdr:colOff>9525</xdr:colOff>
      <xdr:row>28</xdr:row>
      <xdr:rowOff>180976</xdr:rowOff>
    </xdr:to>
    <xdr:graphicFrame macro="">
      <xdr:nvGraphicFramePr>
        <xdr:cNvPr id="2" name="Chart 1">
          <a:extLst>
            <a:ext uri="{FF2B5EF4-FFF2-40B4-BE49-F238E27FC236}">
              <a16:creationId xmlns:a16="http://schemas.microsoft.com/office/drawing/2014/main" id="{721CD95D-492A-4D6C-88F9-88B4B1693A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52</xdr:col>
      <xdr:colOff>57150</xdr:colOff>
      <xdr:row>29</xdr:row>
      <xdr:rowOff>42861</xdr:rowOff>
    </xdr:from>
    <xdr:to>
      <xdr:col>70</xdr:col>
      <xdr:colOff>66675</xdr:colOff>
      <xdr:row>44</xdr:row>
      <xdr:rowOff>152400</xdr:rowOff>
    </xdr:to>
    <xdr:graphicFrame macro="">
      <xdr:nvGraphicFramePr>
        <xdr:cNvPr id="3" name="Chart 2">
          <a:extLst>
            <a:ext uri="{FF2B5EF4-FFF2-40B4-BE49-F238E27FC236}">
              <a16:creationId xmlns:a16="http://schemas.microsoft.com/office/drawing/2014/main" id="{231ABF39-BC67-4450-9CA0-514CE706BB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52</xdr:col>
      <xdr:colOff>95250</xdr:colOff>
      <xdr:row>4</xdr:row>
      <xdr:rowOff>176212</xdr:rowOff>
    </xdr:from>
    <xdr:to>
      <xdr:col>70</xdr:col>
      <xdr:colOff>9525</xdr:colOff>
      <xdr:row>28</xdr:row>
      <xdr:rowOff>180976</xdr:rowOff>
    </xdr:to>
    <xdr:graphicFrame macro="">
      <xdr:nvGraphicFramePr>
        <xdr:cNvPr id="2" name="Chart 1">
          <a:extLst>
            <a:ext uri="{FF2B5EF4-FFF2-40B4-BE49-F238E27FC236}">
              <a16:creationId xmlns:a16="http://schemas.microsoft.com/office/drawing/2014/main" id="{2674E784-C3A6-4412-974B-5C914EEBB6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52</xdr:col>
      <xdr:colOff>57150</xdr:colOff>
      <xdr:row>29</xdr:row>
      <xdr:rowOff>42861</xdr:rowOff>
    </xdr:from>
    <xdr:to>
      <xdr:col>70</xdr:col>
      <xdr:colOff>66675</xdr:colOff>
      <xdr:row>44</xdr:row>
      <xdr:rowOff>152400</xdr:rowOff>
    </xdr:to>
    <xdr:graphicFrame macro="">
      <xdr:nvGraphicFramePr>
        <xdr:cNvPr id="3" name="Chart 2">
          <a:extLst>
            <a:ext uri="{FF2B5EF4-FFF2-40B4-BE49-F238E27FC236}">
              <a16:creationId xmlns:a16="http://schemas.microsoft.com/office/drawing/2014/main" id="{6339A965-D12B-4348-8811-DC6CBAD6AE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52</xdr:col>
      <xdr:colOff>95250</xdr:colOff>
      <xdr:row>4</xdr:row>
      <xdr:rowOff>176212</xdr:rowOff>
    </xdr:from>
    <xdr:to>
      <xdr:col>70</xdr:col>
      <xdr:colOff>9525</xdr:colOff>
      <xdr:row>28</xdr:row>
      <xdr:rowOff>180976</xdr:rowOff>
    </xdr:to>
    <xdr:graphicFrame macro="">
      <xdr:nvGraphicFramePr>
        <xdr:cNvPr id="2" name="Chart 1">
          <a:extLst>
            <a:ext uri="{FF2B5EF4-FFF2-40B4-BE49-F238E27FC236}">
              <a16:creationId xmlns:a16="http://schemas.microsoft.com/office/drawing/2014/main" id="{1DB9C41D-9B4B-4600-8B7A-AA53ADD819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52</xdr:col>
      <xdr:colOff>57150</xdr:colOff>
      <xdr:row>29</xdr:row>
      <xdr:rowOff>42861</xdr:rowOff>
    </xdr:from>
    <xdr:to>
      <xdr:col>70</xdr:col>
      <xdr:colOff>66675</xdr:colOff>
      <xdr:row>44</xdr:row>
      <xdr:rowOff>152400</xdr:rowOff>
    </xdr:to>
    <xdr:graphicFrame macro="">
      <xdr:nvGraphicFramePr>
        <xdr:cNvPr id="3" name="Chart 2">
          <a:extLst>
            <a:ext uri="{FF2B5EF4-FFF2-40B4-BE49-F238E27FC236}">
              <a16:creationId xmlns:a16="http://schemas.microsoft.com/office/drawing/2014/main" id="{C0B94664-1BDF-4B0E-9800-79CD0FEB0D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15561</xdr:colOff>
      <xdr:row>15</xdr:row>
      <xdr:rowOff>19050</xdr:rowOff>
    </xdr:from>
    <xdr:to>
      <xdr:col>9</xdr:col>
      <xdr:colOff>466725</xdr:colOff>
      <xdr:row>22</xdr:row>
      <xdr:rowOff>0</xdr:rowOff>
    </xdr:to>
    <xdr:pic>
      <xdr:nvPicPr>
        <xdr:cNvPr id="2" name="Chart 1">
          <a:extLst>
            <a:ext uri="{FF2B5EF4-FFF2-40B4-BE49-F238E27FC236}">
              <a16:creationId xmlns:a16="http://schemas.microsoft.com/office/drawing/2014/main" id="{20FB8320-275B-5694-B7DE-83BD9958E0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92286" y="2876550"/>
          <a:ext cx="2889564" cy="167129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FEB93-0369-426B-9AE7-3DD0262C40C2}">
  <dimension ref="F3:F9"/>
  <sheetViews>
    <sheetView workbookViewId="0">
      <selection activeCell="F6" sqref="F6"/>
    </sheetView>
  </sheetViews>
  <sheetFormatPr defaultRowHeight="14.5" x14ac:dyDescent="0.35"/>
  <cols>
    <col min="6" max="6" width="229" bestFit="1" customWidth="1"/>
  </cols>
  <sheetData>
    <row r="3" spans="6:6" ht="47.5" x14ac:dyDescent="1.1000000000000001">
      <c r="F3" s="19" t="s">
        <v>76</v>
      </c>
    </row>
    <row r="4" spans="6:6" ht="47.5" x14ac:dyDescent="1.1000000000000001">
      <c r="F4" s="20" t="s">
        <v>83</v>
      </c>
    </row>
    <row r="5" spans="6:6" ht="47.5" x14ac:dyDescent="1.1000000000000001">
      <c r="F5" s="20" t="s">
        <v>172</v>
      </c>
    </row>
    <row r="6" spans="6:6" ht="47.5" x14ac:dyDescent="1.1000000000000001">
      <c r="F6" s="20"/>
    </row>
    <row r="7" spans="6:6" ht="47.5" x14ac:dyDescent="1.1000000000000001">
      <c r="F7" s="20"/>
    </row>
    <row r="8" spans="6:6" ht="47.5" x14ac:dyDescent="1.1000000000000001">
      <c r="F8" s="20"/>
    </row>
    <row r="9" spans="6:6" ht="47.5" x14ac:dyDescent="1.1000000000000001">
      <c r="F9"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7141E-FCD4-473C-8DC2-A2F7D0408F3F}">
  <dimension ref="A1:BK112"/>
  <sheetViews>
    <sheetView topLeftCell="A37" workbookViewId="0">
      <selection activeCell="AN2" sqref="AN2"/>
    </sheetView>
  </sheetViews>
  <sheetFormatPr defaultRowHeight="14.5" x14ac:dyDescent="0.35"/>
  <cols>
    <col min="1" max="1" width="9.453125" bestFit="1" customWidth="1"/>
    <col min="2" max="2" width="8.7265625" bestFit="1" customWidth="1"/>
    <col min="3" max="3" width="4.81640625" bestFit="1" customWidth="1"/>
    <col min="4" max="4" width="20" style="4" bestFit="1" customWidth="1"/>
    <col min="5" max="5" width="8.453125" style="4" bestFit="1" customWidth="1"/>
    <col min="6" max="6" width="7.54296875" style="4" bestFit="1" customWidth="1"/>
    <col min="7" max="7" width="12.453125" style="4" hidden="1" customWidth="1"/>
    <col min="8" max="8" width="9.1796875" style="4" hidden="1" customWidth="1"/>
    <col min="9" max="9" width="12.453125" style="4" hidden="1" customWidth="1"/>
    <col min="10" max="10" width="10" style="4" customWidth="1"/>
    <col min="11" max="12" width="9.7265625" style="4" customWidth="1"/>
    <col min="13" max="13" width="7" style="4" bestFit="1" customWidth="1"/>
    <col min="14" max="15" width="7" style="4" hidden="1" customWidth="1"/>
    <col min="16" max="16" width="9.7265625" style="4" hidden="1" customWidth="1"/>
    <col min="17" max="17" width="11" style="4" customWidth="1"/>
    <col min="18" max="18" width="3.26953125" customWidth="1"/>
    <col min="19" max="19" width="9.54296875" hidden="1" customWidth="1"/>
    <col min="20" max="20" width="14.54296875" bestFit="1" customWidth="1"/>
    <col min="21" max="21" width="13.81640625" bestFit="1" customWidth="1"/>
    <col min="22" max="22" width="1.453125" customWidth="1"/>
    <col min="24" max="24" width="9.1796875" hidden="1" customWidth="1"/>
    <col min="25" max="25" width="10.54296875" customWidth="1"/>
    <col min="26" max="26" width="14.26953125" customWidth="1"/>
    <col min="27" max="27" width="13.26953125" customWidth="1"/>
    <col min="28" max="28" width="14.26953125" customWidth="1"/>
    <col min="29" max="29" width="9.1796875" hidden="1" customWidth="1"/>
    <col min="30" max="31" width="10" style="4" hidden="1" customWidth="1"/>
    <col min="32" max="39" width="9.1796875" hidden="1" customWidth="1"/>
    <col min="40" max="40" width="16.26953125" bestFit="1" customWidth="1"/>
  </cols>
  <sheetData>
    <row r="1" spans="1:63" s="6" customFormat="1" ht="45" customHeight="1" x14ac:dyDescent="0.35">
      <c r="C1" s="6" t="s">
        <v>6</v>
      </c>
      <c r="D1" s="6" t="s">
        <v>1</v>
      </c>
      <c r="E1" s="6" t="s">
        <v>5</v>
      </c>
      <c r="F1" s="6" t="s">
        <v>8</v>
      </c>
      <c r="G1" s="13" t="s">
        <v>28</v>
      </c>
      <c r="H1" s="13" t="s">
        <v>51</v>
      </c>
      <c r="I1" s="13" t="s">
        <v>49</v>
      </c>
      <c r="J1" s="6" t="s">
        <v>48</v>
      </c>
      <c r="K1" s="6" t="s">
        <v>103</v>
      </c>
      <c r="L1" s="6" t="s">
        <v>11</v>
      </c>
      <c r="M1" s="6" t="s">
        <v>101</v>
      </c>
      <c r="N1" s="13" t="s">
        <v>107</v>
      </c>
      <c r="O1" s="13" t="s">
        <v>102</v>
      </c>
      <c r="P1" s="13" t="s">
        <v>105</v>
      </c>
      <c r="Q1" s="6" t="s">
        <v>106</v>
      </c>
      <c r="S1" s="13" t="s">
        <v>75</v>
      </c>
      <c r="T1" s="6" t="s">
        <v>118</v>
      </c>
      <c r="U1" s="6" t="s">
        <v>119</v>
      </c>
      <c r="W1" s="6" t="s">
        <v>122</v>
      </c>
      <c r="X1" s="13" t="s">
        <v>125</v>
      </c>
      <c r="Y1" s="13" t="s">
        <v>124</v>
      </c>
      <c r="Z1" s="6" t="s">
        <v>123</v>
      </c>
      <c r="AA1" s="6" t="s">
        <v>126</v>
      </c>
      <c r="AB1"/>
      <c r="AC1" s="13" t="s">
        <v>69</v>
      </c>
      <c r="AD1" s="13" t="s">
        <v>67</v>
      </c>
      <c r="AE1" s="13" t="s">
        <v>104</v>
      </c>
      <c r="AF1" s="13" t="s">
        <v>54</v>
      </c>
      <c r="AG1" s="13" t="s">
        <v>65</v>
      </c>
      <c r="AH1" s="13" t="s">
        <v>66</v>
      </c>
      <c r="AI1" s="13" t="s">
        <v>115</v>
      </c>
      <c r="AJ1" s="13" t="s">
        <v>121</v>
      </c>
      <c r="AK1" s="13" t="s">
        <v>120</v>
      </c>
      <c r="AL1" s="13" t="s">
        <v>127</v>
      </c>
      <c r="AM1" s="13" t="s">
        <v>128</v>
      </c>
      <c r="AN1" s="37" t="s">
        <v>129</v>
      </c>
      <c r="AO1" s="37"/>
      <c r="AP1" s="37"/>
      <c r="AQ1" s="37"/>
      <c r="AR1" s="37"/>
      <c r="AS1" s="37"/>
      <c r="AT1" s="37"/>
      <c r="AU1" s="37"/>
      <c r="AV1" s="37"/>
      <c r="AW1" s="37"/>
      <c r="AX1" s="37"/>
      <c r="AY1" s="37"/>
      <c r="AZ1" s="37"/>
      <c r="BA1" s="37"/>
      <c r="BB1" s="37"/>
      <c r="BC1" s="37"/>
      <c r="BD1" s="37"/>
      <c r="BE1" s="37"/>
      <c r="BF1" s="22"/>
      <c r="BG1" s="22"/>
      <c r="BH1" s="22"/>
      <c r="BI1" s="22"/>
      <c r="BJ1" s="22"/>
      <c r="BK1" s="22"/>
    </row>
    <row r="2" spans="1:63" s="6" customFormat="1" ht="5.25" customHeight="1" x14ac:dyDescent="0.35">
      <c r="AB2"/>
    </row>
    <row r="3" spans="1:63" x14ac:dyDescent="0.35">
      <c r="A3" t="s">
        <v>0</v>
      </c>
      <c r="B3" s="3">
        <v>45971</v>
      </c>
      <c r="C3" t="str">
        <f t="shared" ref="C3:C66" si="0">TEXT(B3,"ddd")</f>
        <v>Mon</v>
      </c>
      <c r="D3" s="10" t="s">
        <v>2</v>
      </c>
      <c r="E3" s="10">
        <v>12</v>
      </c>
      <c r="F3" s="4">
        <f t="shared" ref="F3:F66" si="1">IF(D3="Drilling",E3,0)</f>
        <v>0</v>
      </c>
      <c r="G3" s="4">
        <f t="shared" ref="G3:G34" si="2">(G2+F3)</f>
        <v>0</v>
      </c>
      <c r="H3" s="4">
        <f t="shared" ref="H3:H66" si="3">F3*60</f>
        <v>0</v>
      </c>
      <c r="I3" s="15">
        <f>(SQRT(4*J2*J2*V*V + 'Drilling Spec'!$C$42*J2 + W*('Drilling Spec'!$C$43 + 2*l*V*(s*W + 2*V*H3/(1+e)) + 'Drilling Spec'!$C$44)) - 'Drilling Spec'!$C$45)/(2*V)</f>
        <v>0</v>
      </c>
      <c r="J3" s="16" t="str">
        <f>IF(AND(OR(J2=0,J2=""),G3=0),IF(G4=0,"",'Drilling Spec'!$C$26),I3)</f>
        <v/>
      </c>
      <c r="K3" s="16" t="e">
        <f>MAX(0,J3-'Drilling Spec'!$C$30)</f>
        <v>#VALUE!</v>
      </c>
      <c r="L3" s="18">
        <f>IFERROR(K3/'Drilling Spec'!$C$31,0)</f>
        <v>0</v>
      </c>
      <c r="M3" s="21">
        <f t="shared" ref="M3:M34" si="4">IF(D3="Bailing",E3,0)</f>
        <v>0</v>
      </c>
      <c r="N3" s="4">
        <f>(N2+M3)</f>
        <v>0</v>
      </c>
      <c r="O3" s="4">
        <f t="shared" ref="O3:O66" si="5">M3*60</f>
        <v>0</v>
      </c>
      <c r="P3" s="18">
        <f>(SQRT(4*P2*P2*vB*vB + 'Drilling Spec'!$C$48*P2 + WB*('Drilling Spec'!$C$49 + 2*lB*vB*(sB*WB + 2*vB*O3/(1+eB)) + 'Drilling Spec'!$C$50)) - 'Drilling Spec'!$C$51)/(2*vB)</f>
        <v>0</v>
      </c>
      <c r="Q3" s="18" t="str">
        <f>IF(AND(OR(R2=0,R2=""),N3=0),IF(N4=0,"",'Drilling Spec'!$C$30),P3)</f>
        <v/>
      </c>
      <c r="S3">
        <f>S2+U2+T3+'Drilling Spec'!$C$37</f>
        <v>4</v>
      </c>
      <c r="T3" s="10"/>
      <c r="U3">
        <f>IF('Baseline 1 - Perfect, 24hr'!L4&gt;'Baseline 1 - Perfect, 24hr'!S3,'Drilling Spec'!$C$36,)</f>
        <v>0</v>
      </c>
      <c r="W3" s="17" t="e">
        <f>(J3-'Drilling Spec'!$C$26)/'Drilling Spec'!$C$38</f>
        <v>#VALUE!</v>
      </c>
      <c r="X3" s="17">
        <f t="shared" ref="X3:X66" si="6">IFERROR(W3-W2,0)</f>
        <v>0</v>
      </c>
      <c r="Y3" s="17">
        <f t="shared" ref="Y3:Y34" si="7">Y2+X3-Z3-AA2</f>
        <v>0</v>
      </c>
      <c r="Z3" s="10"/>
      <c r="AA3">
        <f>IF(Y3&lt;'Drilling Spec'!$C$39,,'Drilling Spec'!$C$39)</f>
        <v>0</v>
      </c>
      <c r="AC3">
        <v>0</v>
      </c>
      <c r="AD3" s="16" t="e">
        <f t="shared" ref="AD3:AD34" si="8">IFERROR(-J3,NA())</f>
        <v>#N/A</v>
      </c>
      <c r="AE3" s="16" t="e">
        <f t="shared" ref="AE3:AE66" si="9">IF(OR(Q3=0,Q3=""),NA(),-Q3)</f>
        <v>#N/A</v>
      </c>
      <c r="AF3">
        <f>-'Drilling Spec'!$C$29</f>
        <v>-720</v>
      </c>
      <c r="AG3">
        <f>-'Drilling Spec'!$C$27</f>
        <v>-624</v>
      </c>
      <c r="AH3">
        <f>-'Drilling Spec'!$C$28</f>
        <v>-688</v>
      </c>
      <c r="AI3" t="e">
        <f t="shared" ref="AI3:AI66" si="10">IF(D3="Camp Closed",0,NA())</f>
        <v>#N/A</v>
      </c>
      <c r="AJ3" t="e">
        <f>IF(T3=0,NA(),-'Drilling Spec'!$C$26/2)</f>
        <v>#N/A</v>
      </c>
      <c r="AK3" t="e">
        <f>IF(U3=0,NA(),-'Drilling Spec'!$C$26/2)</f>
        <v>#N/A</v>
      </c>
      <c r="AL3" t="e">
        <f>IF(Z3=0,NA(),-'Drilling Spec'!$C$26*3/2)</f>
        <v>#N/A</v>
      </c>
      <c r="AM3" t="e">
        <f>IF(AA3=0,NA(),-'Drilling Spec'!$C$26*3/2)</f>
        <v>#N/A</v>
      </c>
    </row>
    <row r="4" spans="1:63" x14ac:dyDescent="0.35">
      <c r="B4" s="2">
        <f>B3+1</f>
        <v>45972</v>
      </c>
      <c r="C4" t="str">
        <f t="shared" si="0"/>
        <v>Tue</v>
      </c>
      <c r="D4" s="10" t="s">
        <v>3</v>
      </c>
      <c r="E4" s="10">
        <v>12</v>
      </c>
      <c r="F4" s="4">
        <f t="shared" si="1"/>
        <v>0</v>
      </c>
      <c r="G4" s="4">
        <f t="shared" si="2"/>
        <v>0</v>
      </c>
      <c r="H4" s="4">
        <f t="shared" si="3"/>
        <v>0</v>
      </c>
      <c r="I4" s="15" t="e">
        <f>(SQRT(4*J3*J3*V*V + 'Drilling Spec'!$C$42*J3 + W*('Drilling Spec'!$C$43 + 2*l*V*(s*W + 2*V*H4/(1+e)) + 'Drilling Spec'!$C$44)) - 'Drilling Spec'!$C$45)/(2*V)</f>
        <v>#VALUE!</v>
      </c>
      <c r="J4" s="16" t="str">
        <f>IF(AND(OR(J3=0,J3=""),G4=0),IF(G5=0,"",'Drilling Spec'!$C$26),I4)</f>
        <v/>
      </c>
      <c r="K4" s="16" t="e">
        <f>MAX(0,J4-'Drilling Spec'!$C$30)</f>
        <v>#VALUE!</v>
      </c>
      <c r="L4" s="18">
        <f>IFERROR(K4/'Drilling Spec'!$C$31,0)</f>
        <v>0</v>
      </c>
      <c r="M4" s="21">
        <f t="shared" si="4"/>
        <v>0</v>
      </c>
      <c r="N4" s="4">
        <f t="shared" ref="N4:N67" si="11">(N3+M4)</f>
        <v>0</v>
      </c>
      <c r="O4" s="21">
        <f t="shared" si="5"/>
        <v>0</v>
      </c>
      <c r="P4" s="18">
        <f>(SQRT(4*P3*P3*vB*vB + 'Drilling Spec'!$C$48*P3 + WB*('Drilling Spec'!$C$49 + 2*lB*vB*(sB*WB + 2*vB*O4/(1+eB)) + 'Drilling Spec'!$C$50)) - 'Drilling Spec'!$C$51)/(2*vB)</f>
        <v>0</v>
      </c>
      <c r="Q4" s="18" t="str">
        <f>IF(AND(OR(R3=0,R3=""),N4=0),IF(N5=0,"",'Drilling Spec'!$C$30),P4)</f>
        <v/>
      </c>
      <c r="S4">
        <f>S3+U3+T4</f>
        <v>4</v>
      </c>
      <c r="T4" s="10"/>
      <c r="U4">
        <f>IF('Baseline 1 - Perfect, 24hr'!L5&gt;'Baseline 1 - Perfect, 24hr'!S4,'Drilling Spec'!$C$36,)</f>
        <v>0</v>
      </c>
      <c r="W4" s="17" t="e">
        <f>(J4-'Drilling Spec'!$C$26)/'Drilling Spec'!$C$38</f>
        <v>#VALUE!</v>
      </c>
      <c r="X4" s="17">
        <f t="shared" si="6"/>
        <v>0</v>
      </c>
      <c r="Y4" s="17">
        <f t="shared" si="7"/>
        <v>0</v>
      </c>
      <c r="Z4" s="10"/>
      <c r="AA4">
        <f>IF(Y4&lt;'Drilling Spec'!$C$39,,'Drilling Spec'!$C$39)</f>
        <v>0</v>
      </c>
      <c r="AD4" s="16" t="e">
        <f t="shared" si="8"/>
        <v>#N/A</v>
      </c>
      <c r="AE4" s="16" t="e">
        <f t="shared" si="9"/>
        <v>#N/A</v>
      </c>
      <c r="AF4">
        <f>-'Drilling Spec'!$C$29</f>
        <v>-720</v>
      </c>
      <c r="AG4">
        <f>-'Drilling Spec'!$C$27</f>
        <v>-624</v>
      </c>
      <c r="AH4">
        <f>-'Drilling Spec'!$C$28</f>
        <v>-688</v>
      </c>
      <c r="AI4" t="e">
        <f t="shared" si="10"/>
        <v>#N/A</v>
      </c>
      <c r="AJ4" t="e">
        <f>IF(T4=0,NA(),-'Drilling Spec'!$C$26/2)</f>
        <v>#N/A</v>
      </c>
      <c r="AK4" t="e">
        <f>IF(U4=0,NA(),-'Drilling Spec'!$C$26/2)</f>
        <v>#N/A</v>
      </c>
      <c r="AL4" t="e">
        <f>IF(Z4=0,NA(),-'Drilling Spec'!$C$26*3/2)</f>
        <v>#N/A</v>
      </c>
      <c r="AM4" t="e">
        <f>IF(AA4=0,NA(),-'Drilling Spec'!$C$26*3/2)</f>
        <v>#N/A</v>
      </c>
    </row>
    <row r="5" spans="1:63" x14ac:dyDescent="0.35">
      <c r="B5" s="2">
        <f t="shared" ref="B5:B68" si="12">B4+1</f>
        <v>45973</v>
      </c>
      <c r="C5" t="str">
        <f t="shared" si="0"/>
        <v>Wed</v>
      </c>
      <c r="D5" s="10" t="s">
        <v>3</v>
      </c>
      <c r="E5" s="10">
        <v>12</v>
      </c>
      <c r="F5" s="4">
        <f t="shared" si="1"/>
        <v>0</v>
      </c>
      <c r="G5" s="4">
        <f t="shared" si="2"/>
        <v>0</v>
      </c>
      <c r="H5" s="4">
        <f t="shared" si="3"/>
        <v>0</v>
      </c>
      <c r="I5" s="15" t="e">
        <f>(SQRT(4*J4*J4*V*V + 'Drilling Spec'!$C$42*J4 + W*('Drilling Spec'!$C$43 + 2*l*V*(s*W + 2*V*H5/(1+e)) + 'Drilling Spec'!$C$44)) - 'Drilling Spec'!$C$45)/(2*V)</f>
        <v>#VALUE!</v>
      </c>
      <c r="J5" s="16" t="str">
        <f>IF(AND(OR(J4=0,J4=""),G5=0),IF(G6=0,"",'Drilling Spec'!$C$26),I5)</f>
        <v/>
      </c>
      <c r="K5" s="16" t="e">
        <f>MAX(0,J5-'Drilling Spec'!$C$30)</f>
        <v>#VALUE!</v>
      </c>
      <c r="L5" s="18">
        <f>IFERROR(K5/'Drilling Spec'!$C$31,0)</f>
        <v>0</v>
      </c>
      <c r="M5" s="21">
        <f t="shared" si="4"/>
        <v>0</v>
      </c>
      <c r="N5" s="4">
        <f t="shared" si="11"/>
        <v>0</v>
      </c>
      <c r="O5" s="21">
        <f t="shared" si="5"/>
        <v>0</v>
      </c>
      <c r="P5" s="18">
        <f>(SQRT(4*P4*P4*vB*vB + 'Drilling Spec'!$C$48*P4 + WB*('Drilling Spec'!$C$49 + 2*lB*vB*(sB*WB + 2*vB*O5/(1+eB)) + 'Drilling Spec'!$C$50)) - 'Drilling Spec'!$C$51)/(2*vB)</f>
        <v>0</v>
      </c>
      <c r="Q5" s="18" t="str">
        <f>IF(AND(OR(R4=0,R4=""),N5=0),IF(N6=0,"",'Drilling Spec'!$C$30),P5)</f>
        <v/>
      </c>
      <c r="S5">
        <f t="shared" ref="S5:S68" si="13">S4+U4+T5</f>
        <v>4</v>
      </c>
      <c r="T5" s="10"/>
      <c r="U5">
        <f>IF('Baseline 1 - Perfect, 24hr'!L6&gt;'Baseline 1 - Perfect, 24hr'!S5,'Drilling Spec'!$C$36,)</f>
        <v>0</v>
      </c>
      <c r="W5" s="17" t="e">
        <f>(J5-'Drilling Spec'!$C$26)/'Drilling Spec'!$C$38</f>
        <v>#VALUE!</v>
      </c>
      <c r="X5" s="17">
        <f t="shared" si="6"/>
        <v>0</v>
      </c>
      <c r="Y5" s="17">
        <f t="shared" si="7"/>
        <v>0</v>
      </c>
      <c r="Z5" s="10"/>
      <c r="AA5">
        <f>IF(Y5&lt;'Drilling Spec'!$C$39,,'Drilling Spec'!$C$39)</f>
        <v>0</v>
      </c>
      <c r="AD5" s="16" t="e">
        <f t="shared" si="8"/>
        <v>#N/A</v>
      </c>
      <c r="AE5" s="16" t="e">
        <f t="shared" si="9"/>
        <v>#N/A</v>
      </c>
      <c r="AF5">
        <f>-'Drilling Spec'!$C$29</f>
        <v>-720</v>
      </c>
      <c r="AG5">
        <f>-'Drilling Spec'!$C$27</f>
        <v>-624</v>
      </c>
      <c r="AH5">
        <f>-'Drilling Spec'!$C$28</f>
        <v>-688</v>
      </c>
      <c r="AI5" t="e">
        <f t="shared" si="10"/>
        <v>#N/A</v>
      </c>
      <c r="AJ5" t="e">
        <f>IF(T5=0,NA(),-'Drilling Spec'!$C$26/2)</f>
        <v>#N/A</v>
      </c>
      <c r="AK5" t="e">
        <f>IF(U5=0,NA(),-'Drilling Spec'!$C$26/2)</f>
        <v>#N/A</v>
      </c>
      <c r="AL5" t="e">
        <f>IF(Z5=0,NA(),-'Drilling Spec'!$C$26*3/2)</f>
        <v>#N/A</v>
      </c>
      <c r="AM5" t="e">
        <f>IF(AA5=0,NA(),-'Drilling Spec'!$C$26*3/2)</f>
        <v>#N/A</v>
      </c>
    </row>
    <row r="6" spans="1:63" x14ac:dyDescent="0.35">
      <c r="B6" s="2">
        <f t="shared" si="12"/>
        <v>45974</v>
      </c>
      <c r="C6" t="str">
        <f t="shared" si="0"/>
        <v>Thu</v>
      </c>
      <c r="D6" s="10" t="s">
        <v>4</v>
      </c>
      <c r="E6" s="10">
        <v>12</v>
      </c>
      <c r="F6" s="4">
        <f t="shared" si="1"/>
        <v>0</v>
      </c>
      <c r="G6" s="4">
        <f t="shared" si="2"/>
        <v>0</v>
      </c>
      <c r="H6" s="4">
        <f t="shared" si="3"/>
        <v>0</v>
      </c>
      <c r="I6" s="15" t="e">
        <f>(SQRT(4*J5*J5*V*V + 'Drilling Spec'!$C$42*J5 + W*('Drilling Spec'!$C$43 + 2*l*V*(s*W + 2*V*H6/(1+e)) + 'Drilling Spec'!$C$44)) - 'Drilling Spec'!$C$45)/(2*V)</f>
        <v>#VALUE!</v>
      </c>
      <c r="J6" s="16" t="str">
        <f>IF(AND(OR(J5=0,J5=""),G6=0),IF(G7=0,"",'Drilling Spec'!$C$26),I6)</f>
        <v/>
      </c>
      <c r="K6" s="16" t="e">
        <f>MAX(0,J6-'Drilling Spec'!$C$30)</f>
        <v>#VALUE!</v>
      </c>
      <c r="L6" s="18">
        <f>IFERROR(K6/'Drilling Spec'!$C$31,0)</f>
        <v>0</v>
      </c>
      <c r="M6" s="21">
        <f t="shared" si="4"/>
        <v>0</v>
      </c>
      <c r="N6" s="4">
        <f t="shared" si="11"/>
        <v>0</v>
      </c>
      <c r="O6" s="21">
        <f t="shared" si="5"/>
        <v>0</v>
      </c>
      <c r="P6" s="18">
        <f>(SQRT(4*P5*P5*vB*vB + 'Drilling Spec'!$C$48*P5 + WB*('Drilling Spec'!$C$49 + 2*lB*vB*(sB*WB + 2*vB*O6/(1+eB)) + 'Drilling Spec'!$C$50)) - 'Drilling Spec'!$C$51)/(2*vB)</f>
        <v>0</v>
      </c>
      <c r="Q6" s="18" t="str">
        <f>IF(AND(OR(R5=0,R5=""),N6=0),IF(N7=0,"",'Drilling Spec'!$C$30),P6)</f>
        <v/>
      </c>
      <c r="S6">
        <f t="shared" si="13"/>
        <v>4</v>
      </c>
      <c r="T6" s="10"/>
      <c r="U6">
        <f>IF('Baseline 1 - Perfect, 24hr'!L7&gt;'Baseline 1 - Perfect, 24hr'!S6,'Drilling Spec'!$C$36,)</f>
        <v>0</v>
      </c>
      <c r="W6" s="17" t="e">
        <f>(J6-'Drilling Spec'!$C$26)/'Drilling Spec'!$C$38</f>
        <v>#VALUE!</v>
      </c>
      <c r="X6" s="17">
        <f t="shared" si="6"/>
        <v>0</v>
      </c>
      <c r="Y6" s="17">
        <f t="shared" si="7"/>
        <v>0</v>
      </c>
      <c r="Z6" s="10"/>
      <c r="AA6">
        <f>IF(Y6&lt;'Drilling Spec'!$C$39,,'Drilling Spec'!$C$39)</f>
        <v>0</v>
      </c>
      <c r="AD6" s="16" t="e">
        <f t="shared" si="8"/>
        <v>#N/A</v>
      </c>
      <c r="AE6" s="16" t="e">
        <f t="shared" si="9"/>
        <v>#N/A</v>
      </c>
      <c r="AF6">
        <f>-'Drilling Spec'!$C$29</f>
        <v>-720</v>
      </c>
      <c r="AG6">
        <f>-'Drilling Spec'!$C$27</f>
        <v>-624</v>
      </c>
      <c r="AH6">
        <f>-'Drilling Spec'!$C$28</f>
        <v>-688</v>
      </c>
      <c r="AI6" t="e">
        <f t="shared" si="10"/>
        <v>#N/A</v>
      </c>
      <c r="AJ6" t="e">
        <f>IF(T6=0,NA(),-'Drilling Spec'!$C$26/2)</f>
        <v>#N/A</v>
      </c>
      <c r="AK6" t="e">
        <f>IF(U6=0,NA(),-'Drilling Spec'!$C$26/2)</f>
        <v>#N/A</v>
      </c>
      <c r="AL6" t="e">
        <f>IF(Z6=0,NA(),-'Drilling Spec'!$C$26*3/2)</f>
        <v>#N/A</v>
      </c>
      <c r="AM6" t="e">
        <f>IF(AA6=0,NA(),-'Drilling Spec'!$C$26*3/2)</f>
        <v>#N/A</v>
      </c>
    </row>
    <row r="7" spans="1:63" x14ac:dyDescent="0.35">
      <c r="B7" s="2">
        <f t="shared" si="12"/>
        <v>45975</v>
      </c>
      <c r="C7" t="str">
        <f t="shared" si="0"/>
        <v>Fri</v>
      </c>
      <c r="D7" s="10" t="s">
        <v>4</v>
      </c>
      <c r="E7" s="10">
        <v>12</v>
      </c>
      <c r="F7" s="4">
        <f t="shared" si="1"/>
        <v>0</v>
      </c>
      <c r="G7" s="4">
        <f t="shared" si="2"/>
        <v>0</v>
      </c>
      <c r="H7" s="4">
        <f t="shared" si="3"/>
        <v>0</v>
      </c>
      <c r="I7" s="15" t="e">
        <f>(SQRT(4*J6*J6*V*V + 'Drilling Spec'!$C$42*J6 + W*('Drilling Spec'!$C$43 + 2*l*V*(s*W + 2*V*H7/(1+e)) + 'Drilling Spec'!$C$44)) - 'Drilling Spec'!$C$45)/(2*V)</f>
        <v>#VALUE!</v>
      </c>
      <c r="J7" s="16" t="str">
        <f>IF(AND(OR(J6=0,J6=""),G7=0),IF(G8=0,"",'Drilling Spec'!$C$26),I7)</f>
        <v/>
      </c>
      <c r="K7" s="16" t="e">
        <f>MAX(0,J7-'Drilling Spec'!$C$30)</f>
        <v>#VALUE!</v>
      </c>
      <c r="L7" s="18">
        <f>IFERROR(K7/'Drilling Spec'!$C$31,0)</f>
        <v>0</v>
      </c>
      <c r="M7" s="21">
        <f t="shared" si="4"/>
        <v>0</v>
      </c>
      <c r="N7" s="4">
        <f t="shared" si="11"/>
        <v>0</v>
      </c>
      <c r="O7" s="21">
        <f t="shared" si="5"/>
        <v>0</v>
      </c>
      <c r="P7" s="18">
        <f>(SQRT(4*P6*P6*vB*vB + 'Drilling Spec'!$C$48*P6 + WB*('Drilling Spec'!$C$49 + 2*lB*vB*(sB*WB + 2*vB*O7/(1+eB)) + 'Drilling Spec'!$C$50)) - 'Drilling Spec'!$C$51)/(2*vB)</f>
        <v>0</v>
      </c>
      <c r="Q7" s="18" t="str">
        <f>IF(AND(OR(R6=0,R6=""),N7=0),IF(N8=0,"",'Drilling Spec'!$C$30),P7)</f>
        <v/>
      </c>
      <c r="S7">
        <f t="shared" si="13"/>
        <v>4</v>
      </c>
      <c r="T7" s="10"/>
      <c r="U7">
        <f>IF('Baseline 1 - Perfect, 24hr'!L8&gt;'Baseline 1 - Perfect, 24hr'!S7,'Drilling Spec'!$C$36,)</f>
        <v>0</v>
      </c>
      <c r="W7" s="17" t="e">
        <f>(J7-'Drilling Spec'!$C$26)/'Drilling Spec'!$C$38</f>
        <v>#VALUE!</v>
      </c>
      <c r="X7" s="17">
        <f t="shared" si="6"/>
        <v>0</v>
      </c>
      <c r="Y7" s="17">
        <f t="shared" si="7"/>
        <v>0</v>
      </c>
      <c r="Z7" s="10"/>
      <c r="AA7">
        <f>IF(Y7&lt;'Drilling Spec'!$C$39,,'Drilling Spec'!$C$39)</f>
        <v>0</v>
      </c>
      <c r="AD7" s="16" t="e">
        <f t="shared" si="8"/>
        <v>#N/A</v>
      </c>
      <c r="AE7" s="16" t="e">
        <f t="shared" si="9"/>
        <v>#N/A</v>
      </c>
      <c r="AF7">
        <f>-'Drilling Spec'!$C$29</f>
        <v>-720</v>
      </c>
      <c r="AG7">
        <f>-'Drilling Spec'!$C$27</f>
        <v>-624</v>
      </c>
      <c r="AH7">
        <f>-'Drilling Spec'!$C$28</f>
        <v>-688</v>
      </c>
      <c r="AI7" t="e">
        <f t="shared" si="10"/>
        <v>#N/A</v>
      </c>
      <c r="AJ7" t="e">
        <f>IF(T7=0,NA(),-'Drilling Spec'!$C$26/2)</f>
        <v>#N/A</v>
      </c>
      <c r="AK7" t="e">
        <f>IF(U7=0,NA(),-'Drilling Spec'!$C$26/2)</f>
        <v>#N/A</v>
      </c>
      <c r="AL7" t="e">
        <f>IF(Z7=0,NA(),-'Drilling Spec'!$C$26*3/2)</f>
        <v>#N/A</v>
      </c>
      <c r="AM7" t="e">
        <f>IF(AA7=0,NA(),-'Drilling Spec'!$C$26*3/2)</f>
        <v>#N/A</v>
      </c>
    </row>
    <row r="8" spans="1:63" x14ac:dyDescent="0.35">
      <c r="B8" s="2">
        <f t="shared" si="12"/>
        <v>45976</v>
      </c>
      <c r="C8" t="str">
        <f t="shared" si="0"/>
        <v>Sat</v>
      </c>
      <c r="D8" s="10" t="s">
        <v>4</v>
      </c>
      <c r="E8" s="10">
        <v>12</v>
      </c>
      <c r="F8" s="4">
        <f t="shared" si="1"/>
        <v>0</v>
      </c>
      <c r="G8" s="4">
        <f t="shared" si="2"/>
        <v>0</v>
      </c>
      <c r="H8" s="4">
        <f t="shared" si="3"/>
        <v>0</v>
      </c>
      <c r="I8" s="15" t="e">
        <f>(SQRT(4*J7*J7*V*V + 'Drilling Spec'!$C$42*J7 + W*('Drilling Spec'!$C$43 + 2*l*V*(s*W + 2*V*H8/(1+e)) + 'Drilling Spec'!$C$44)) - 'Drilling Spec'!$C$45)/(2*V)</f>
        <v>#VALUE!</v>
      </c>
      <c r="J8" s="16" t="str">
        <f>IF(AND(OR(J7=0,J7=""),G8=0),IF(G9=0,"",'Drilling Spec'!$C$26),I8)</f>
        <v/>
      </c>
      <c r="K8" s="16" t="e">
        <f>MAX(0,J8-'Drilling Spec'!$C$30)</f>
        <v>#VALUE!</v>
      </c>
      <c r="L8" s="18">
        <f>IFERROR(K8/'Drilling Spec'!$C$31,0)</f>
        <v>0</v>
      </c>
      <c r="M8" s="21">
        <f t="shared" si="4"/>
        <v>0</v>
      </c>
      <c r="N8" s="4">
        <f t="shared" si="11"/>
        <v>0</v>
      </c>
      <c r="O8" s="21">
        <f t="shared" si="5"/>
        <v>0</v>
      </c>
      <c r="P8" s="18">
        <f>(SQRT(4*P7*P7*vB*vB + 'Drilling Spec'!$C$48*P7 + WB*('Drilling Spec'!$C$49 + 2*lB*vB*(sB*WB + 2*vB*O8/(1+eB)) + 'Drilling Spec'!$C$50)) - 'Drilling Spec'!$C$51)/(2*vB)</f>
        <v>0</v>
      </c>
      <c r="Q8" s="18" t="str">
        <f>IF(AND(OR(R7=0,R7=""),N8=0),IF(N9=0,"",'Drilling Spec'!$C$30),P8)</f>
        <v/>
      </c>
      <c r="S8">
        <f t="shared" si="13"/>
        <v>4</v>
      </c>
      <c r="T8" s="10"/>
      <c r="U8">
        <f>IF('Baseline 1 - Perfect, 24hr'!L9&gt;'Baseline 1 - Perfect, 24hr'!S8,'Drilling Spec'!$C$36,)</f>
        <v>0</v>
      </c>
      <c r="W8" s="17" t="e">
        <f>(J8-'Drilling Spec'!$C$26)/'Drilling Spec'!$C$38</f>
        <v>#VALUE!</v>
      </c>
      <c r="X8" s="17">
        <f t="shared" si="6"/>
        <v>0</v>
      </c>
      <c r="Y8" s="17">
        <f t="shared" si="7"/>
        <v>0</v>
      </c>
      <c r="Z8" s="10"/>
      <c r="AA8">
        <f>IF(Y8&lt;'Drilling Spec'!$C$39,,'Drilling Spec'!$C$39)</f>
        <v>0</v>
      </c>
      <c r="AD8" s="16" t="e">
        <f t="shared" si="8"/>
        <v>#N/A</v>
      </c>
      <c r="AE8" s="16" t="e">
        <f t="shared" si="9"/>
        <v>#N/A</v>
      </c>
      <c r="AF8">
        <f>-'Drilling Spec'!$C$29</f>
        <v>-720</v>
      </c>
      <c r="AG8">
        <f>-'Drilling Spec'!$C$27</f>
        <v>-624</v>
      </c>
      <c r="AH8">
        <f>-'Drilling Spec'!$C$28</f>
        <v>-688</v>
      </c>
      <c r="AI8" t="e">
        <f t="shared" si="10"/>
        <v>#N/A</v>
      </c>
      <c r="AJ8" t="e">
        <f>IF(T8=0,NA(),-'Drilling Spec'!$C$26/2)</f>
        <v>#N/A</v>
      </c>
      <c r="AK8" t="e">
        <f>IF(U8=0,NA(),-'Drilling Spec'!$C$26/2)</f>
        <v>#N/A</v>
      </c>
      <c r="AL8" t="e">
        <f>IF(Z8=0,NA(),-'Drilling Spec'!$C$26*3/2)</f>
        <v>#N/A</v>
      </c>
      <c r="AM8" t="e">
        <f>IF(AA8=0,NA(),-'Drilling Spec'!$C$26*3/2)</f>
        <v>#N/A</v>
      </c>
    </row>
    <row r="9" spans="1:63" x14ac:dyDescent="0.35">
      <c r="B9" s="2">
        <f t="shared" si="12"/>
        <v>45977</v>
      </c>
      <c r="C9" t="str">
        <f t="shared" si="0"/>
        <v>Sun</v>
      </c>
      <c r="D9" s="10" t="s">
        <v>7</v>
      </c>
      <c r="E9" s="10">
        <v>0</v>
      </c>
      <c r="F9" s="4">
        <f t="shared" si="1"/>
        <v>0</v>
      </c>
      <c r="G9" s="4">
        <f t="shared" si="2"/>
        <v>0</v>
      </c>
      <c r="H9" s="4">
        <f t="shared" si="3"/>
        <v>0</v>
      </c>
      <c r="I9" s="15" t="e">
        <f>(SQRT(4*J8*J8*V*V + 'Drilling Spec'!$C$42*J8 + W*('Drilling Spec'!$C$43 + 2*l*V*(s*W + 2*V*H9/(1+e)) + 'Drilling Spec'!$C$44)) - 'Drilling Spec'!$C$45)/(2*V)</f>
        <v>#VALUE!</v>
      </c>
      <c r="J9" s="16">
        <f>IF(AND(OR(J8=0,J8=""),G9=0),IF(G10=0,"",'Drilling Spec'!$C$26),I9)</f>
        <v>70</v>
      </c>
      <c r="K9" s="16">
        <f>MAX(0,J9-'Drilling Spec'!$C$30)</f>
        <v>0</v>
      </c>
      <c r="L9" s="18">
        <f>IFERROR(K9/'Drilling Spec'!$C$31,0)</f>
        <v>0</v>
      </c>
      <c r="M9" s="21">
        <f t="shared" si="4"/>
        <v>0</v>
      </c>
      <c r="N9" s="4">
        <f t="shared" si="11"/>
        <v>0</v>
      </c>
      <c r="O9" s="21">
        <f t="shared" si="5"/>
        <v>0</v>
      </c>
      <c r="P9" s="18">
        <f>(SQRT(4*P8*P8*vB*vB + 'Drilling Spec'!$C$48*P8 + WB*('Drilling Spec'!$C$49 + 2*lB*vB*(sB*WB + 2*vB*O9/(1+eB)) + 'Drilling Spec'!$C$50)) - 'Drilling Spec'!$C$51)/(2*vB)</f>
        <v>0</v>
      </c>
      <c r="Q9" s="18" t="str">
        <f>IF(AND(OR(R8=0,R8=""),N9=0),IF(N10=0,"",'Drilling Spec'!$C$30),P9)</f>
        <v/>
      </c>
      <c r="S9">
        <f t="shared" si="13"/>
        <v>4</v>
      </c>
      <c r="T9" s="10"/>
      <c r="U9">
        <f>IF('Baseline 1 - Perfect, 24hr'!L10&gt;'Baseline 1 - Perfect, 24hr'!S9,'Drilling Spec'!$C$36,)</f>
        <v>0</v>
      </c>
      <c r="W9" s="17">
        <f>(J9-'Drilling Spec'!$C$26)/'Drilling Spec'!$C$38</f>
        <v>0</v>
      </c>
      <c r="X9" s="17">
        <f t="shared" si="6"/>
        <v>0</v>
      </c>
      <c r="Y9" s="17">
        <f t="shared" si="7"/>
        <v>0</v>
      </c>
      <c r="Z9" s="10"/>
      <c r="AA9">
        <f>IF(Y9&lt;'Drilling Spec'!$C$39,,'Drilling Spec'!$C$39)</f>
        <v>0</v>
      </c>
      <c r="AD9" s="16">
        <f t="shared" si="8"/>
        <v>-70</v>
      </c>
      <c r="AE9" s="16" t="e">
        <f t="shared" si="9"/>
        <v>#N/A</v>
      </c>
      <c r="AF9">
        <f>-'Drilling Spec'!$C$29</f>
        <v>-720</v>
      </c>
      <c r="AG9">
        <f>-'Drilling Spec'!$C$27</f>
        <v>-624</v>
      </c>
      <c r="AH9">
        <f>-'Drilling Spec'!$C$28</f>
        <v>-688</v>
      </c>
      <c r="AI9" t="e">
        <f t="shared" si="10"/>
        <v>#N/A</v>
      </c>
      <c r="AJ9" t="e">
        <f>IF(T9=0,NA(),-'Drilling Spec'!$C$26/2)</f>
        <v>#N/A</v>
      </c>
      <c r="AK9" t="e">
        <f>IF(U9=0,NA(),-'Drilling Spec'!$C$26/2)</f>
        <v>#N/A</v>
      </c>
      <c r="AL9" t="e">
        <f>IF(Z9=0,NA(),-'Drilling Spec'!$C$26*3/2)</f>
        <v>#N/A</v>
      </c>
      <c r="AM9" t="e">
        <f>IF(AA9=0,NA(),-'Drilling Spec'!$C$26*3/2)</f>
        <v>#N/A</v>
      </c>
    </row>
    <row r="10" spans="1:63" x14ac:dyDescent="0.35">
      <c r="B10" s="2">
        <f t="shared" si="12"/>
        <v>45978</v>
      </c>
      <c r="C10" t="str">
        <f t="shared" si="0"/>
        <v>Mon</v>
      </c>
      <c r="D10" s="10" t="s">
        <v>9</v>
      </c>
      <c r="E10" s="10">
        <v>8</v>
      </c>
      <c r="F10" s="4">
        <f t="shared" si="1"/>
        <v>8</v>
      </c>
      <c r="G10" s="4">
        <f t="shared" si="2"/>
        <v>8</v>
      </c>
      <c r="H10" s="4">
        <f t="shared" si="3"/>
        <v>480</v>
      </c>
      <c r="I10" s="15">
        <f>(SQRT(4*J9*J9*V*V + 'Drilling Spec'!$C$42*J9 + W*('Drilling Spec'!$C$43 + 2*l*V*(s*W + 2*V*H10/(1+e)) + 'Drilling Spec'!$C$44)) - 'Drilling Spec'!$C$45)/(2*V)</f>
        <v>79.833321918590045</v>
      </c>
      <c r="J10" s="16">
        <f>IF(AND(OR(J9=0,J9=""),G10=0),IF(G11=0,"",'Drilling Spec'!$C$26),I10)</f>
        <v>79.833321918590045</v>
      </c>
      <c r="K10" s="16">
        <f>MAX(0,J10-'Drilling Spec'!$C$30)</f>
        <v>0</v>
      </c>
      <c r="L10" s="18">
        <f>IFERROR(K10/'Drilling Spec'!$C$31,0)</f>
        <v>0</v>
      </c>
      <c r="M10" s="21">
        <f t="shared" si="4"/>
        <v>0</v>
      </c>
      <c r="N10" s="4">
        <f t="shared" si="11"/>
        <v>0</v>
      </c>
      <c r="O10" s="21">
        <f t="shared" si="5"/>
        <v>0</v>
      </c>
      <c r="P10" s="18">
        <f>(SQRT(4*P9*P9*vB*vB + 'Drilling Spec'!$C$48*P9 + WB*('Drilling Spec'!$C$49 + 2*lB*vB*(sB*WB + 2*vB*O10/(1+eB)) + 'Drilling Spec'!$C$50)) - 'Drilling Spec'!$C$51)/(2*vB)</f>
        <v>0</v>
      </c>
      <c r="Q10" s="18" t="str">
        <f>IF(AND(OR(R9=0,R9=""),N10=0),IF(N11=0,"",'Drilling Spec'!$C$30),P10)</f>
        <v/>
      </c>
      <c r="S10">
        <f t="shared" si="13"/>
        <v>4</v>
      </c>
      <c r="T10" s="10"/>
      <c r="U10">
        <f>IF('Baseline 1 - Perfect, 24hr'!L11&gt;'Baseline 1 - Perfect, 24hr'!S10,'Drilling Spec'!$C$36,)</f>
        <v>0</v>
      </c>
      <c r="W10" s="17">
        <f>(J10-'Drilling Spec'!$C$26)/'Drilling Spec'!$C$38</f>
        <v>1.6388869864316742</v>
      </c>
      <c r="X10" s="17">
        <f t="shared" si="6"/>
        <v>1.6388869864316742</v>
      </c>
      <c r="Y10" s="17">
        <f t="shared" si="7"/>
        <v>1.6388869864316742</v>
      </c>
      <c r="Z10" s="10"/>
      <c r="AA10">
        <f>IF(Y10&lt;'Drilling Spec'!$C$39,,'Drilling Spec'!$C$39)</f>
        <v>0</v>
      </c>
      <c r="AD10" s="16">
        <f t="shared" si="8"/>
        <v>-79.833321918590045</v>
      </c>
      <c r="AE10" s="16" t="e">
        <f t="shared" si="9"/>
        <v>#N/A</v>
      </c>
      <c r="AF10">
        <f>-'Drilling Spec'!$C$29</f>
        <v>-720</v>
      </c>
      <c r="AG10">
        <f>-'Drilling Spec'!$C$27</f>
        <v>-624</v>
      </c>
      <c r="AH10">
        <f>-'Drilling Spec'!$C$28</f>
        <v>-688</v>
      </c>
      <c r="AI10" t="e">
        <f t="shared" si="10"/>
        <v>#N/A</v>
      </c>
      <c r="AJ10" t="e">
        <f>IF(T10=0,NA(),-'Drilling Spec'!$C$26/2)</f>
        <v>#N/A</v>
      </c>
      <c r="AK10" t="e">
        <f>IF(U10=0,NA(),-'Drilling Spec'!$C$26/2)</f>
        <v>#N/A</v>
      </c>
      <c r="AL10" t="e">
        <f>IF(Z10=0,NA(),-'Drilling Spec'!$C$26*3/2)</f>
        <v>#N/A</v>
      </c>
      <c r="AM10" t="e">
        <f>IF(AA10=0,NA(),-'Drilling Spec'!$C$26*3/2)</f>
        <v>#N/A</v>
      </c>
    </row>
    <row r="11" spans="1:63" x14ac:dyDescent="0.35">
      <c r="B11" s="2">
        <f t="shared" si="12"/>
        <v>45979</v>
      </c>
      <c r="C11" t="str">
        <f t="shared" si="0"/>
        <v>Tue</v>
      </c>
      <c r="D11" s="10" t="s">
        <v>9</v>
      </c>
      <c r="E11" s="10">
        <v>8</v>
      </c>
      <c r="F11" s="4">
        <f t="shared" si="1"/>
        <v>8</v>
      </c>
      <c r="G11" s="4">
        <f t="shared" si="2"/>
        <v>16</v>
      </c>
      <c r="H11" s="4">
        <f t="shared" si="3"/>
        <v>480</v>
      </c>
      <c r="I11" s="15">
        <f>(SQRT(4*J10*J10*V*V + 'Drilling Spec'!$C$42*J10 + W*('Drilling Spec'!$C$43 + 2*l*V*(s*W + 2*V*H11/(1+e)) + 'Drilling Spec'!$C$44)) - 'Drilling Spec'!$C$45)/(2*V)</f>
        <v>89.510213628273647</v>
      </c>
      <c r="J11" s="16">
        <f>IF(AND(OR(J10=0,J10=""),G11=0),IF(G12=0,"",'Drilling Spec'!$C$26),I11)</f>
        <v>89.510213628273647</v>
      </c>
      <c r="K11" s="16">
        <f>MAX(0,J11-'Drilling Spec'!$C$30)</f>
        <v>9.5102136282736467</v>
      </c>
      <c r="L11" s="18">
        <f>IFERROR(K11/'Drilling Spec'!$C$31,0)</f>
        <v>0.63401424188490973</v>
      </c>
      <c r="M11" s="21">
        <f t="shared" si="4"/>
        <v>0</v>
      </c>
      <c r="N11" s="4">
        <f t="shared" si="11"/>
        <v>0</v>
      </c>
      <c r="O11" s="21">
        <f t="shared" si="5"/>
        <v>0</v>
      </c>
      <c r="P11" s="18">
        <f>(SQRT(4*P10*P10*vB*vB + 'Drilling Spec'!$C$48*P10 + WB*('Drilling Spec'!$C$49 + 2*lB*vB*(sB*WB + 2*vB*O11/(1+eB)) + 'Drilling Spec'!$C$50)) - 'Drilling Spec'!$C$51)/(2*vB)</f>
        <v>0</v>
      </c>
      <c r="Q11" s="18" t="str">
        <f>IF(AND(OR(R10=0,R10=""),N11=0),IF(N12=0,"",'Drilling Spec'!$C$30),P11)</f>
        <v/>
      </c>
      <c r="S11">
        <f t="shared" si="13"/>
        <v>4</v>
      </c>
      <c r="T11" s="10"/>
      <c r="U11">
        <f>IF('Baseline 1 - Perfect, 24hr'!L12&gt;'Baseline 1 - Perfect, 24hr'!S11,'Drilling Spec'!$C$36,)</f>
        <v>0</v>
      </c>
      <c r="W11" s="17">
        <f>(J11-'Drilling Spec'!$C$26)/'Drilling Spec'!$C$38</f>
        <v>3.251702271378941</v>
      </c>
      <c r="X11" s="17">
        <f t="shared" si="6"/>
        <v>1.6128152849472668</v>
      </c>
      <c r="Y11" s="17">
        <f t="shared" si="7"/>
        <v>3.251702271378941</v>
      </c>
      <c r="Z11" s="10"/>
      <c r="AA11">
        <f>IF(Y11&lt;'Drilling Spec'!$C$39,,'Drilling Spec'!$C$39)</f>
        <v>0</v>
      </c>
      <c r="AD11" s="16">
        <f t="shared" si="8"/>
        <v>-89.510213628273647</v>
      </c>
      <c r="AE11" s="16" t="e">
        <f t="shared" si="9"/>
        <v>#N/A</v>
      </c>
      <c r="AF11">
        <f>-'Drilling Spec'!$C$29</f>
        <v>-720</v>
      </c>
      <c r="AG11">
        <f>-'Drilling Spec'!$C$27</f>
        <v>-624</v>
      </c>
      <c r="AH11">
        <f>-'Drilling Spec'!$C$28</f>
        <v>-688</v>
      </c>
      <c r="AI11" t="e">
        <f t="shared" si="10"/>
        <v>#N/A</v>
      </c>
      <c r="AJ11" t="e">
        <f>IF(T11=0,NA(),-'Drilling Spec'!$C$26/2)</f>
        <v>#N/A</v>
      </c>
      <c r="AK11" t="e">
        <f>IF(U11=0,NA(),-'Drilling Spec'!$C$26/2)</f>
        <v>#N/A</v>
      </c>
      <c r="AL11" t="e">
        <f>IF(Z11=0,NA(),-'Drilling Spec'!$C$26*3/2)</f>
        <v>#N/A</v>
      </c>
      <c r="AM11" t="e">
        <f>IF(AA11=0,NA(),-'Drilling Spec'!$C$26*3/2)</f>
        <v>#N/A</v>
      </c>
    </row>
    <row r="12" spans="1:63" x14ac:dyDescent="0.35">
      <c r="B12" s="2">
        <f t="shared" si="12"/>
        <v>45980</v>
      </c>
      <c r="C12" t="str">
        <f t="shared" si="0"/>
        <v>Wed</v>
      </c>
      <c r="D12" s="10" t="s">
        <v>9</v>
      </c>
      <c r="E12" s="10">
        <v>8</v>
      </c>
      <c r="F12" s="4">
        <f t="shared" si="1"/>
        <v>8</v>
      </c>
      <c r="G12" s="4">
        <f t="shared" si="2"/>
        <v>24</v>
      </c>
      <c r="H12" s="4">
        <f t="shared" si="3"/>
        <v>480</v>
      </c>
      <c r="I12" s="15">
        <f>(SQRT(4*J11*J11*V*V + 'Drilling Spec'!$C$42*J11 + W*('Drilling Spec'!$C$43 + 2*l*V*(s*W + 2*V*H12/(1+e)) + 'Drilling Spec'!$C$44)) - 'Drilling Spec'!$C$45)/(2*V)</f>
        <v>99.037911344051594</v>
      </c>
      <c r="J12" s="16">
        <f>IF(AND(OR(J11=0,J11=""),G12=0),IF(G13=0,"",'Drilling Spec'!$C$26),I12)</f>
        <v>99.037911344051594</v>
      </c>
      <c r="K12" s="16">
        <f>MAX(0,J12-'Drilling Spec'!$C$30)</f>
        <v>19.037911344051594</v>
      </c>
      <c r="L12" s="18">
        <f>IFERROR(K12/'Drilling Spec'!$C$31,0)</f>
        <v>1.2691940896034395</v>
      </c>
      <c r="M12" s="21">
        <f t="shared" si="4"/>
        <v>0</v>
      </c>
      <c r="N12" s="4">
        <f t="shared" si="11"/>
        <v>0</v>
      </c>
      <c r="O12" s="21">
        <f t="shared" si="5"/>
        <v>0</v>
      </c>
      <c r="P12" s="18">
        <f>(SQRT(4*P11*P11*vB*vB + 'Drilling Spec'!$C$48*P11 + WB*('Drilling Spec'!$C$49 + 2*lB*vB*(sB*WB + 2*vB*O12/(1+eB)) + 'Drilling Spec'!$C$50)) - 'Drilling Spec'!$C$51)/(2*vB)</f>
        <v>0</v>
      </c>
      <c r="Q12" s="18" t="str">
        <f>IF(AND(OR(R11=0,R11=""),N12=0),IF(N13=0,"",'Drilling Spec'!$C$30),P12)</f>
        <v/>
      </c>
      <c r="S12">
        <f t="shared" si="13"/>
        <v>4</v>
      </c>
      <c r="T12" s="10"/>
      <c r="U12">
        <f>IF('Baseline 1 - Perfect, 24hr'!L13&gt;'Baseline 1 - Perfect, 24hr'!S12,'Drilling Spec'!$C$36,)</f>
        <v>0</v>
      </c>
      <c r="W12" s="17">
        <f>(J12-'Drilling Spec'!$C$26)/'Drilling Spec'!$C$38</f>
        <v>4.8396518906752659</v>
      </c>
      <c r="X12" s="17">
        <f t="shared" si="6"/>
        <v>1.5879496192963249</v>
      </c>
      <c r="Y12" s="17">
        <f t="shared" si="7"/>
        <v>4.8396518906752659</v>
      </c>
      <c r="Z12" s="10"/>
      <c r="AA12">
        <f>IF(Y12&lt;'Drilling Spec'!$C$39,,'Drilling Spec'!$C$39)</f>
        <v>0</v>
      </c>
      <c r="AD12" s="16">
        <f t="shared" si="8"/>
        <v>-99.037911344051594</v>
      </c>
      <c r="AE12" s="16" t="e">
        <f t="shared" si="9"/>
        <v>#N/A</v>
      </c>
      <c r="AF12">
        <f>-'Drilling Spec'!$C$29</f>
        <v>-720</v>
      </c>
      <c r="AG12">
        <f>-'Drilling Spec'!$C$27</f>
        <v>-624</v>
      </c>
      <c r="AH12">
        <f>-'Drilling Spec'!$C$28</f>
        <v>-688</v>
      </c>
      <c r="AI12" t="e">
        <f t="shared" si="10"/>
        <v>#N/A</v>
      </c>
      <c r="AJ12" t="e">
        <f>IF(T12=0,NA(),-'Drilling Spec'!$C$26/2)</f>
        <v>#N/A</v>
      </c>
      <c r="AK12" t="e">
        <f>IF(U12=0,NA(),-'Drilling Spec'!$C$26/2)</f>
        <v>#N/A</v>
      </c>
      <c r="AL12" t="e">
        <f>IF(Z12=0,NA(),-'Drilling Spec'!$C$26*3/2)</f>
        <v>#N/A</v>
      </c>
      <c r="AM12" t="e">
        <f>IF(AA12=0,NA(),-'Drilling Spec'!$C$26*3/2)</f>
        <v>#N/A</v>
      </c>
    </row>
    <row r="13" spans="1:63" x14ac:dyDescent="0.35">
      <c r="B13" s="2">
        <f t="shared" si="12"/>
        <v>45981</v>
      </c>
      <c r="C13" t="str">
        <f t="shared" si="0"/>
        <v>Thu</v>
      </c>
      <c r="D13" s="10" t="s">
        <v>9</v>
      </c>
      <c r="E13" s="10">
        <v>24</v>
      </c>
      <c r="F13" s="4">
        <f t="shared" si="1"/>
        <v>24</v>
      </c>
      <c r="G13" s="4">
        <f t="shared" si="2"/>
        <v>48</v>
      </c>
      <c r="H13" s="4">
        <f t="shared" si="3"/>
        <v>1440</v>
      </c>
      <c r="I13" s="15">
        <f>(SQRT(4*J12*J12*V*V + 'Drilling Spec'!$C$42*J12 + W*('Drilling Spec'!$C$43 + 2*l*V*(s*W + 2*V*H13/(1+e)) + 'Drilling Spec'!$C$44)) - 'Drilling Spec'!$C$45)/(2*V)</f>
        <v>126.79040696937267</v>
      </c>
      <c r="J13" s="16">
        <f>IF(AND(OR(J12=0,J12=""),G13=0),IF(G14=0,"",'Drilling Spec'!$C$26),I13)</f>
        <v>126.79040696937267</v>
      </c>
      <c r="K13" s="16">
        <f>MAX(0,J13-'Drilling Spec'!$C$30)</f>
        <v>46.790406969372668</v>
      </c>
      <c r="L13" s="18">
        <f>IFERROR(K13/'Drilling Spec'!$C$31,0)</f>
        <v>3.1193604646248447</v>
      </c>
      <c r="M13" s="21">
        <f t="shared" si="4"/>
        <v>0</v>
      </c>
      <c r="N13" s="4">
        <f t="shared" si="11"/>
        <v>0</v>
      </c>
      <c r="O13" s="21">
        <f t="shared" si="5"/>
        <v>0</v>
      </c>
      <c r="P13" s="18">
        <f>(SQRT(4*P12*P12*vB*vB + 'Drilling Spec'!$C$48*P12 + WB*('Drilling Spec'!$C$49 + 2*lB*vB*(sB*WB + 2*vB*O13/(1+eB)) + 'Drilling Spec'!$C$50)) - 'Drilling Spec'!$C$51)/(2*vB)</f>
        <v>0</v>
      </c>
      <c r="Q13" s="18" t="str">
        <f>IF(AND(OR(R12=0,R12=""),N13=0),IF(N14=0,"",'Drilling Spec'!$C$30),P13)</f>
        <v/>
      </c>
      <c r="S13">
        <f t="shared" si="13"/>
        <v>4</v>
      </c>
      <c r="T13" s="10"/>
      <c r="U13">
        <f>IF('Baseline 1 - Perfect, 24hr'!L14&gt;'Baseline 1 - Perfect, 24hr'!S13,'Drilling Spec'!$C$36,)</f>
        <v>6</v>
      </c>
      <c r="W13" s="17">
        <f>(J13-'Drilling Spec'!$C$26)/'Drilling Spec'!$C$38</f>
        <v>9.4650678282287775</v>
      </c>
      <c r="X13" s="17">
        <f t="shared" si="6"/>
        <v>4.6254159375535115</v>
      </c>
      <c r="Y13" s="17">
        <f t="shared" si="7"/>
        <v>9.4650678282287775</v>
      </c>
      <c r="Z13" s="10"/>
      <c r="AA13">
        <f>IF(Y13&lt;'Drilling Spec'!$C$39,,'Drilling Spec'!$C$39)</f>
        <v>0</v>
      </c>
      <c r="AD13" s="16">
        <f t="shared" si="8"/>
        <v>-126.79040696937267</v>
      </c>
      <c r="AE13" s="16" t="e">
        <f t="shared" si="9"/>
        <v>#N/A</v>
      </c>
      <c r="AF13">
        <f>-'Drilling Spec'!$C$29</f>
        <v>-720</v>
      </c>
      <c r="AG13">
        <f>-'Drilling Spec'!$C$27</f>
        <v>-624</v>
      </c>
      <c r="AH13">
        <f>-'Drilling Spec'!$C$28</f>
        <v>-688</v>
      </c>
      <c r="AI13" t="e">
        <f t="shared" si="10"/>
        <v>#N/A</v>
      </c>
      <c r="AJ13" t="e">
        <f>IF(T13=0,NA(),-'Drilling Spec'!$C$26/2)</f>
        <v>#N/A</v>
      </c>
      <c r="AK13">
        <f>IF(U13=0,NA(),-'Drilling Spec'!$C$26/2)</f>
        <v>-35</v>
      </c>
      <c r="AL13" t="e">
        <f>IF(Z13=0,NA(),-'Drilling Spec'!$C$26*3/2)</f>
        <v>#N/A</v>
      </c>
      <c r="AM13" t="e">
        <f>IF(AA13=0,NA(),-'Drilling Spec'!$C$26*3/2)</f>
        <v>#N/A</v>
      </c>
    </row>
    <row r="14" spans="1:63" x14ac:dyDescent="0.35">
      <c r="B14" s="2">
        <f t="shared" si="12"/>
        <v>45982</v>
      </c>
      <c r="C14" t="str">
        <f t="shared" si="0"/>
        <v>Fri</v>
      </c>
      <c r="D14" s="10" t="s">
        <v>9</v>
      </c>
      <c r="E14" s="10">
        <v>24</v>
      </c>
      <c r="F14" s="4">
        <f t="shared" si="1"/>
        <v>24</v>
      </c>
      <c r="G14" s="4">
        <f t="shared" si="2"/>
        <v>72</v>
      </c>
      <c r="H14" s="4">
        <f t="shared" si="3"/>
        <v>1440</v>
      </c>
      <c r="I14" s="15">
        <f>(SQRT(4*J13*J13*V*V + 'Drilling Spec'!$C$42*J13 + W*('Drilling Spec'!$C$43 + 2*l*V*(s*W + 2*V*H14/(1+e)) + 'Drilling Spec'!$C$44)) - 'Drilling Spec'!$C$45)/(2*V)</f>
        <v>153.41443656587367</v>
      </c>
      <c r="J14" s="16">
        <f>IF(AND(OR(J13=0,J13=""),G14=0),IF(G15=0,"",'Drilling Spec'!$C$26),I14)</f>
        <v>153.41443656587367</v>
      </c>
      <c r="K14" s="16">
        <f>MAX(0,J14-'Drilling Spec'!$C$30)</f>
        <v>73.414436565873672</v>
      </c>
      <c r="L14" s="18">
        <f>IFERROR(K14/'Drilling Spec'!$C$31,0)</f>
        <v>4.8942957710582444</v>
      </c>
      <c r="M14" s="21">
        <f t="shared" si="4"/>
        <v>0</v>
      </c>
      <c r="N14" s="4">
        <f t="shared" si="11"/>
        <v>0</v>
      </c>
      <c r="O14" s="21">
        <f t="shared" si="5"/>
        <v>0</v>
      </c>
      <c r="P14" s="18">
        <f>(SQRT(4*P13*P13*vB*vB + 'Drilling Spec'!$C$48*P13 + WB*('Drilling Spec'!$C$49 + 2*lB*vB*(sB*WB + 2*vB*O14/(1+eB)) + 'Drilling Spec'!$C$50)) - 'Drilling Spec'!$C$51)/(2*vB)</f>
        <v>0</v>
      </c>
      <c r="Q14" s="18" t="str">
        <f>IF(AND(OR(R13=0,R13=""),N14=0),IF(N15=0,"",'Drilling Spec'!$C$30),P14)</f>
        <v/>
      </c>
      <c r="S14">
        <f t="shared" si="13"/>
        <v>10</v>
      </c>
      <c r="T14" s="10"/>
      <c r="U14">
        <f>IF('Baseline 1 - Perfect, 24hr'!L15&gt;'Baseline 1 - Perfect, 24hr'!S14,'Drilling Spec'!$C$36,)</f>
        <v>0</v>
      </c>
      <c r="W14" s="17">
        <f>(J14-'Drilling Spec'!$C$26)/'Drilling Spec'!$C$38</f>
        <v>13.902406094312278</v>
      </c>
      <c r="X14" s="17">
        <f t="shared" si="6"/>
        <v>4.4373382660835006</v>
      </c>
      <c r="Y14" s="17">
        <f t="shared" si="7"/>
        <v>13.902406094312278</v>
      </c>
      <c r="Z14" s="10"/>
      <c r="AA14">
        <f>IF(Y14&lt;'Drilling Spec'!$C$39,,'Drilling Spec'!$C$39)</f>
        <v>0</v>
      </c>
      <c r="AD14" s="16">
        <f t="shared" si="8"/>
        <v>-153.41443656587367</v>
      </c>
      <c r="AE14" s="16" t="e">
        <f t="shared" si="9"/>
        <v>#N/A</v>
      </c>
      <c r="AF14">
        <f>-'Drilling Spec'!$C$29</f>
        <v>-720</v>
      </c>
      <c r="AG14">
        <f>-'Drilling Spec'!$C$27</f>
        <v>-624</v>
      </c>
      <c r="AH14">
        <f>-'Drilling Spec'!$C$28</f>
        <v>-688</v>
      </c>
      <c r="AI14" t="e">
        <f t="shared" si="10"/>
        <v>#N/A</v>
      </c>
      <c r="AJ14" t="e">
        <f>IF(T14=0,NA(),-'Drilling Spec'!$C$26/2)</f>
        <v>#N/A</v>
      </c>
      <c r="AK14" t="e">
        <f>IF(U14=0,NA(),-'Drilling Spec'!$C$26/2)</f>
        <v>#N/A</v>
      </c>
      <c r="AL14" t="e">
        <f>IF(Z14=0,NA(),-'Drilling Spec'!$C$26*3/2)</f>
        <v>#N/A</v>
      </c>
      <c r="AM14" t="e">
        <f>IF(AA14=0,NA(),-'Drilling Spec'!$C$26*3/2)</f>
        <v>#N/A</v>
      </c>
    </row>
    <row r="15" spans="1:63" x14ac:dyDescent="0.35">
      <c r="B15" s="2">
        <f t="shared" si="12"/>
        <v>45983</v>
      </c>
      <c r="C15" t="str">
        <f t="shared" si="0"/>
        <v>Sat</v>
      </c>
      <c r="D15" s="10" t="s">
        <v>9</v>
      </c>
      <c r="E15" s="10">
        <v>24</v>
      </c>
      <c r="F15" s="4">
        <f t="shared" si="1"/>
        <v>24</v>
      </c>
      <c r="G15" s="4">
        <f t="shared" si="2"/>
        <v>96</v>
      </c>
      <c r="H15" s="4">
        <f t="shared" si="3"/>
        <v>1440</v>
      </c>
      <c r="I15" s="15">
        <f>(SQRT(4*J14*J14*V*V + 'Drilling Spec'!$C$42*J14 + W*('Drilling Spec'!$C$43 + 2*l*V*(s*W + 2*V*H15/(1+e)) + 'Drilling Spec'!$C$44)) - 'Drilling Spec'!$C$45)/(2*V)</f>
        <v>179.03739374715821</v>
      </c>
      <c r="J15" s="16">
        <f>IF(AND(OR(J14=0,J14=""),G15=0),IF(G16=0,"",'Drilling Spec'!$C$26),I15)</f>
        <v>179.03739374715821</v>
      </c>
      <c r="K15" s="16">
        <f>MAX(0,J15-'Drilling Spec'!$C$30)</f>
        <v>99.037393747158205</v>
      </c>
      <c r="L15" s="18">
        <f>IFERROR(K15/'Drilling Spec'!$C$31,0)</f>
        <v>6.6024929164772139</v>
      </c>
      <c r="M15" s="21">
        <f t="shared" si="4"/>
        <v>0</v>
      </c>
      <c r="N15" s="4">
        <f t="shared" si="11"/>
        <v>0</v>
      </c>
      <c r="O15" s="21">
        <f t="shared" si="5"/>
        <v>0</v>
      </c>
      <c r="P15" s="18">
        <f>(SQRT(4*P14*P14*vB*vB + 'Drilling Spec'!$C$48*P14 + WB*('Drilling Spec'!$C$49 + 2*lB*vB*(sB*WB + 2*vB*O15/(1+eB)) + 'Drilling Spec'!$C$50)) - 'Drilling Spec'!$C$51)/(2*vB)</f>
        <v>0</v>
      </c>
      <c r="Q15" s="18" t="str">
        <f>IF(AND(OR(R14=0,R14=""),N15=0),IF(N16=0,"",'Drilling Spec'!$C$30),P15)</f>
        <v/>
      </c>
      <c r="S15">
        <f t="shared" si="13"/>
        <v>10</v>
      </c>
      <c r="T15" s="10"/>
      <c r="U15">
        <f>IF('Baseline 1 - Perfect, 24hr'!L16&gt;'Baseline 1 - Perfect, 24hr'!S15,'Drilling Spec'!$C$36,)</f>
        <v>0</v>
      </c>
      <c r="W15" s="17">
        <f>(J15-'Drilling Spec'!$C$26)/'Drilling Spec'!$C$38</f>
        <v>18.172898957859701</v>
      </c>
      <c r="X15" s="17">
        <f t="shared" si="6"/>
        <v>4.2704928635474229</v>
      </c>
      <c r="Y15" s="17">
        <f t="shared" si="7"/>
        <v>18.172898957859701</v>
      </c>
      <c r="Z15" s="10"/>
      <c r="AA15">
        <f>IF(Y15&lt;'Drilling Spec'!$C$39,,'Drilling Spec'!$C$39)</f>
        <v>0</v>
      </c>
      <c r="AD15" s="16">
        <f t="shared" si="8"/>
        <v>-179.03739374715821</v>
      </c>
      <c r="AE15" s="16" t="e">
        <f t="shared" si="9"/>
        <v>#N/A</v>
      </c>
      <c r="AF15">
        <f>-'Drilling Spec'!$C$29</f>
        <v>-720</v>
      </c>
      <c r="AG15">
        <f>-'Drilling Spec'!$C$27</f>
        <v>-624</v>
      </c>
      <c r="AH15">
        <f>-'Drilling Spec'!$C$28</f>
        <v>-688</v>
      </c>
      <c r="AI15" t="e">
        <f t="shared" si="10"/>
        <v>#N/A</v>
      </c>
      <c r="AJ15" t="e">
        <f>IF(T15=0,NA(),-'Drilling Spec'!$C$26/2)</f>
        <v>#N/A</v>
      </c>
      <c r="AK15" t="e">
        <f>IF(U15=0,NA(),-'Drilling Spec'!$C$26/2)</f>
        <v>#N/A</v>
      </c>
      <c r="AL15" t="e">
        <f>IF(Z15=0,NA(),-'Drilling Spec'!$C$26*3/2)</f>
        <v>#N/A</v>
      </c>
      <c r="AM15" t="e">
        <f>IF(AA15=0,NA(),-'Drilling Spec'!$C$26*3/2)</f>
        <v>#N/A</v>
      </c>
    </row>
    <row r="16" spans="1:63" x14ac:dyDescent="0.35">
      <c r="B16" s="2">
        <f t="shared" si="12"/>
        <v>45984</v>
      </c>
      <c r="C16" t="str">
        <f t="shared" si="0"/>
        <v>Sun</v>
      </c>
      <c r="D16" s="10" t="s">
        <v>9</v>
      </c>
      <c r="E16" s="10">
        <v>24</v>
      </c>
      <c r="F16" s="4">
        <f t="shared" si="1"/>
        <v>24</v>
      </c>
      <c r="G16" s="4">
        <f t="shared" si="2"/>
        <v>120</v>
      </c>
      <c r="H16" s="4">
        <f t="shared" si="3"/>
        <v>1440</v>
      </c>
      <c r="I16" s="15">
        <f>(SQRT(4*J15*J15*V*V + 'Drilling Spec'!$C$42*J15 + W*('Drilling Spec'!$C$43 + 2*l*V*(s*W + 2*V*H16/(1+e)) + 'Drilling Spec'!$C$44)) - 'Drilling Spec'!$C$45)/(2*V)</f>
        <v>203.76436685764563</v>
      </c>
      <c r="J16" s="16">
        <f>IF(AND(OR(J15=0,J15=""),G16=0),IF(G17=0,"",'Drilling Spec'!$C$26),I16)</f>
        <v>203.76436685764563</v>
      </c>
      <c r="K16" s="16">
        <f>MAX(0,J16-'Drilling Spec'!$C$30)</f>
        <v>123.76436685764563</v>
      </c>
      <c r="L16" s="18">
        <f>IFERROR(K16/'Drilling Spec'!$C$31,0)</f>
        <v>8.2509577905097089</v>
      </c>
      <c r="M16" s="21">
        <f t="shared" si="4"/>
        <v>0</v>
      </c>
      <c r="N16" s="4">
        <f t="shared" si="11"/>
        <v>0</v>
      </c>
      <c r="O16" s="21">
        <f t="shared" si="5"/>
        <v>0</v>
      </c>
      <c r="P16" s="18">
        <f>(SQRT(4*P15*P15*vB*vB + 'Drilling Spec'!$C$48*P15 + WB*('Drilling Spec'!$C$49 + 2*lB*vB*(sB*WB + 2*vB*O16/(1+eB)) + 'Drilling Spec'!$C$50)) - 'Drilling Spec'!$C$51)/(2*vB)</f>
        <v>0</v>
      </c>
      <c r="Q16" s="18" t="str">
        <f>IF(AND(OR(R15=0,R15=""),N16=0),IF(N17=0,"",'Drilling Spec'!$C$30),P16)</f>
        <v/>
      </c>
      <c r="S16">
        <f t="shared" si="13"/>
        <v>10</v>
      </c>
      <c r="T16" s="10"/>
      <c r="U16">
        <f>IF('Baseline 1 - Perfect, 24hr'!L17&gt;'Baseline 1 - Perfect, 24hr'!S16,'Drilling Spec'!$C$36,)</f>
        <v>0</v>
      </c>
      <c r="W16" s="17">
        <f>(J16-'Drilling Spec'!$C$26)/'Drilling Spec'!$C$38</f>
        <v>22.294061142940937</v>
      </c>
      <c r="X16" s="17">
        <f t="shared" si="6"/>
        <v>4.1211621850812357</v>
      </c>
      <c r="Y16" s="17">
        <f t="shared" si="7"/>
        <v>22.294061142940937</v>
      </c>
      <c r="Z16" s="10"/>
      <c r="AA16">
        <f>IF(Y16&lt;'Drilling Spec'!$C$39,,'Drilling Spec'!$C$39)</f>
        <v>20</v>
      </c>
      <c r="AD16" s="16">
        <f t="shared" si="8"/>
        <v>-203.76436685764563</v>
      </c>
      <c r="AE16" s="16" t="e">
        <f t="shared" si="9"/>
        <v>#N/A</v>
      </c>
      <c r="AF16">
        <f>-'Drilling Spec'!$C$29</f>
        <v>-720</v>
      </c>
      <c r="AG16">
        <f>-'Drilling Spec'!$C$27</f>
        <v>-624</v>
      </c>
      <c r="AH16">
        <f>-'Drilling Spec'!$C$28</f>
        <v>-688</v>
      </c>
      <c r="AI16" t="e">
        <f t="shared" si="10"/>
        <v>#N/A</v>
      </c>
      <c r="AJ16" t="e">
        <f>IF(T16=0,NA(),-'Drilling Spec'!$C$26/2)</f>
        <v>#N/A</v>
      </c>
      <c r="AK16" t="e">
        <f>IF(U16=0,NA(),-'Drilling Spec'!$C$26/2)</f>
        <v>#N/A</v>
      </c>
      <c r="AL16" t="e">
        <f>IF(Z16=0,NA(),-'Drilling Spec'!$C$26*3/2)</f>
        <v>#N/A</v>
      </c>
      <c r="AM16">
        <f>IF(AA16=0,NA(),-'Drilling Spec'!$C$26*3/2)</f>
        <v>-105</v>
      </c>
    </row>
    <row r="17" spans="2:39" x14ac:dyDescent="0.35">
      <c r="B17" s="2">
        <f t="shared" si="12"/>
        <v>45985</v>
      </c>
      <c r="C17" t="str">
        <f t="shared" si="0"/>
        <v>Mon</v>
      </c>
      <c r="D17" s="10" t="s">
        <v>7</v>
      </c>
      <c r="E17" s="10">
        <v>0</v>
      </c>
      <c r="F17" s="4">
        <f t="shared" si="1"/>
        <v>0</v>
      </c>
      <c r="G17" s="4">
        <f t="shared" si="2"/>
        <v>120</v>
      </c>
      <c r="H17" s="4">
        <f t="shared" si="3"/>
        <v>0</v>
      </c>
      <c r="I17" s="15">
        <f>(SQRT(4*J16*J16*V*V + 'Drilling Spec'!$C$42*J16 + W*('Drilling Spec'!$C$43 + 2*l*V*(s*W + 2*V*H17/(1+e)) + 'Drilling Spec'!$C$44)) - 'Drilling Spec'!$C$45)/(2*V)</f>
        <v>203.76436685764563</v>
      </c>
      <c r="J17" s="16">
        <f>IF(AND(OR(J16=0,J16=""),G17=0),IF(G18=0,"",'Drilling Spec'!$C$26),I17)</f>
        <v>203.76436685764563</v>
      </c>
      <c r="K17" s="16">
        <f>MAX(0,J17-'Drilling Spec'!$C$30)</f>
        <v>123.76436685764563</v>
      </c>
      <c r="L17" s="18">
        <f>IFERROR(K17/'Drilling Spec'!$C$31,0)</f>
        <v>8.2509577905097089</v>
      </c>
      <c r="M17" s="21">
        <f t="shared" si="4"/>
        <v>0</v>
      </c>
      <c r="N17" s="4">
        <f t="shared" si="11"/>
        <v>0</v>
      </c>
      <c r="O17" s="21">
        <f t="shared" si="5"/>
        <v>0</v>
      </c>
      <c r="P17" s="18">
        <f>(SQRT(4*P16*P16*vB*vB + 'Drilling Spec'!$C$48*P16 + WB*('Drilling Spec'!$C$49 + 2*lB*vB*(sB*WB + 2*vB*O17/(1+eB)) + 'Drilling Spec'!$C$50)) - 'Drilling Spec'!$C$51)/(2*vB)</f>
        <v>0</v>
      </c>
      <c r="Q17" s="18" t="str">
        <f>IF(AND(OR(R16=0,R16=""),N17=0),IF(N18=0,"",'Drilling Spec'!$C$30),P17)</f>
        <v/>
      </c>
      <c r="S17">
        <f t="shared" si="13"/>
        <v>10</v>
      </c>
      <c r="T17" s="10"/>
      <c r="U17">
        <f>IF('Baseline 1 - Perfect, 24hr'!L18&gt;'Baseline 1 - Perfect, 24hr'!S17,'Drilling Spec'!$C$36,)</f>
        <v>0</v>
      </c>
      <c r="W17" s="17">
        <f>(J17-'Drilling Spec'!$C$26)/'Drilling Spec'!$C$38</f>
        <v>22.294061142940937</v>
      </c>
      <c r="X17" s="17">
        <f t="shared" si="6"/>
        <v>0</v>
      </c>
      <c r="Y17" s="17">
        <f t="shared" si="7"/>
        <v>2.2940611429409365</v>
      </c>
      <c r="Z17" s="10"/>
      <c r="AA17">
        <f>IF(Y17&lt;'Drilling Spec'!$C$39,,'Drilling Spec'!$C$39)</f>
        <v>0</v>
      </c>
      <c r="AD17" s="16">
        <f t="shared" si="8"/>
        <v>-203.76436685764563</v>
      </c>
      <c r="AE17" s="16" t="e">
        <f t="shared" si="9"/>
        <v>#N/A</v>
      </c>
      <c r="AF17">
        <f>-'Drilling Spec'!$C$29</f>
        <v>-720</v>
      </c>
      <c r="AG17">
        <f>-'Drilling Spec'!$C$27</f>
        <v>-624</v>
      </c>
      <c r="AH17">
        <f>-'Drilling Spec'!$C$28</f>
        <v>-688</v>
      </c>
      <c r="AI17" t="e">
        <f t="shared" si="10"/>
        <v>#N/A</v>
      </c>
      <c r="AJ17" t="e">
        <f>IF(T17=0,NA(),-'Drilling Spec'!$C$26/2)</f>
        <v>#N/A</v>
      </c>
      <c r="AK17" t="e">
        <f>IF(U17=0,NA(),-'Drilling Spec'!$C$26/2)</f>
        <v>#N/A</v>
      </c>
      <c r="AL17" t="e">
        <f>IF(Z17=0,NA(),-'Drilling Spec'!$C$26*3/2)</f>
        <v>#N/A</v>
      </c>
      <c r="AM17" t="e">
        <f>IF(AA17=0,NA(),-'Drilling Spec'!$C$26*3/2)</f>
        <v>#N/A</v>
      </c>
    </row>
    <row r="18" spans="2:39" x14ac:dyDescent="0.35">
      <c r="B18" s="2">
        <f t="shared" si="12"/>
        <v>45986</v>
      </c>
      <c r="C18" t="str">
        <f t="shared" si="0"/>
        <v>Tue</v>
      </c>
      <c r="D18" s="10" t="s">
        <v>9</v>
      </c>
      <c r="E18" s="10">
        <v>24</v>
      </c>
      <c r="F18" s="4">
        <f t="shared" si="1"/>
        <v>24</v>
      </c>
      <c r="G18" s="4">
        <f t="shared" si="2"/>
        <v>144</v>
      </c>
      <c r="H18" s="4">
        <f t="shared" si="3"/>
        <v>1440</v>
      </c>
      <c r="I18" s="15">
        <f>(SQRT(4*J17*J17*V*V + 'Drilling Spec'!$C$42*J17 + W*('Drilling Spec'!$C$43 + 2*l*V*(s*W + 2*V*H18/(1+e)) + 'Drilling Spec'!$C$44)) - 'Drilling Spec'!$C$45)/(2*V)</f>
        <v>227.6832514206119</v>
      </c>
      <c r="J18" s="16">
        <f>IF(AND(OR(J17=0,J17=""),G18=0),IF(G19=0,"",'Drilling Spec'!$C$26),I18)</f>
        <v>227.6832514206119</v>
      </c>
      <c r="K18" s="16">
        <f>MAX(0,J18-'Drilling Spec'!$C$30)</f>
        <v>147.6832514206119</v>
      </c>
      <c r="L18" s="18">
        <f>IFERROR(K18/'Drilling Spec'!$C$31,0)</f>
        <v>9.845550094707459</v>
      </c>
      <c r="M18" s="21">
        <f t="shared" si="4"/>
        <v>0</v>
      </c>
      <c r="N18" s="4">
        <f t="shared" si="11"/>
        <v>0</v>
      </c>
      <c r="O18" s="21">
        <f t="shared" si="5"/>
        <v>0</v>
      </c>
      <c r="P18" s="18">
        <f>(SQRT(4*P17*P17*vB*vB + 'Drilling Spec'!$C$48*P17 + WB*('Drilling Spec'!$C$49 + 2*lB*vB*(sB*WB + 2*vB*O18/(1+eB)) + 'Drilling Spec'!$C$50)) - 'Drilling Spec'!$C$51)/(2*vB)</f>
        <v>0</v>
      </c>
      <c r="Q18" s="18" t="str">
        <f>IF(AND(OR(R17=0,R17=""),N18=0),IF(N19=0,"",'Drilling Spec'!$C$30),P18)</f>
        <v/>
      </c>
      <c r="S18">
        <f t="shared" si="13"/>
        <v>10</v>
      </c>
      <c r="T18" s="10"/>
      <c r="U18">
        <f>IF('Baseline 1 - Perfect, 24hr'!L19&gt;'Baseline 1 - Perfect, 24hr'!S18,'Drilling Spec'!$C$36,)</f>
        <v>6</v>
      </c>
      <c r="W18" s="17">
        <f>(J18-'Drilling Spec'!$C$26)/'Drilling Spec'!$C$38</f>
        <v>26.280541903435317</v>
      </c>
      <c r="X18" s="17">
        <f t="shared" si="6"/>
        <v>3.9864807604943806</v>
      </c>
      <c r="Y18" s="17">
        <f t="shared" si="7"/>
        <v>6.2805419034353172</v>
      </c>
      <c r="Z18" s="10"/>
      <c r="AA18">
        <f>IF(Y18&lt;'Drilling Spec'!$C$39,,'Drilling Spec'!$C$39)</f>
        <v>0</v>
      </c>
      <c r="AD18" s="16">
        <f t="shared" si="8"/>
        <v>-227.6832514206119</v>
      </c>
      <c r="AE18" s="16" t="e">
        <f t="shared" si="9"/>
        <v>#N/A</v>
      </c>
      <c r="AF18">
        <f>-'Drilling Spec'!$C$29</f>
        <v>-720</v>
      </c>
      <c r="AG18">
        <f>-'Drilling Spec'!$C$27</f>
        <v>-624</v>
      </c>
      <c r="AH18">
        <f>-'Drilling Spec'!$C$28</f>
        <v>-688</v>
      </c>
      <c r="AI18" t="e">
        <f t="shared" si="10"/>
        <v>#N/A</v>
      </c>
      <c r="AJ18" t="e">
        <f>IF(T18=0,NA(),-'Drilling Spec'!$C$26/2)</f>
        <v>#N/A</v>
      </c>
      <c r="AK18">
        <f>IF(U18=0,NA(),-'Drilling Spec'!$C$26/2)</f>
        <v>-35</v>
      </c>
      <c r="AL18" t="e">
        <f>IF(Z18=0,NA(),-'Drilling Spec'!$C$26*3/2)</f>
        <v>#N/A</v>
      </c>
      <c r="AM18" t="e">
        <f>IF(AA18=0,NA(),-'Drilling Spec'!$C$26*3/2)</f>
        <v>#N/A</v>
      </c>
    </row>
    <row r="19" spans="2:39" x14ac:dyDescent="0.35">
      <c r="B19" s="2">
        <f t="shared" si="12"/>
        <v>45987</v>
      </c>
      <c r="C19" t="str">
        <f t="shared" si="0"/>
        <v>Wed</v>
      </c>
      <c r="D19" s="10" t="s">
        <v>9</v>
      </c>
      <c r="E19" s="10">
        <v>24</v>
      </c>
      <c r="F19" s="4">
        <f t="shared" si="1"/>
        <v>24</v>
      </c>
      <c r="G19" s="4">
        <f t="shared" si="2"/>
        <v>168</v>
      </c>
      <c r="H19" s="4">
        <f t="shared" si="3"/>
        <v>1440</v>
      </c>
      <c r="I19" s="15">
        <f>(SQRT(4*J18*J18*V*V + 'Drilling Spec'!$C$42*J18 + W*('Drilling Spec'!$C$43 + 2*l*V*(s*W + 2*V*H19/(1+e)) + 'Drilling Spec'!$C$44)) - 'Drilling Spec'!$C$45)/(2*V)</f>
        <v>250.8684479303349</v>
      </c>
      <c r="J19" s="16">
        <f>IF(AND(OR(J18=0,J18=""),G19=0),IF(G20=0,"",'Drilling Spec'!$C$26),I19)</f>
        <v>250.8684479303349</v>
      </c>
      <c r="K19" s="16">
        <f>MAX(0,J19-'Drilling Spec'!$C$30)</f>
        <v>170.8684479303349</v>
      </c>
      <c r="L19" s="18">
        <f>IFERROR(K19/'Drilling Spec'!$C$31,0)</f>
        <v>11.391229862022326</v>
      </c>
      <c r="M19" s="21">
        <f t="shared" si="4"/>
        <v>0</v>
      </c>
      <c r="N19" s="4">
        <f t="shared" si="11"/>
        <v>0</v>
      </c>
      <c r="O19" s="21">
        <f t="shared" si="5"/>
        <v>0</v>
      </c>
      <c r="P19" s="18">
        <f>(SQRT(4*P18*P18*vB*vB + 'Drilling Spec'!$C$48*P18 + WB*('Drilling Spec'!$C$49 + 2*lB*vB*(sB*WB + 2*vB*O19/(1+eB)) + 'Drilling Spec'!$C$50)) - 'Drilling Spec'!$C$51)/(2*vB)</f>
        <v>0</v>
      </c>
      <c r="Q19" s="18" t="str">
        <f>IF(AND(OR(R18=0,R18=""),N19=0),IF(N20=0,"",'Drilling Spec'!$C$30),P19)</f>
        <v/>
      </c>
      <c r="S19">
        <f t="shared" si="13"/>
        <v>16</v>
      </c>
      <c r="T19" s="10"/>
      <c r="U19">
        <f>IF('Baseline 1 - Perfect, 24hr'!L20&gt;'Baseline 1 - Perfect, 24hr'!S19,'Drilling Spec'!$C$36,)</f>
        <v>0</v>
      </c>
      <c r="W19" s="17">
        <f>(J19-'Drilling Spec'!$C$26)/'Drilling Spec'!$C$38</f>
        <v>30.144741321722481</v>
      </c>
      <c r="X19" s="17">
        <f t="shared" si="6"/>
        <v>3.8641994182871642</v>
      </c>
      <c r="Y19" s="17">
        <f t="shared" si="7"/>
        <v>10.144741321722481</v>
      </c>
      <c r="Z19" s="10"/>
      <c r="AA19">
        <f>IF(Y19&lt;'Drilling Spec'!$C$39,,'Drilling Spec'!$C$39)</f>
        <v>0</v>
      </c>
      <c r="AD19" s="16">
        <f t="shared" si="8"/>
        <v>-250.8684479303349</v>
      </c>
      <c r="AE19" s="16" t="e">
        <f t="shared" si="9"/>
        <v>#N/A</v>
      </c>
      <c r="AF19">
        <f>-'Drilling Spec'!$C$29</f>
        <v>-720</v>
      </c>
      <c r="AG19">
        <f>-'Drilling Spec'!$C$27</f>
        <v>-624</v>
      </c>
      <c r="AH19">
        <f>-'Drilling Spec'!$C$28</f>
        <v>-688</v>
      </c>
      <c r="AI19" t="e">
        <f t="shared" si="10"/>
        <v>#N/A</v>
      </c>
      <c r="AJ19" t="e">
        <f>IF(T19=0,NA(),-'Drilling Spec'!$C$26/2)</f>
        <v>#N/A</v>
      </c>
      <c r="AK19" t="e">
        <f>IF(U19=0,NA(),-'Drilling Spec'!$C$26/2)</f>
        <v>#N/A</v>
      </c>
      <c r="AL19" t="e">
        <f>IF(Z19=0,NA(),-'Drilling Spec'!$C$26*3/2)</f>
        <v>#N/A</v>
      </c>
      <c r="AM19" t="e">
        <f>IF(AA19=0,NA(),-'Drilling Spec'!$C$26*3/2)</f>
        <v>#N/A</v>
      </c>
    </row>
    <row r="20" spans="2:39" x14ac:dyDescent="0.35">
      <c r="B20" s="2">
        <f t="shared" si="12"/>
        <v>45988</v>
      </c>
      <c r="C20" t="str">
        <f t="shared" si="0"/>
        <v>Thu</v>
      </c>
      <c r="D20" s="10" t="s">
        <v>9</v>
      </c>
      <c r="E20" s="10">
        <v>24</v>
      </c>
      <c r="F20" s="4">
        <f t="shared" si="1"/>
        <v>24</v>
      </c>
      <c r="G20" s="4">
        <f t="shared" si="2"/>
        <v>192</v>
      </c>
      <c r="H20" s="4">
        <f t="shared" si="3"/>
        <v>1440</v>
      </c>
      <c r="I20" s="15">
        <f>(SQRT(4*J19*J19*V*V + 'Drilling Spec'!$C$42*J19 + W*('Drilling Spec'!$C$43 + 2*l*V*(s*W + 2*V*H20/(1+e)) + 'Drilling Spec'!$C$44)) - 'Drilling Spec'!$C$45)/(2*V)</f>
        <v>273.38359589594342</v>
      </c>
      <c r="J20" s="16">
        <f>IF(AND(OR(J19=0,J19=""),G20=0),IF(G21=0,"",'Drilling Spec'!$C$26),I20)</f>
        <v>273.38359589594342</v>
      </c>
      <c r="K20" s="16">
        <f>MAX(0,J20-'Drilling Spec'!$C$30)</f>
        <v>193.38359589594342</v>
      </c>
      <c r="L20" s="18">
        <f>IFERROR(K20/'Drilling Spec'!$C$31,0)</f>
        <v>12.892239726396229</v>
      </c>
      <c r="M20" s="21">
        <f t="shared" si="4"/>
        <v>0</v>
      </c>
      <c r="N20" s="4">
        <f t="shared" si="11"/>
        <v>0</v>
      </c>
      <c r="O20" s="21">
        <f t="shared" si="5"/>
        <v>0</v>
      </c>
      <c r="P20" s="18">
        <f>(SQRT(4*P19*P19*vB*vB + 'Drilling Spec'!$C$48*P19 + WB*('Drilling Spec'!$C$49 + 2*lB*vB*(sB*WB + 2*vB*O20/(1+eB)) + 'Drilling Spec'!$C$50)) - 'Drilling Spec'!$C$51)/(2*vB)</f>
        <v>0</v>
      </c>
      <c r="Q20" s="18" t="str">
        <f>IF(AND(OR(R19=0,R19=""),N20=0),IF(N21=0,"",'Drilling Spec'!$C$30),P20)</f>
        <v/>
      </c>
      <c r="S20">
        <f t="shared" si="13"/>
        <v>16</v>
      </c>
      <c r="T20" s="10"/>
      <c r="U20">
        <f>IF('Baseline 1 - Perfect, 24hr'!L21&gt;'Baseline 1 - Perfect, 24hr'!S20,'Drilling Spec'!$C$36,)</f>
        <v>0</v>
      </c>
      <c r="W20" s="17">
        <f>(J20-'Drilling Spec'!$C$26)/'Drilling Spec'!$C$38</f>
        <v>33.897265982657238</v>
      </c>
      <c r="X20" s="17">
        <f t="shared" si="6"/>
        <v>3.7525246609347569</v>
      </c>
      <c r="Y20" s="17">
        <f t="shared" si="7"/>
        <v>13.897265982657238</v>
      </c>
      <c r="Z20" s="10"/>
      <c r="AA20">
        <f>IF(Y20&lt;'Drilling Spec'!$C$39,,'Drilling Spec'!$C$39)</f>
        <v>0</v>
      </c>
      <c r="AD20" s="16">
        <f t="shared" si="8"/>
        <v>-273.38359589594342</v>
      </c>
      <c r="AE20" s="16" t="e">
        <f t="shared" si="9"/>
        <v>#N/A</v>
      </c>
      <c r="AF20">
        <f>-'Drilling Spec'!$C$29</f>
        <v>-720</v>
      </c>
      <c r="AG20">
        <f>-'Drilling Spec'!$C$27</f>
        <v>-624</v>
      </c>
      <c r="AH20">
        <f>-'Drilling Spec'!$C$28</f>
        <v>-688</v>
      </c>
      <c r="AI20" t="e">
        <f t="shared" si="10"/>
        <v>#N/A</v>
      </c>
      <c r="AJ20" t="e">
        <f>IF(T20=0,NA(),-'Drilling Spec'!$C$26/2)</f>
        <v>#N/A</v>
      </c>
      <c r="AK20" t="e">
        <f>IF(U20=0,NA(),-'Drilling Spec'!$C$26/2)</f>
        <v>#N/A</v>
      </c>
      <c r="AL20" t="e">
        <f>IF(Z20=0,NA(),-'Drilling Spec'!$C$26*3/2)</f>
        <v>#N/A</v>
      </c>
      <c r="AM20" t="e">
        <f>IF(AA20=0,NA(),-'Drilling Spec'!$C$26*3/2)</f>
        <v>#N/A</v>
      </c>
    </row>
    <row r="21" spans="2:39" x14ac:dyDescent="0.35">
      <c r="B21" s="2">
        <f t="shared" si="12"/>
        <v>45989</v>
      </c>
      <c r="C21" t="str">
        <f t="shared" si="0"/>
        <v>Fri</v>
      </c>
      <c r="D21" s="10" t="s">
        <v>9</v>
      </c>
      <c r="E21" s="10">
        <v>24</v>
      </c>
      <c r="F21" s="4">
        <f t="shared" si="1"/>
        <v>24</v>
      </c>
      <c r="G21" s="4">
        <f t="shared" si="2"/>
        <v>216</v>
      </c>
      <c r="H21" s="4">
        <f t="shared" si="3"/>
        <v>1440</v>
      </c>
      <c r="I21" s="15">
        <f>(SQRT(4*J20*J20*V*V + 'Drilling Spec'!$C$42*J20 + W*('Drilling Spec'!$C$43 + 2*l*V*(s*W + 2*V*H21/(1+e)) + 'Drilling Spec'!$C$44)) - 'Drilling Spec'!$C$45)/(2*V)</f>
        <v>295.28363443552161</v>
      </c>
      <c r="J21" s="16">
        <f>IF(AND(OR(J20=0,J20=""),G21=0),IF(G22=0,"",'Drilling Spec'!$C$26),I21)</f>
        <v>295.28363443552161</v>
      </c>
      <c r="K21" s="16">
        <f>MAX(0,J21-'Drilling Spec'!$C$30)</f>
        <v>215.28363443552161</v>
      </c>
      <c r="L21" s="18">
        <f>IFERROR(K21/'Drilling Spec'!$C$31,0)</f>
        <v>14.352242295701441</v>
      </c>
      <c r="M21" s="21">
        <f t="shared" si="4"/>
        <v>0</v>
      </c>
      <c r="N21" s="4">
        <f t="shared" si="11"/>
        <v>0</v>
      </c>
      <c r="O21" s="21">
        <f t="shared" si="5"/>
        <v>0</v>
      </c>
      <c r="P21" s="18">
        <f>(SQRT(4*P20*P20*vB*vB + 'Drilling Spec'!$C$48*P20 + WB*('Drilling Spec'!$C$49 + 2*lB*vB*(sB*WB + 2*vB*O21/(1+eB)) + 'Drilling Spec'!$C$50)) - 'Drilling Spec'!$C$51)/(2*vB)</f>
        <v>0</v>
      </c>
      <c r="Q21" s="18" t="str">
        <f>IF(AND(OR(R20=0,R20=""),N21=0),IF(N22=0,"",'Drilling Spec'!$C$30),P21)</f>
        <v/>
      </c>
      <c r="S21">
        <f t="shared" si="13"/>
        <v>16</v>
      </c>
      <c r="T21" s="10"/>
      <c r="U21">
        <f>IF('Baseline 1 - Perfect, 24hr'!L22&gt;'Baseline 1 - Perfect, 24hr'!S21,'Drilling Spec'!$C$36,)</f>
        <v>0</v>
      </c>
      <c r="W21" s="17">
        <f>(J21-'Drilling Spec'!$C$26)/'Drilling Spec'!$C$38</f>
        <v>37.547272405920268</v>
      </c>
      <c r="X21" s="17">
        <f t="shared" si="6"/>
        <v>3.6500064232630294</v>
      </c>
      <c r="Y21" s="17">
        <f t="shared" si="7"/>
        <v>17.547272405920268</v>
      </c>
      <c r="Z21" s="10"/>
      <c r="AA21">
        <f>IF(Y21&lt;'Drilling Spec'!$C$39,,'Drilling Spec'!$C$39)</f>
        <v>0</v>
      </c>
      <c r="AD21" s="16">
        <f t="shared" si="8"/>
        <v>-295.28363443552161</v>
      </c>
      <c r="AE21" s="16" t="e">
        <f t="shared" si="9"/>
        <v>#N/A</v>
      </c>
      <c r="AF21">
        <f>-'Drilling Spec'!$C$29</f>
        <v>-720</v>
      </c>
      <c r="AG21">
        <f>-'Drilling Spec'!$C$27</f>
        <v>-624</v>
      </c>
      <c r="AH21">
        <f>-'Drilling Spec'!$C$28</f>
        <v>-688</v>
      </c>
      <c r="AI21" t="e">
        <f t="shared" si="10"/>
        <v>#N/A</v>
      </c>
      <c r="AJ21" t="e">
        <f>IF(T21=0,NA(),-'Drilling Spec'!$C$26/2)</f>
        <v>#N/A</v>
      </c>
      <c r="AK21" t="e">
        <f>IF(U21=0,NA(),-'Drilling Spec'!$C$26/2)</f>
        <v>#N/A</v>
      </c>
      <c r="AL21" t="e">
        <f>IF(Z21=0,NA(),-'Drilling Spec'!$C$26*3/2)</f>
        <v>#N/A</v>
      </c>
      <c r="AM21" t="e">
        <f>IF(AA21=0,NA(),-'Drilling Spec'!$C$26*3/2)</f>
        <v>#N/A</v>
      </c>
    </row>
    <row r="22" spans="2:39" x14ac:dyDescent="0.35">
      <c r="B22" s="2">
        <f t="shared" si="12"/>
        <v>45990</v>
      </c>
      <c r="C22" t="str">
        <f t="shared" si="0"/>
        <v>Sat</v>
      </c>
      <c r="D22" s="10" t="s">
        <v>9</v>
      </c>
      <c r="E22" s="10">
        <v>24</v>
      </c>
      <c r="F22" s="4">
        <f t="shared" si="1"/>
        <v>24</v>
      </c>
      <c r="G22" s="4">
        <f t="shared" si="2"/>
        <v>240</v>
      </c>
      <c r="H22" s="4">
        <f t="shared" si="3"/>
        <v>1440</v>
      </c>
      <c r="I22" s="15">
        <f>(SQRT(4*J21*J21*V*V + 'Drilling Spec'!$C$42*J21 + W*('Drilling Spec'!$C$43 + 2*l*V*(s*W + 2*V*H22/(1+e)) + 'Drilling Spec'!$C$44)) - 'Drilling Spec'!$C$45)/(2*V)</f>
        <v>316.6163817101509</v>
      </c>
      <c r="J22" s="16">
        <f>IF(AND(OR(J21=0,J21=""),G22=0),IF(G23=0,"",'Drilling Spec'!$C$26),I22)</f>
        <v>316.6163817101509</v>
      </c>
      <c r="K22" s="16">
        <f>MAX(0,J22-'Drilling Spec'!$C$30)</f>
        <v>236.6163817101509</v>
      </c>
      <c r="L22" s="18">
        <f>IFERROR(K22/'Drilling Spec'!$C$31,0)</f>
        <v>15.774425447343393</v>
      </c>
      <c r="M22" s="21">
        <f t="shared" si="4"/>
        <v>0</v>
      </c>
      <c r="N22" s="4">
        <f t="shared" si="11"/>
        <v>0</v>
      </c>
      <c r="O22" s="21">
        <f t="shared" si="5"/>
        <v>0</v>
      </c>
      <c r="P22" s="18">
        <f>(SQRT(4*P21*P21*vB*vB + 'Drilling Spec'!$C$48*P21 + WB*('Drilling Spec'!$C$49 + 2*lB*vB*(sB*WB + 2*vB*O22/(1+eB)) + 'Drilling Spec'!$C$50)) - 'Drilling Spec'!$C$51)/(2*vB)</f>
        <v>0</v>
      </c>
      <c r="Q22" s="18" t="str">
        <f>IF(AND(OR(R21=0,R21=""),N22=0),IF(N23=0,"",'Drilling Spec'!$C$30),P22)</f>
        <v/>
      </c>
      <c r="S22">
        <f t="shared" si="13"/>
        <v>16</v>
      </c>
      <c r="T22" s="10"/>
      <c r="U22">
        <f>IF('Baseline 1 - Perfect, 24hr'!L23&gt;'Baseline 1 - Perfect, 24hr'!S22,'Drilling Spec'!$C$36,)</f>
        <v>6</v>
      </c>
      <c r="W22" s="17">
        <f>(J22-'Drilling Spec'!$C$26)/'Drilling Spec'!$C$38</f>
        <v>41.102730285025153</v>
      </c>
      <c r="X22" s="17">
        <f t="shared" si="6"/>
        <v>3.5554578791048854</v>
      </c>
      <c r="Y22" s="17">
        <f t="shared" si="7"/>
        <v>21.102730285025153</v>
      </c>
      <c r="Z22" s="10"/>
      <c r="AA22">
        <f>IF(Y22&lt;'Drilling Spec'!$C$39,,'Drilling Spec'!$C$39)</f>
        <v>20</v>
      </c>
      <c r="AD22" s="16">
        <f t="shared" si="8"/>
        <v>-316.6163817101509</v>
      </c>
      <c r="AE22" s="16" t="e">
        <f t="shared" si="9"/>
        <v>#N/A</v>
      </c>
      <c r="AF22">
        <f>-'Drilling Spec'!$C$29</f>
        <v>-720</v>
      </c>
      <c r="AG22">
        <f>-'Drilling Spec'!$C$27</f>
        <v>-624</v>
      </c>
      <c r="AH22">
        <f>-'Drilling Spec'!$C$28</f>
        <v>-688</v>
      </c>
      <c r="AI22" t="e">
        <f t="shared" si="10"/>
        <v>#N/A</v>
      </c>
      <c r="AJ22" t="e">
        <f>IF(T22=0,NA(),-'Drilling Spec'!$C$26/2)</f>
        <v>#N/A</v>
      </c>
      <c r="AK22">
        <f>IF(U22=0,NA(),-'Drilling Spec'!$C$26/2)</f>
        <v>-35</v>
      </c>
      <c r="AL22" t="e">
        <f>IF(Z22=0,NA(),-'Drilling Spec'!$C$26*3/2)</f>
        <v>#N/A</v>
      </c>
      <c r="AM22">
        <f>IF(AA22=0,NA(),-'Drilling Spec'!$C$26*3/2)</f>
        <v>-105</v>
      </c>
    </row>
    <row r="23" spans="2:39" x14ac:dyDescent="0.35">
      <c r="B23" s="2">
        <f t="shared" si="12"/>
        <v>45991</v>
      </c>
      <c r="C23" t="str">
        <f t="shared" si="0"/>
        <v>Sun</v>
      </c>
      <c r="D23" s="10" t="s">
        <v>9</v>
      </c>
      <c r="E23" s="10">
        <v>24</v>
      </c>
      <c r="F23" s="4">
        <f t="shared" si="1"/>
        <v>24</v>
      </c>
      <c r="G23" s="4">
        <f t="shared" si="2"/>
        <v>264</v>
      </c>
      <c r="H23" s="4">
        <f t="shared" si="3"/>
        <v>1440</v>
      </c>
      <c r="I23" s="15">
        <f>(SQRT(4*J22*J22*V*V + 'Drilling Spec'!$C$42*J22 + W*('Drilling Spec'!$C$43 + 2*l*V*(s*W + 2*V*H23/(1+e)) + 'Drilling Spec'!$C$44)) - 'Drilling Spec'!$C$45)/(2*V)</f>
        <v>337.42376378429032</v>
      </c>
      <c r="J23" s="16">
        <f>IF(AND(OR(J22=0,J22=""),G23=0),IF(G24=0,"",'Drilling Spec'!$C$26),I23)</f>
        <v>337.42376378429032</v>
      </c>
      <c r="K23" s="16">
        <f>MAX(0,J23-'Drilling Spec'!$C$30)</f>
        <v>257.42376378429032</v>
      </c>
      <c r="L23" s="18">
        <f>IFERROR(K23/'Drilling Spec'!$C$31,0)</f>
        <v>17.161584252286023</v>
      </c>
      <c r="M23" s="21">
        <f t="shared" si="4"/>
        <v>0</v>
      </c>
      <c r="N23" s="4">
        <f t="shared" si="11"/>
        <v>0</v>
      </c>
      <c r="O23" s="21">
        <f t="shared" si="5"/>
        <v>0</v>
      </c>
      <c r="P23" s="18">
        <f>(SQRT(4*P22*P22*vB*vB + 'Drilling Spec'!$C$48*P22 + WB*('Drilling Spec'!$C$49 + 2*lB*vB*(sB*WB + 2*vB*O23/(1+eB)) + 'Drilling Spec'!$C$50)) - 'Drilling Spec'!$C$51)/(2*vB)</f>
        <v>0</v>
      </c>
      <c r="Q23" s="18" t="str">
        <f>IF(AND(OR(R22=0,R22=""),N23=0),IF(N24=0,"",'Drilling Spec'!$C$30),P23)</f>
        <v/>
      </c>
      <c r="S23">
        <f t="shared" si="13"/>
        <v>22</v>
      </c>
      <c r="T23" s="10"/>
      <c r="U23">
        <f>IF('Baseline 1 - Perfect, 24hr'!L24&gt;'Baseline 1 - Perfect, 24hr'!S23,'Drilling Spec'!$C$36,)</f>
        <v>0</v>
      </c>
      <c r="W23" s="17">
        <f>(J23-'Drilling Spec'!$C$26)/'Drilling Spec'!$C$38</f>
        <v>44.570627297381719</v>
      </c>
      <c r="X23" s="17">
        <f t="shared" si="6"/>
        <v>3.4678970123565662</v>
      </c>
      <c r="Y23" s="17">
        <f t="shared" si="7"/>
        <v>4.5706272973817192</v>
      </c>
      <c r="Z23" s="10"/>
      <c r="AA23">
        <f>IF(Y23&lt;'Drilling Spec'!$C$39,,'Drilling Spec'!$C$39)</f>
        <v>0</v>
      </c>
      <c r="AD23" s="16">
        <f t="shared" si="8"/>
        <v>-337.42376378429032</v>
      </c>
      <c r="AE23" s="16" t="e">
        <f t="shared" si="9"/>
        <v>#N/A</v>
      </c>
      <c r="AF23">
        <f>-'Drilling Spec'!$C$29</f>
        <v>-720</v>
      </c>
      <c r="AG23">
        <f>-'Drilling Spec'!$C$27</f>
        <v>-624</v>
      </c>
      <c r="AH23">
        <f>-'Drilling Spec'!$C$28</f>
        <v>-688</v>
      </c>
      <c r="AI23" t="e">
        <f t="shared" si="10"/>
        <v>#N/A</v>
      </c>
      <c r="AJ23" t="e">
        <f>IF(T23=0,NA(),-'Drilling Spec'!$C$26/2)</f>
        <v>#N/A</v>
      </c>
      <c r="AK23" t="e">
        <f>IF(U23=0,NA(),-'Drilling Spec'!$C$26/2)</f>
        <v>#N/A</v>
      </c>
      <c r="AL23" t="e">
        <f>IF(Z23=0,NA(),-'Drilling Spec'!$C$26*3/2)</f>
        <v>#N/A</v>
      </c>
      <c r="AM23" t="e">
        <f>IF(AA23=0,NA(),-'Drilling Spec'!$C$26*3/2)</f>
        <v>#N/A</v>
      </c>
    </row>
    <row r="24" spans="2:39" x14ac:dyDescent="0.35">
      <c r="B24" s="2">
        <f t="shared" si="12"/>
        <v>45992</v>
      </c>
      <c r="C24" t="str">
        <f t="shared" si="0"/>
        <v>Mon</v>
      </c>
      <c r="D24" s="10" t="s">
        <v>7</v>
      </c>
      <c r="E24" s="10">
        <v>0</v>
      </c>
      <c r="F24" s="4">
        <f t="shared" si="1"/>
        <v>0</v>
      </c>
      <c r="G24" s="4">
        <f t="shared" si="2"/>
        <v>264</v>
      </c>
      <c r="H24" s="4">
        <f t="shared" si="3"/>
        <v>0</v>
      </c>
      <c r="I24" s="15">
        <f>(SQRT(4*J23*J23*V*V + 'Drilling Spec'!$C$42*J23 + W*('Drilling Spec'!$C$43 + 2*l*V*(s*W + 2*V*H24/(1+e)) + 'Drilling Spec'!$C$44)) - 'Drilling Spec'!$C$45)/(2*V)</f>
        <v>337.42376378429032</v>
      </c>
      <c r="J24" s="16">
        <f>IF(AND(OR(J23=0,J23=""),G24=0),IF(G25=0,"",'Drilling Spec'!$C$26),I24)</f>
        <v>337.42376378429032</v>
      </c>
      <c r="K24" s="16">
        <f>MAX(0,J24-'Drilling Spec'!$C$30)</f>
        <v>257.42376378429032</v>
      </c>
      <c r="L24" s="18">
        <f>IFERROR(K24/'Drilling Spec'!$C$31,0)</f>
        <v>17.161584252286023</v>
      </c>
      <c r="M24" s="21">
        <f t="shared" si="4"/>
        <v>0</v>
      </c>
      <c r="N24" s="4">
        <f t="shared" si="11"/>
        <v>0</v>
      </c>
      <c r="O24" s="21">
        <f t="shared" si="5"/>
        <v>0</v>
      </c>
      <c r="P24" s="18">
        <f>(SQRT(4*P23*P23*vB*vB + 'Drilling Spec'!$C$48*P23 + WB*('Drilling Spec'!$C$49 + 2*lB*vB*(sB*WB + 2*vB*O24/(1+eB)) + 'Drilling Spec'!$C$50)) - 'Drilling Spec'!$C$51)/(2*vB)</f>
        <v>0</v>
      </c>
      <c r="Q24" s="18" t="str">
        <f>IF(AND(OR(R23=0,R23=""),N24=0),IF(N25=0,"",'Drilling Spec'!$C$30),P24)</f>
        <v/>
      </c>
      <c r="S24">
        <f t="shared" si="13"/>
        <v>22</v>
      </c>
      <c r="T24" s="10"/>
      <c r="U24">
        <f>IF('Baseline 1 - Perfect, 24hr'!L25&gt;'Baseline 1 - Perfect, 24hr'!S24,'Drilling Spec'!$C$36,)</f>
        <v>0</v>
      </c>
      <c r="W24" s="17">
        <f>(J24-'Drilling Spec'!$C$26)/'Drilling Spec'!$C$38</f>
        <v>44.570627297381719</v>
      </c>
      <c r="X24" s="17">
        <f t="shared" si="6"/>
        <v>0</v>
      </c>
      <c r="Y24" s="17">
        <f t="shared" si="7"/>
        <v>4.5706272973817192</v>
      </c>
      <c r="Z24" s="10"/>
      <c r="AA24">
        <f>IF(Y24&lt;'Drilling Spec'!$C$39,,'Drilling Spec'!$C$39)</f>
        <v>0</v>
      </c>
      <c r="AD24" s="16">
        <f t="shared" si="8"/>
        <v>-337.42376378429032</v>
      </c>
      <c r="AE24" s="16" t="e">
        <f t="shared" si="9"/>
        <v>#N/A</v>
      </c>
      <c r="AF24">
        <f>-'Drilling Spec'!$C$29</f>
        <v>-720</v>
      </c>
      <c r="AG24">
        <f>-'Drilling Spec'!$C$27</f>
        <v>-624</v>
      </c>
      <c r="AH24">
        <f>-'Drilling Spec'!$C$28</f>
        <v>-688</v>
      </c>
      <c r="AI24" t="e">
        <f t="shared" si="10"/>
        <v>#N/A</v>
      </c>
      <c r="AJ24" t="e">
        <f>IF(T24=0,NA(),-'Drilling Spec'!$C$26/2)</f>
        <v>#N/A</v>
      </c>
      <c r="AK24" t="e">
        <f>IF(U24=0,NA(),-'Drilling Spec'!$C$26/2)</f>
        <v>#N/A</v>
      </c>
      <c r="AL24" t="e">
        <f>IF(Z24=0,NA(),-'Drilling Spec'!$C$26*3/2)</f>
        <v>#N/A</v>
      </c>
      <c r="AM24" t="e">
        <f>IF(AA24=0,NA(),-'Drilling Spec'!$C$26*3/2)</f>
        <v>#N/A</v>
      </c>
    </row>
    <row r="25" spans="2:39" x14ac:dyDescent="0.35">
      <c r="B25" s="2">
        <f t="shared" si="12"/>
        <v>45993</v>
      </c>
      <c r="C25" t="str">
        <f t="shared" si="0"/>
        <v>Tue</v>
      </c>
      <c r="D25" s="10" t="s">
        <v>9</v>
      </c>
      <c r="E25" s="10">
        <v>24</v>
      </c>
      <c r="F25" s="4">
        <f t="shared" si="1"/>
        <v>24</v>
      </c>
      <c r="G25" s="4">
        <f t="shared" si="2"/>
        <v>288</v>
      </c>
      <c r="H25" s="4">
        <f t="shared" si="3"/>
        <v>1440</v>
      </c>
      <c r="I25" s="15">
        <f>(SQRT(4*J24*J24*V*V + 'Drilling Spec'!$C$42*J24 + W*('Drilling Spec'!$C$43 + 2*l*V*(s*W + 2*V*H25/(1+e)) + 'Drilling Spec'!$C$44)) - 'Drilling Spec'!$C$45)/(2*V)</f>
        <v>357.74278357270839</v>
      </c>
      <c r="J25" s="16">
        <f>IF(AND(OR(J24=0,J24=""),G25=0),IF(G26=0,"",'Drilling Spec'!$C$26),I25)</f>
        <v>357.74278357270839</v>
      </c>
      <c r="K25" s="16">
        <f>MAX(0,J25-'Drilling Spec'!$C$30)</f>
        <v>277.74278357270839</v>
      </c>
      <c r="L25" s="18">
        <f>IFERROR(K25/'Drilling Spec'!$C$31,0)</f>
        <v>18.516185571513894</v>
      </c>
      <c r="M25" s="21">
        <f t="shared" si="4"/>
        <v>0</v>
      </c>
      <c r="N25" s="4">
        <f t="shared" si="11"/>
        <v>0</v>
      </c>
      <c r="O25" s="21">
        <f t="shared" si="5"/>
        <v>0</v>
      </c>
      <c r="P25" s="18">
        <f>(SQRT(4*P24*P24*vB*vB + 'Drilling Spec'!$C$48*P24 + WB*('Drilling Spec'!$C$49 + 2*lB*vB*(sB*WB + 2*vB*O25/(1+eB)) + 'Drilling Spec'!$C$50)) - 'Drilling Spec'!$C$51)/(2*vB)</f>
        <v>0</v>
      </c>
      <c r="Q25" s="18" t="str">
        <f>IF(AND(OR(R24=0,R24=""),N25=0),IF(N26=0,"",'Drilling Spec'!$C$30),P25)</f>
        <v/>
      </c>
      <c r="S25">
        <f t="shared" si="13"/>
        <v>22</v>
      </c>
      <c r="T25" s="10"/>
      <c r="U25">
        <f>IF('Baseline 1 - Perfect, 24hr'!L26&gt;'Baseline 1 - Perfect, 24hr'!S25,'Drilling Spec'!$C$36,)</f>
        <v>0</v>
      </c>
      <c r="W25" s="17">
        <f>(J25-'Drilling Spec'!$C$26)/'Drilling Spec'!$C$38</f>
        <v>47.957130595451396</v>
      </c>
      <c r="X25" s="17">
        <f t="shared" si="6"/>
        <v>3.3865032980696768</v>
      </c>
      <c r="Y25" s="17">
        <f t="shared" si="7"/>
        <v>7.957130595451396</v>
      </c>
      <c r="Z25" s="10"/>
      <c r="AA25">
        <f>IF(Y25&lt;'Drilling Spec'!$C$39,,'Drilling Spec'!$C$39)</f>
        <v>0</v>
      </c>
      <c r="AD25" s="16">
        <f t="shared" si="8"/>
        <v>-357.74278357270839</v>
      </c>
      <c r="AE25" s="16" t="e">
        <f t="shared" si="9"/>
        <v>#N/A</v>
      </c>
      <c r="AF25">
        <f>-'Drilling Spec'!$C$29</f>
        <v>-720</v>
      </c>
      <c r="AG25">
        <f>-'Drilling Spec'!$C$27</f>
        <v>-624</v>
      </c>
      <c r="AH25">
        <f>-'Drilling Spec'!$C$28</f>
        <v>-688</v>
      </c>
      <c r="AI25" t="e">
        <f t="shared" si="10"/>
        <v>#N/A</v>
      </c>
      <c r="AJ25" t="e">
        <f>IF(T25=0,NA(),-'Drilling Spec'!$C$26/2)</f>
        <v>#N/A</v>
      </c>
      <c r="AK25" t="e">
        <f>IF(U25=0,NA(),-'Drilling Spec'!$C$26/2)</f>
        <v>#N/A</v>
      </c>
      <c r="AL25" t="e">
        <f>IF(Z25=0,NA(),-'Drilling Spec'!$C$26*3/2)</f>
        <v>#N/A</v>
      </c>
      <c r="AM25" t="e">
        <f>IF(AA25=0,NA(),-'Drilling Spec'!$C$26*3/2)</f>
        <v>#N/A</v>
      </c>
    </row>
    <row r="26" spans="2:39" x14ac:dyDescent="0.35">
      <c r="B26" s="2">
        <f t="shared" si="12"/>
        <v>45994</v>
      </c>
      <c r="C26" t="str">
        <f t="shared" si="0"/>
        <v>Wed</v>
      </c>
      <c r="D26" s="10" t="s">
        <v>9</v>
      </c>
      <c r="E26" s="10">
        <v>24</v>
      </c>
      <c r="F26" s="4">
        <f t="shared" si="1"/>
        <v>24</v>
      </c>
      <c r="G26" s="4">
        <f t="shared" si="2"/>
        <v>312</v>
      </c>
      <c r="H26" s="4">
        <f t="shared" si="3"/>
        <v>1440</v>
      </c>
      <c r="I26" s="15">
        <f>(SQRT(4*J25*J25*V*V + 'Drilling Spec'!$C$42*J25 + W*('Drilling Spec'!$C$43 + 2*l*V*(s*W + 2*V*H26/(1+e)) + 'Drilling Spec'!$C$44)) - 'Drilling Spec'!$C$45)/(2*V)</f>
        <v>377.60629406387062</v>
      </c>
      <c r="J26" s="16">
        <f>IF(AND(OR(J25=0,J25=""),G26=0),IF(G27=0,"",'Drilling Spec'!$C$26),I26)</f>
        <v>377.60629406387062</v>
      </c>
      <c r="K26" s="16">
        <f>MAX(0,J26-'Drilling Spec'!$C$30)</f>
        <v>297.60629406387062</v>
      </c>
      <c r="L26" s="18">
        <f>IFERROR(K26/'Drilling Spec'!$C$31,0)</f>
        <v>19.840419604258042</v>
      </c>
      <c r="M26" s="21">
        <f t="shared" si="4"/>
        <v>0</v>
      </c>
      <c r="N26" s="4">
        <f t="shared" si="11"/>
        <v>0</v>
      </c>
      <c r="O26" s="21">
        <f t="shared" si="5"/>
        <v>0</v>
      </c>
      <c r="P26" s="18">
        <f>(SQRT(4*P25*P25*vB*vB + 'Drilling Spec'!$C$48*P25 + WB*('Drilling Spec'!$C$49 + 2*lB*vB*(sB*WB + 2*vB*O26/(1+eB)) + 'Drilling Spec'!$C$50)) - 'Drilling Spec'!$C$51)/(2*vB)</f>
        <v>0</v>
      </c>
      <c r="Q26" s="18" t="str">
        <f>IF(AND(OR(R25=0,R25=""),N26=0),IF(N27=0,"",'Drilling Spec'!$C$30),P26)</f>
        <v/>
      </c>
      <c r="S26">
        <f t="shared" si="13"/>
        <v>22</v>
      </c>
      <c r="T26" s="10"/>
      <c r="U26">
        <f>IF('Baseline 1 - Perfect, 24hr'!L27&gt;'Baseline 1 - Perfect, 24hr'!S26,'Drilling Spec'!$C$36,)</f>
        <v>0</v>
      </c>
      <c r="W26" s="17">
        <f>(J26-'Drilling Spec'!$C$26)/'Drilling Spec'!$C$38</f>
        <v>51.26771567731177</v>
      </c>
      <c r="X26" s="17">
        <f t="shared" si="6"/>
        <v>3.3105850818603741</v>
      </c>
      <c r="Y26" s="17">
        <f t="shared" si="7"/>
        <v>11.26771567731177</v>
      </c>
      <c r="Z26" s="10"/>
      <c r="AA26">
        <f>IF(Y26&lt;'Drilling Spec'!$C$39,,'Drilling Spec'!$C$39)</f>
        <v>0</v>
      </c>
      <c r="AD26" s="16">
        <f t="shared" si="8"/>
        <v>-377.60629406387062</v>
      </c>
      <c r="AE26" s="16" t="e">
        <f t="shared" si="9"/>
        <v>#N/A</v>
      </c>
      <c r="AF26">
        <f>-'Drilling Spec'!$C$29</f>
        <v>-720</v>
      </c>
      <c r="AG26">
        <f>-'Drilling Spec'!$C$27</f>
        <v>-624</v>
      </c>
      <c r="AH26">
        <f>-'Drilling Spec'!$C$28</f>
        <v>-688</v>
      </c>
      <c r="AI26" t="e">
        <f t="shared" si="10"/>
        <v>#N/A</v>
      </c>
      <c r="AJ26" t="e">
        <f>IF(T26=0,NA(),-'Drilling Spec'!$C$26/2)</f>
        <v>#N/A</v>
      </c>
      <c r="AK26" t="e">
        <f>IF(U26=0,NA(),-'Drilling Spec'!$C$26/2)</f>
        <v>#N/A</v>
      </c>
      <c r="AL26" t="e">
        <f>IF(Z26=0,NA(),-'Drilling Spec'!$C$26*3/2)</f>
        <v>#N/A</v>
      </c>
      <c r="AM26" t="e">
        <f>IF(AA26=0,NA(),-'Drilling Spec'!$C$26*3/2)</f>
        <v>#N/A</v>
      </c>
    </row>
    <row r="27" spans="2:39" x14ac:dyDescent="0.35">
      <c r="B27" s="2">
        <f t="shared" si="12"/>
        <v>45995</v>
      </c>
      <c r="C27" t="str">
        <f t="shared" si="0"/>
        <v>Thu</v>
      </c>
      <c r="D27" s="10" t="s">
        <v>9</v>
      </c>
      <c r="E27" s="10">
        <v>24</v>
      </c>
      <c r="F27" s="4">
        <f t="shared" si="1"/>
        <v>24</v>
      </c>
      <c r="G27" s="4">
        <f t="shared" si="2"/>
        <v>336</v>
      </c>
      <c r="H27" s="4">
        <f t="shared" si="3"/>
        <v>1440</v>
      </c>
      <c r="I27" s="15">
        <f>(SQRT(4*J26*J26*V*V + 'Drilling Spec'!$C$42*J26 + W*('Drilling Spec'!$C$43 + 2*l*V*(s*W + 2*V*H27/(1+e)) + 'Drilling Spec'!$C$44)) - 'Drilling Spec'!$C$45)/(2*V)</f>
        <v>397.04362207560342</v>
      </c>
      <c r="J27" s="16">
        <f>IF(AND(OR(J26=0,J26=""),G27=0),IF(G28=0,"",'Drilling Spec'!$C$26),I27)</f>
        <v>397.04362207560342</v>
      </c>
      <c r="K27" s="16">
        <f>MAX(0,J27-'Drilling Spec'!$C$30)</f>
        <v>317.04362207560342</v>
      </c>
      <c r="L27" s="18">
        <f>IFERROR(K27/'Drilling Spec'!$C$31,0)</f>
        <v>21.136241471706896</v>
      </c>
      <c r="M27" s="21">
        <f t="shared" si="4"/>
        <v>0</v>
      </c>
      <c r="N27" s="4">
        <f t="shared" si="11"/>
        <v>0</v>
      </c>
      <c r="O27" s="21">
        <f t="shared" si="5"/>
        <v>0</v>
      </c>
      <c r="P27" s="18">
        <f>(SQRT(4*P26*P26*vB*vB + 'Drilling Spec'!$C$48*P26 + WB*('Drilling Spec'!$C$49 + 2*lB*vB*(sB*WB + 2*vB*O27/(1+eB)) + 'Drilling Spec'!$C$50)) - 'Drilling Spec'!$C$51)/(2*vB)</f>
        <v>0</v>
      </c>
      <c r="Q27" s="18" t="str">
        <f>IF(AND(OR(R26=0,R26=""),N27=0),IF(N28=0,"",'Drilling Spec'!$C$30),P27)</f>
        <v/>
      </c>
      <c r="S27">
        <f t="shared" si="13"/>
        <v>22</v>
      </c>
      <c r="T27" s="10"/>
      <c r="U27">
        <f>IF('Baseline 1 - Perfect, 24hr'!L28&gt;'Baseline 1 - Perfect, 24hr'!S27,'Drilling Spec'!$C$36,)</f>
        <v>6</v>
      </c>
      <c r="W27" s="17">
        <f>(J27-'Drilling Spec'!$C$26)/'Drilling Spec'!$C$38</f>
        <v>54.507270345933904</v>
      </c>
      <c r="X27" s="17">
        <f t="shared" si="6"/>
        <v>3.2395546686221337</v>
      </c>
      <c r="Y27" s="17">
        <f t="shared" si="7"/>
        <v>14.507270345933904</v>
      </c>
      <c r="Z27" s="10"/>
      <c r="AA27">
        <f>IF(Y27&lt;'Drilling Spec'!$C$39,,'Drilling Spec'!$C$39)</f>
        <v>0</v>
      </c>
      <c r="AD27" s="16">
        <f t="shared" si="8"/>
        <v>-397.04362207560342</v>
      </c>
      <c r="AE27" s="16" t="e">
        <f t="shared" si="9"/>
        <v>#N/A</v>
      </c>
      <c r="AF27">
        <f>-'Drilling Spec'!$C$29</f>
        <v>-720</v>
      </c>
      <c r="AG27">
        <f>-'Drilling Spec'!$C$27</f>
        <v>-624</v>
      </c>
      <c r="AH27">
        <f>-'Drilling Spec'!$C$28</f>
        <v>-688</v>
      </c>
      <c r="AI27" t="e">
        <f t="shared" si="10"/>
        <v>#N/A</v>
      </c>
      <c r="AJ27" t="e">
        <f>IF(T27=0,NA(),-'Drilling Spec'!$C$26/2)</f>
        <v>#N/A</v>
      </c>
      <c r="AK27">
        <f>IF(U27=0,NA(),-'Drilling Spec'!$C$26/2)</f>
        <v>-35</v>
      </c>
      <c r="AL27" t="e">
        <f>IF(Z27=0,NA(),-'Drilling Spec'!$C$26*3/2)</f>
        <v>#N/A</v>
      </c>
      <c r="AM27" t="e">
        <f>IF(AA27=0,NA(),-'Drilling Spec'!$C$26*3/2)</f>
        <v>#N/A</v>
      </c>
    </row>
    <row r="28" spans="2:39" x14ac:dyDescent="0.35">
      <c r="B28" s="2">
        <f t="shared" si="12"/>
        <v>45996</v>
      </c>
      <c r="C28" t="str">
        <f t="shared" si="0"/>
        <v>Fri</v>
      </c>
      <c r="D28" s="10" t="s">
        <v>9</v>
      </c>
      <c r="E28" s="10">
        <v>24</v>
      </c>
      <c r="F28" s="4">
        <f t="shared" si="1"/>
        <v>24</v>
      </c>
      <c r="G28" s="4">
        <f t="shared" si="2"/>
        <v>360</v>
      </c>
      <c r="H28" s="4">
        <f t="shared" si="3"/>
        <v>1440</v>
      </c>
      <c r="I28" s="15">
        <f>(SQRT(4*J27*J27*V*V + 'Drilling Spec'!$C$42*J27 + W*('Drilling Spec'!$C$43 + 2*l*V*(s*W + 2*V*H28/(1+e)) + 'Drilling Spec'!$C$44)) - 'Drilling Spec'!$C$45)/(2*V)</f>
        <v>416.08107640916654</v>
      </c>
      <c r="J28" s="16">
        <f>IF(AND(OR(J27=0,J27=""),G28=0),IF(G29=0,"",'Drilling Spec'!$C$26),I28)</f>
        <v>416.08107640916654</v>
      </c>
      <c r="K28" s="16">
        <f>MAX(0,J28-'Drilling Spec'!$C$30)</f>
        <v>336.08107640916654</v>
      </c>
      <c r="L28" s="18">
        <f>IFERROR(K28/'Drilling Spec'!$C$31,0)</f>
        <v>22.405405093944434</v>
      </c>
      <c r="M28" s="21">
        <f t="shared" si="4"/>
        <v>0</v>
      </c>
      <c r="N28" s="4">
        <f t="shared" si="11"/>
        <v>0</v>
      </c>
      <c r="O28" s="21">
        <f t="shared" si="5"/>
        <v>0</v>
      </c>
      <c r="P28" s="18">
        <f>(SQRT(4*P27*P27*vB*vB + 'Drilling Spec'!$C$48*P27 + WB*('Drilling Spec'!$C$49 + 2*lB*vB*(sB*WB + 2*vB*O28/(1+eB)) + 'Drilling Spec'!$C$50)) - 'Drilling Spec'!$C$51)/(2*vB)</f>
        <v>0</v>
      </c>
      <c r="Q28" s="18" t="str">
        <f>IF(AND(OR(R27=0,R27=""),N28=0),IF(N29=0,"",'Drilling Spec'!$C$30),P28)</f>
        <v/>
      </c>
      <c r="S28">
        <f t="shared" si="13"/>
        <v>28</v>
      </c>
      <c r="T28" s="10"/>
      <c r="U28">
        <f>IF('Baseline 1 - Perfect, 24hr'!L29&gt;'Baseline 1 - Perfect, 24hr'!S28,'Drilling Spec'!$C$36,)</f>
        <v>0</v>
      </c>
      <c r="W28" s="17">
        <f>(J28-'Drilling Spec'!$C$26)/'Drilling Spec'!$C$38</f>
        <v>57.680179401527759</v>
      </c>
      <c r="X28" s="17">
        <f t="shared" si="6"/>
        <v>3.1729090555938555</v>
      </c>
      <c r="Y28" s="17">
        <f t="shared" si="7"/>
        <v>17.680179401527759</v>
      </c>
      <c r="Z28" s="10"/>
      <c r="AA28">
        <f>IF(Y28&lt;'Drilling Spec'!$C$39,,'Drilling Spec'!$C$39)</f>
        <v>0</v>
      </c>
      <c r="AD28" s="16">
        <f t="shared" si="8"/>
        <v>-416.08107640916654</v>
      </c>
      <c r="AE28" s="16" t="e">
        <f t="shared" si="9"/>
        <v>#N/A</v>
      </c>
      <c r="AF28">
        <f>-'Drilling Spec'!$C$29</f>
        <v>-720</v>
      </c>
      <c r="AG28">
        <f>-'Drilling Spec'!$C$27</f>
        <v>-624</v>
      </c>
      <c r="AH28">
        <f>-'Drilling Spec'!$C$28</f>
        <v>-688</v>
      </c>
      <c r="AI28" t="e">
        <f t="shared" si="10"/>
        <v>#N/A</v>
      </c>
      <c r="AJ28" t="e">
        <f>IF(T28=0,NA(),-'Drilling Spec'!$C$26/2)</f>
        <v>#N/A</v>
      </c>
      <c r="AK28" t="e">
        <f>IF(U28=0,NA(),-'Drilling Spec'!$C$26/2)</f>
        <v>#N/A</v>
      </c>
      <c r="AL28" t="e">
        <f>IF(Z28=0,NA(),-'Drilling Spec'!$C$26*3/2)</f>
        <v>#N/A</v>
      </c>
      <c r="AM28" t="e">
        <f>IF(AA28=0,NA(),-'Drilling Spec'!$C$26*3/2)</f>
        <v>#N/A</v>
      </c>
    </row>
    <row r="29" spans="2:39" x14ac:dyDescent="0.35">
      <c r="B29" s="2">
        <f t="shared" si="12"/>
        <v>45997</v>
      </c>
      <c r="C29" t="str">
        <f t="shared" si="0"/>
        <v>Sat</v>
      </c>
      <c r="D29" s="10" t="s">
        <v>9</v>
      </c>
      <c r="E29" s="10">
        <v>24</v>
      </c>
      <c r="F29" s="4">
        <f t="shared" si="1"/>
        <v>24</v>
      </c>
      <c r="G29" s="4">
        <f t="shared" si="2"/>
        <v>384</v>
      </c>
      <c r="H29" s="4">
        <f t="shared" si="3"/>
        <v>1440</v>
      </c>
      <c r="I29" s="15">
        <f>(SQRT(4*J28*J28*V*V + 'Drilling Spec'!$C$42*J28 + W*('Drilling Spec'!$C$43 + 2*l*V*(s*W + 2*V*H29/(1+e)) + 'Drilling Spec'!$C$44)) - 'Drilling Spec'!$C$45)/(2*V)</f>
        <v>434.74236555649424</v>
      </c>
      <c r="J29" s="16">
        <f>IF(AND(OR(J28=0,J28=""),G29=0),IF(G30=0,"",'Drilling Spec'!$C$26),I29)</f>
        <v>434.74236555649424</v>
      </c>
      <c r="K29" s="16">
        <f>MAX(0,J29-'Drilling Spec'!$C$30)</f>
        <v>354.74236555649424</v>
      </c>
      <c r="L29" s="18">
        <f>IFERROR(K29/'Drilling Spec'!$C$31,0)</f>
        <v>23.649491037099615</v>
      </c>
      <c r="M29" s="21">
        <f t="shared" si="4"/>
        <v>0</v>
      </c>
      <c r="N29" s="4">
        <f t="shared" si="11"/>
        <v>0</v>
      </c>
      <c r="O29" s="21">
        <f t="shared" si="5"/>
        <v>0</v>
      </c>
      <c r="P29" s="18">
        <f>(SQRT(4*P28*P28*vB*vB + 'Drilling Spec'!$C$48*P28 + WB*('Drilling Spec'!$C$49 + 2*lB*vB*(sB*WB + 2*vB*O29/(1+eB)) + 'Drilling Spec'!$C$50)) - 'Drilling Spec'!$C$51)/(2*vB)</f>
        <v>0</v>
      </c>
      <c r="Q29" s="18" t="str">
        <f>IF(AND(OR(R28=0,R28=""),N29=0),IF(N30=0,"",'Drilling Spec'!$C$30),P29)</f>
        <v/>
      </c>
      <c r="S29">
        <f t="shared" si="13"/>
        <v>28</v>
      </c>
      <c r="T29" s="10"/>
      <c r="U29">
        <f>IF('Baseline 1 - Perfect, 24hr'!L30&gt;'Baseline 1 - Perfect, 24hr'!S29,'Drilling Spec'!$C$36,)</f>
        <v>0</v>
      </c>
      <c r="W29" s="17">
        <f>(J29-'Drilling Spec'!$C$26)/'Drilling Spec'!$C$38</f>
        <v>60.790394259415706</v>
      </c>
      <c r="X29" s="17">
        <f t="shared" si="6"/>
        <v>3.1102148578879465</v>
      </c>
      <c r="Y29" s="17">
        <f t="shared" si="7"/>
        <v>20.790394259415706</v>
      </c>
      <c r="Z29" s="10"/>
      <c r="AA29">
        <f>IF(Y29&lt;'Drilling Spec'!$C$39,,'Drilling Spec'!$C$39)</f>
        <v>20</v>
      </c>
      <c r="AD29" s="16">
        <f t="shared" si="8"/>
        <v>-434.74236555649424</v>
      </c>
      <c r="AE29" s="16" t="e">
        <f t="shared" si="9"/>
        <v>#N/A</v>
      </c>
      <c r="AF29">
        <f>-'Drilling Spec'!$C$29</f>
        <v>-720</v>
      </c>
      <c r="AG29">
        <f>-'Drilling Spec'!$C$27</f>
        <v>-624</v>
      </c>
      <c r="AH29">
        <f>-'Drilling Spec'!$C$28</f>
        <v>-688</v>
      </c>
      <c r="AI29" t="e">
        <f t="shared" si="10"/>
        <v>#N/A</v>
      </c>
      <c r="AJ29" t="e">
        <f>IF(T29=0,NA(),-'Drilling Spec'!$C$26/2)</f>
        <v>#N/A</v>
      </c>
      <c r="AK29" t="e">
        <f>IF(U29=0,NA(),-'Drilling Spec'!$C$26/2)</f>
        <v>#N/A</v>
      </c>
      <c r="AL29" t="e">
        <f>IF(Z29=0,NA(),-'Drilling Spec'!$C$26*3/2)</f>
        <v>#N/A</v>
      </c>
      <c r="AM29">
        <f>IF(AA29=0,NA(),-'Drilling Spec'!$C$26*3/2)</f>
        <v>-105</v>
      </c>
    </row>
    <row r="30" spans="2:39" x14ac:dyDescent="0.35">
      <c r="B30" s="2">
        <f t="shared" si="12"/>
        <v>45998</v>
      </c>
      <c r="C30" t="str">
        <f t="shared" si="0"/>
        <v>Sun</v>
      </c>
      <c r="D30" s="10" t="s">
        <v>9</v>
      </c>
      <c r="E30" s="10">
        <v>24</v>
      </c>
      <c r="F30" s="4">
        <f t="shared" si="1"/>
        <v>24</v>
      </c>
      <c r="G30" s="4">
        <f t="shared" si="2"/>
        <v>408</v>
      </c>
      <c r="H30" s="4">
        <f t="shared" si="3"/>
        <v>1440</v>
      </c>
      <c r="I30" s="15">
        <f>(SQRT(4*J29*J29*V*V + 'Drilling Spec'!$C$42*J29 + W*('Drilling Spec'!$C$43 + 2*l*V*(s*W + 2*V*H30/(1+e)) + 'Drilling Spec'!$C$44)) - 'Drilling Spec'!$C$45)/(2*V)</f>
        <v>453.04894389158022</v>
      </c>
      <c r="J30" s="16">
        <f>IF(AND(OR(J29=0,J29=""),G30=0),IF(G31=0,"",'Drilling Spec'!$C$26),I30)</f>
        <v>453.04894389158022</v>
      </c>
      <c r="K30" s="16">
        <f>MAX(0,J30-'Drilling Spec'!$C$30)</f>
        <v>373.04894389158022</v>
      </c>
      <c r="L30" s="18">
        <f>IFERROR(K30/'Drilling Spec'!$C$31,0)</f>
        <v>24.869929592772014</v>
      </c>
      <c r="M30" s="21">
        <f t="shared" si="4"/>
        <v>0</v>
      </c>
      <c r="N30" s="4">
        <f t="shared" si="11"/>
        <v>0</v>
      </c>
      <c r="O30" s="21">
        <f t="shared" si="5"/>
        <v>0</v>
      </c>
      <c r="P30" s="18">
        <f>(SQRT(4*P29*P29*vB*vB + 'Drilling Spec'!$C$48*P29 + WB*('Drilling Spec'!$C$49 + 2*lB*vB*(sB*WB + 2*vB*O30/(1+eB)) + 'Drilling Spec'!$C$50)) - 'Drilling Spec'!$C$51)/(2*vB)</f>
        <v>0</v>
      </c>
      <c r="Q30" s="18" t="str">
        <f>IF(AND(OR(R29=0,R29=""),N30=0),IF(N31=0,"",'Drilling Spec'!$C$30),P30)</f>
        <v/>
      </c>
      <c r="S30">
        <f t="shared" si="13"/>
        <v>28</v>
      </c>
      <c r="T30" s="10"/>
      <c r="U30">
        <f>IF('Baseline 1 - Perfect, 24hr'!L31&gt;'Baseline 1 - Perfect, 24hr'!S30,'Drilling Spec'!$C$36,)</f>
        <v>0</v>
      </c>
      <c r="W30" s="17">
        <f>(J30-'Drilling Spec'!$C$26)/'Drilling Spec'!$C$38</f>
        <v>63.841490648596704</v>
      </c>
      <c r="X30" s="17">
        <f t="shared" si="6"/>
        <v>3.0510963891809979</v>
      </c>
      <c r="Y30" s="17">
        <f t="shared" si="7"/>
        <v>3.8414906485967037</v>
      </c>
      <c r="Z30" s="10"/>
      <c r="AA30">
        <f>IF(Y30&lt;'Drilling Spec'!$C$39,,'Drilling Spec'!$C$39)</f>
        <v>0</v>
      </c>
      <c r="AD30" s="16">
        <f t="shared" si="8"/>
        <v>-453.04894389158022</v>
      </c>
      <c r="AE30" s="16" t="e">
        <f t="shared" si="9"/>
        <v>#N/A</v>
      </c>
      <c r="AF30">
        <f>-'Drilling Spec'!$C$29</f>
        <v>-720</v>
      </c>
      <c r="AG30">
        <f>-'Drilling Spec'!$C$27</f>
        <v>-624</v>
      </c>
      <c r="AH30">
        <f>-'Drilling Spec'!$C$28</f>
        <v>-688</v>
      </c>
      <c r="AI30" t="e">
        <f t="shared" si="10"/>
        <v>#N/A</v>
      </c>
      <c r="AJ30" t="e">
        <f>IF(T30=0,NA(),-'Drilling Spec'!$C$26/2)</f>
        <v>#N/A</v>
      </c>
      <c r="AK30" t="e">
        <f>IF(U30=0,NA(),-'Drilling Spec'!$C$26/2)</f>
        <v>#N/A</v>
      </c>
      <c r="AL30" t="e">
        <f>IF(Z30=0,NA(),-'Drilling Spec'!$C$26*3/2)</f>
        <v>#N/A</v>
      </c>
      <c r="AM30" t="e">
        <f>IF(AA30=0,NA(),-'Drilling Spec'!$C$26*3/2)</f>
        <v>#N/A</v>
      </c>
    </row>
    <row r="31" spans="2:39" x14ac:dyDescent="0.35">
      <c r="B31" s="2">
        <f t="shared" si="12"/>
        <v>45999</v>
      </c>
      <c r="C31" t="str">
        <f t="shared" si="0"/>
        <v>Mon</v>
      </c>
      <c r="D31" s="10" t="s">
        <v>7</v>
      </c>
      <c r="E31" s="10">
        <v>0</v>
      </c>
      <c r="F31" s="4">
        <f t="shared" si="1"/>
        <v>0</v>
      </c>
      <c r="G31" s="4">
        <f t="shared" si="2"/>
        <v>408</v>
      </c>
      <c r="H31" s="4">
        <f t="shared" si="3"/>
        <v>0</v>
      </c>
      <c r="I31" s="15">
        <f>(SQRT(4*J30*J30*V*V + 'Drilling Spec'!$C$42*J30 + W*('Drilling Spec'!$C$43 + 2*l*V*(s*W + 2*V*H31/(1+e)) + 'Drilling Spec'!$C$44)) - 'Drilling Spec'!$C$45)/(2*V)</f>
        <v>453.04894389158034</v>
      </c>
      <c r="J31" s="16">
        <f>IF(AND(OR(J30=0,J30=""),G31=0),IF(G32=0,"",'Drilling Spec'!$C$26),I31)</f>
        <v>453.04894389158034</v>
      </c>
      <c r="K31" s="16">
        <f>MAX(0,J31-'Drilling Spec'!$C$30)</f>
        <v>373.04894389158034</v>
      </c>
      <c r="L31" s="18">
        <f>IFERROR(K31/'Drilling Spec'!$C$31,0)</f>
        <v>24.869929592772021</v>
      </c>
      <c r="M31" s="21">
        <f t="shared" si="4"/>
        <v>0</v>
      </c>
      <c r="N31" s="4">
        <f t="shared" si="11"/>
        <v>0</v>
      </c>
      <c r="O31" s="21">
        <f t="shared" si="5"/>
        <v>0</v>
      </c>
      <c r="P31" s="18">
        <f>(SQRT(4*P30*P30*vB*vB + 'Drilling Spec'!$C$48*P30 + WB*('Drilling Spec'!$C$49 + 2*lB*vB*(sB*WB + 2*vB*O31/(1+eB)) + 'Drilling Spec'!$C$50)) - 'Drilling Spec'!$C$51)/(2*vB)</f>
        <v>0</v>
      </c>
      <c r="Q31" s="18" t="str">
        <f>IF(AND(OR(R30=0,R30=""),N31=0),IF(N32=0,"",'Drilling Spec'!$C$30),P31)</f>
        <v/>
      </c>
      <c r="S31">
        <f t="shared" si="13"/>
        <v>28</v>
      </c>
      <c r="T31" s="10"/>
      <c r="U31">
        <f>IF('Baseline 1 - Perfect, 24hr'!L32&gt;'Baseline 1 - Perfect, 24hr'!S31,'Drilling Spec'!$C$36,)</f>
        <v>0</v>
      </c>
      <c r="W31" s="17">
        <f>(J31-'Drilling Spec'!$C$26)/'Drilling Spec'!$C$38</f>
        <v>63.841490648596725</v>
      </c>
      <c r="X31" s="17">
        <f t="shared" si="6"/>
        <v>2.1316282072803006E-14</v>
      </c>
      <c r="Y31" s="17">
        <f t="shared" si="7"/>
        <v>3.8414906485967251</v>
      </c>
      <c r="Z31" s="10"/>
      <c r="AA31">
        <f>IF(Y31&lt;'Drilling Spec'!$C$39,,'Drilling Spec'!$C$39)</f>
        <v>0</v>
      </c>
      <c r="AD31" s="16">
        <f t="shared" si="8"/>
        <v>-453.04894389158034</v>
      </c>
      <c r="AE31" s="16" t="e">
        <f t="shared" si="9"/>
        <v>#N/A</v>
      </c>
      <c r="AF31">
        <f>-'Drilling Spec'!$C$29</f>
        <v>-720</v>
      </c>
      <c r="AG31">
        <f>-'Drilling Spec'!$C$27</f>
        <v>-624</v>
      </c>
      <c r="AH31">
        <f>-'Drilling Spec'!$C$28</f>
        <v>-688</v>
      </c>
      <c r="AI31" t="e">
        <f t="shared" si="10"/>
        <v>#N/A</v>
      </c>
      <c r="AJ31" t="e">
        <f>IF(T31=0,NA(),-'Drilling Spec'!$C$26/2)</f>
        <v>#N/A</v>
      </c>
      <c r="AK31" t="e">
        <f>IF(U31=0,NA(),-'Drilling Spec'!$C$26/2)</f>
        <v>#N/A</v>
      </c>
      <c r="AL31" t="e">
        <f>IF(Z31=0,NA(),-'Drilling Spec'!$C$26*3/2)</f>
        <v>#N/A</v>
      </c>
      <c r="AM31" t="e">
        <f>IF(AA31=0,NA(),-'Drilling Spec'!$C$26*3/2)</f>
        <v>#N/A</v>
      </c>
    </row>
    <row r="32" spans="2:39" x14ac:dyDescent="0.35">
      <c r="B32" s="2">
        <f t="shared" si="12"/>
        <v>46000</v>
      </c>
      <c r="C32" t="str">
        <f t="shared" si="0"/>
        <v>Tue</v>
      </c>
      <c r="D32" s="10" t="s">
        <v>9</v>
      </c>
      <c r="E32" s="10">
        <v>24</v>
      </c>
      <c r="F32" s="4">
        <f t="shared" si="1"/>
        <v>24</v>
      </c>
      <c r="G32" s="4">
        <f t="shared" si="2"/>
        <v>432</v>
      </c>
      <c r="H32" s="4">
        <f t="shared" si="3"/>
        <v>1440</v>
      </c>
      <c r="I32" s="15">
        <f>(SQRT(4*J31*J31*V*V + 'Drilling Spec'!$C$42*J31 + W*('Drilling Spec'!$C$43 + 2*l*V*(s*W + 2*V*H32/(1+e)) + 'Drilling Spec'!$C$44)) - 'Drilling Spec'!$C$45)/(2*V)</f>
        <v>471.02030076512403</v>
      </c>
      <c r="J32" s="16">
        <f>IF(AND(OR(J31=0,J31=""),G32=0),IF(G33=0,"",'Drilling Spec'!$C$26),I32)</f>
        <v>471.02030076512403</v>
      </c>
      <c r="K32" s="16">
        <f>MAX(0,J32-'Drilling Spec'!$C$30)</f>
        <v>391.02030076512403</v>
      </c>
      <c r="L32" s="18">
        <f>IFERROR(K32/'Drilling Spec'!$C$31,0)</f>
        <v>26.068020051008268</v>
      </c>
      <c r="M32" s="21">
        <f t="shared" si="4"/>
        <v>0</v>
      </c>
      <c r="N32" s="4">
        <f t="shared" si="11"/>
        <v>0</v>
      </c>
      <c r="O32" s="21">
        <f t="shared" si="5"/>
        <v>0</v>
      </c>
      <c r="P32" s="18">
        <f>(SQRT(4*P31*P31*vB*vB + 'Drilling Spec'!$C$48*P31 + WB*('Drilling Spec'!$C$49 + 2*lB*vB*(sB*WB + 2*vB*O32/(1+eB)) + 'Drilling Spec'!$C$50)) - 'Drilling Spec'!$C$51)/(2*vB)</f>
        <v>0</v>
      </c>
      <c r="Q32" s="18" t="str">
        <f>IF(AND(OR(R31=0,R31=""),N32=0),IF(N33=0,"",'Drilling Spec'!$C$30),P32)</f>
        <v/>
      </c>
      <c r="S32">
        <f t="shared" si="13"/>
        <v>28</v>
      </c>
      <c r="T32" s="10"/>
      <c r="U32">
        <f>IF('Baseline 1 - Perfect, 24hr'!L33&gt;'Baseline 1 - Perfect, 24hr'!S32,'Drilling Spec'!$C$36,)</f>
        <v>0</v>
      </c>
      <c r="W32" s="17">
        <f>(J32-'Drilling Spec'!$C$26)/'Drilling Spec'!$C$38</f>
        <v>66.836716794187339</v>
      </c>
      <c r="X32" s="17">
        <f t="shared" si="6"/>
        <v>2.995226145590614</v>
      </c>
      <c r="Y32" s="17">
        <f t="shared" si="7"/>
        <v>6.836716794187339</v>
      </c>
      <c r="Z32" s="10"/>
      <c r="AA32">
        <f>IF(Y32&lt;'Drilling Spec'!$C$39,,'Drilling Spec'!$C$39)</f>
        <v>0</v>
      </c>
      <c r="AD32" s="16">
        <f t="shared" si="8"/>
        <v>-471.02030076512403</v>
      </c>
      <c r="AE32" s="16" t="e">
        <f t="shared" si="9"/>
        <v>#N/A</v>
      </c>
      <c r="AF32">
        <f>-'Drilling Spec'!$C$29</f>
        <v>-720</v>
      </c>
      <c r="AG32">
        <f>-'Drilling Spec'!$C$27</f>
        <v>-624</v>
      </c>
      <c r="AH32">
        <f>-'Drilling Spec'!$C$28</f>
        <v>-688</v>
      </c>
      <c r="AI32" t="e">
        <f t="shared" si="10"/>
        <v>#N/A</v>
      </c>
      <c r="AJ32" t="e">
        <f>IF(T32=0,NA(),-'Drilling Spec'!$C$26/2)</f>
        <v>#N/A</v>
      </c>
      <c r="AK32" t="e">
        <f>IF(U32=0,NA(),-'Drilling Spec'!$C$26/2)</f>
        <v>#N/A</v>
      </c>
      <c r="AL32" t="e">
        <f>IF(Z32=0,NA(),-'Drilling Spec'!$C$26*3/2)</f>
        <v>#N/A</v>
      </c>
      <c r="AM32" t="e">
        <f>IF(AA32=0,NA(),-'Drilling Spec'!$C$26*3/2)</f>
        <v>#N/A</v>
      </c>
    </row>
    <row r="33" spans="2:44" x14ac:dyDescent="0.35">
      <c r="B33" s="2">
        <f t="shared" si="12"/>
        <v>46001</v>
      </c>
      <c r="C33" t="str">
        <f t="shared" si="0"/>
        <v>Wed</v>
      </c>
      <c r="D33" s="10" t="s">
        <v>9</v>
      </c>
      <c r="E33" s="10">
        <v>24</v>
      </c>
      <c r="F33" s="4">
        <f t="shared" si="1"/>
        <v>24</v>
      </c>
      <c r="G33" s="4">
        <f t="shared" si="2"/>
        <v>456</v>
      </c>
      <c r="H33" s="4">
        <f t="shared" si="3"/>
        <v>1440</v>
      </c>
      <c r="I33" s="15">
        <f>(SQRT(4*J32*J32*V*V + 'Drilling Spec'!$C$42*J32 + W*('Drilling Spec'!$C$43 + 2*l*V*(s*W + 2*V*H33/(1+e)) + 'Drilling Spec'!$C$44)) - 'Drilling Spec'!$C$45)/(2*V)</f>
        <v>488.67420360675385</v>
      </c>
      <c r="J33" s="16">
        <f>IF(AND(OR(J32=0,J32=""),G33=0),IF(G34=0,"",'Drilling Spec'!$C$26),I33)</f>
        <v>488.67420360675385</v>
      </c>
      <c r="K33" s="16">
        <f>MAX(0,J33-'Drilling Spec'!$C$30)</f>
        <v>408.67420360675385</v>
      </c>
      <c r="L33" s="18">
        <f>IFERROR(K33/'Drilling Spec'!$C$31,0)</f>
        <v>27.244946907116923</v>
      </c>
      <c r="M33" s="21">
        <f t="shared" si="4"/>
        <v>0</v>
      </c>
      <c r="N33" s="4">
        <f t="shared" si="11"/>
        <v>0</v>
      </c>
      <c r="O33" s="21">
        <f t="shared" si="5"/>
        <v>0</v>
      </c>
      <c r="P33" s="18">
        <f>(SQRT(4*P32*P32*vB*vB + 'Drilling Spec'!$C$48*P32 + WB*('Drilling Spec'!$C$49 + 2*lB*vB*(sB*WB + 2*vB*O33/(1+eB)) + 'Drilling Spec'!$C$50)) - 'Drilling Spec'!$C$51)/(2*vB)</f>
        <v>0</v>
      </c>
      <c r="Q33" s="18" t="str">
        <f>IF(AND(OR(R32=0,R32=""),N33=0),IF(N34=0,"",'Drilling Spec'!$C$30),P33)</f>
        <v/>
      </c>
      <c r="S33">
        <f t="shared" si="13"/>
        <v>28</v>
      </c>
      <c r="T33" s="10"/>
      <c r="U33">
        <f>IF('Baseline 1 - Perfect, 24hr'!L34&gt;'Baseline 1 - Perfect, 24hr'!S33,'Drilling Spec'!$C$36,)</f>
        <v>6</v>
      </c>
      <c r="W33" s="17">
        <f>(J33-'Drilling Spec'!$C$26)/'Drilling Spec'!$C$38</f>
        <v>69.77903393445898</v>
      </c>
      <c r="X33" s="17">
        <f t="shared" si="6"/>
        <v>2.9423171402716406</v>
      </c>
      <c r="Y33" s="17">
        <f t="shared" si="7"/>
        <v>9.7790339344589796</v>
      </c>
      <c r="Z33" s="10"/>
      <c r="AA33">
        <f>IF(Y33&lt;'Drilling Spec'!$C$39,,'Drilling Spec'!$C$39)</f>
        <v>0</v>
      </c>
      <c r="AD33" s="16">
        <f t="shared" si="8"/>
        <v>-488.67420360675385</v>
      </c>
      <c r="AE33" s="16" t="e">
        <f t="shared" si="9"/>
        <v>#N/A</v>
      </c>
      <c r="AF33">
        <f>-'Drilling Spec'!$C$29</f>
        <v>-720</v>
      </c>
      <c r="AG33">
        <f>-'Drilling Spec'!$C$27</f>
        <v>-624</v>
      </c>
      <c r="AH33">
        <f>-'Drilling Spec'!$C$28</f>
        <v>-688</v>
      </c>
      <c r="AI33" t="e">
        <f t="shared" si="10"/>
        <v>#N/A</v>
      </c>
      <c r="AJ33" t="e">
        <f>IF(T33=0,NA(),-'Drilling Spec'!$C$26/2)</f>
        <v>#N/A</v>
      </c>
      <c r="AK33">
        <f>IF(U33=0,NA(),-'Drilling Spec'!$C$26/2)</f>
        <v>-35</v>
      </c>
      <c r="AL33" t="e">
        <f>IF(Z33=0,NA(),-'Drilling Spec'!$C$26*3/2)</f>
        <v>#N/A</v>
      </c>
      <c r="AM33" t="e">
        <f>IF(AA33=0,NA(),-'Drilling Spec'!$C$26*3/2)</f>
        <v>#N/A</v>
      </c>
    </row>
    <row r="34" spans="2:44" x14ac:dyDescent="0.35">
      <c r="B34" s="2">
        <f t="shared" si="12"/>
        <v>46002</v>
      </c>
      <c r="C34" t="str">
        <f t="shared" si="0"/>
        <v>Thu</v>
      </c>
      <c r="D34" s="10" t="s">
        <v>9</v>
      </c>
      <c r="E34" s="10">
        <v>24</v>
      </c>
      <c r="F34" s="4">
        <f t="shared" si="1"/>
        <v>24</v>
      </c>
      <c r="G34" s="4">
        <f t="shared" si="2"/>
        <v>480</v>
      </c>
      <c r="H34" s="4">
        <f t="shared" si="3"/>
        <v>1440</v>
      </c>
      <c r="I34" s="15">
        <f>(SQRT(4*J33*J33*V*V + 'Drilling Spec'!$C$42*J33 + W*('Drilling Spec'!$C$43 + 2*l*V*(s*W + 2*V*H34/(1+e)) + 'Drilling Spec'!$C$44)) - 'Drilling Spec'!$C$45)/(2*V)</f>
        <v>506.02690367370104</v>
      </c>
      <c r="J34" s="16">
        <f>IF(AND(OR(J33=0,J33=""),G34=0),IF(G35=0,"",'Drilling Spec'!$C$26),I34)</f>
        <v>506.02690367370104</v>
      </c>
      <c r="K34" s="16">
        <f>MAX(0,J34-'Drilling Spec'!$C$30)</f>
        <v>426.02690367370104</v>
      </c>
      <c r="L34" s="18">
        <f>IFERROR(K34/'Drilling Spec'!$C$31,0)</f>
        <v>28.401793578246735</v>
      </c>
      <c r="M34" s="21">
        <f t="shared" si="4"/>
        <v>0</v>
      </c>
      <c r="N34" s="4">
        <f t="shared" si="11"/>
        <v>0</v>
      </c>
      <c r="O34" s="21">
        <f t="shared" si="5"/>
        <v>0</v>
      </c>
      <c r="P34" s="18">
        <f>(SQRT(4*P33*P33*vB*vB + 'Drilling Spec'!$C$48*P33 + WB*('Drilling Spec'!$C$49 + 2*lB*vB*(sB*WB + 2*vB*O34/(1+eB)) + 'Drilling Spec'!$C$50)) - 'Drilling Spec'!$C$51)/(2*vB)</f>
        <v>0</v>
      </c>
      <c r="Q34" s="18" t="str">
        <f>IF(AND(OR(R33=0,R33=""),N34=0),IF(N35=0,"",'Drilling Spec'!$C$30),P34)</f>
        <v/>
      </c>
      <c r="S34">
        <f t="shared" si="13"/>
        <v>34</v>
      </c>
      <c r="T34" s="10"/>
      <c r="U34">
        <f>IF('Baseline 1 - Perfect, 24hr'!L35&gt;'Baseline 1 - Perfect, 24hr'!S34,'Drilling Spec'!$C$36,)</f>
        <v>0</v>
      </c>
      <c r="W34" s="17">
        <f>(J34-'Drilling Spec'!$C$26)/'Drilling Spec'!$C$38</f>
        <v>72.671150612283512</v>
      </c>
      <c r="X34" s="17">
        <f t="shared" si="6"/>
        <v>2.8921166778245322</v>
      </c>
      <c r="Y34" s="17">
        <f t="shared" si="7"/>
        <v>12.671150612283512</v>
      </c>
      <c r="Z34" s="10"/>
      <c r="AA34">
        <f>IF(Y34&lt;'Drilling Spec'!$C$39,,'Drilling Spec'!$C$39)</f>
        <v>0</v>
      </c>
      <c r="AD34" s="16">
        <f t="shared" si="8"/>
        <v>-506.02690367370104</v>
      </c>
      <c r="AE34" s="16" t="e">
        <f t="shared" si="9"/>
        <v>#N/A</v>
      </c>
      <c r="AF34">
        <f>-'Drilling Spec'!$C$29</f>
        <v>-720</v>
      </c>
      <c r="AG34">
        <f>-'Drilling Spec'!$C$27</f>
        <v>-624</v>
      </c>
      <c r="AH34">
        <f>-'Drilling Spec'!$C$28</f>
        <v>-688</v>
      </c>
      <c r="AI34" t="e">
        <f t="shared" si="10"/>
        <v>#N/A</v>
      </c>
      <c r="AJ34" t="e">
        <f>IF(T34=0,NA(),-'Drilling Spec'!$C$26/2)</f>
        <v>#N/A</v>
      </c>
      <c r="AK34" t="e">
        <f>IF(U34=0,NA(),-'Drilling Spec'!$C$26/2)</f>
        <v>#N/A</v>
      </c>
      <c r="AL34" t="e">
        <f>IF(Z34=0,NA(),-'Drilling Spec'!$C$26*3/2)</f>
        <v>#N/A</v>
      </c>
      <c r="AM34" t="e">
        <f>IF(AA34=0,NA(),-'Drilling Spec'!$C$26*3/2)</f>
        <v>#N/A</v>
      </c>
    </row>
    <row r="35" spans="2:44" x14ac:dyDescent="0.35">
      <c r="B35" s="2">
        <f t="shared" si="12"/>
        <v>46003</v>
      </c>
      <c r="C35" t="str">
        <f t="shared" si="0"/>
        <v>Fri</v>
      </c>
      <c r="D35" s="10" t="s">
        <v>9</v>
      </c>
      <c r="E35" s="10">
        <v>24</v>
      </c>
      <c r="F35" s="4">
        <f t="shared" si="1"/>
        <v>24</v>
      </c>
      <c r="G35" s="4">
        <f t="shared" ref="G35:G66" si="14">(G34+F35)</f>
        <v>504</v>
      </c>
      <c r="H35" s="4">
        <f t="shared" si="3"/>
        <v>1440</v>
      </c>
      <c r="I35" s="15">
        <f>(SQRT(4*J34*J34*V*V + 'Drilling Spec'!$C$42*J34 + W*('Drilling Spec'!$C$43 + 2*l*V*(s*W + 2*V*H35/(1+e)) + 'Drilling Spec'!$C$44)) - 'Drilling Spec'!$C$45)/(2*V)</f>
        <v>523.09331123018535</v>
      </c>
      <c r="J35" s="16">
        <f>IF(AND(OR(J34=0,J34=""),G35=0),IF(G36=0,"",'Drilling Spec'!$C$26),I35)</f>
        <v>523.09331123018535</v>
      </c>
      <c r="K35" s="16">
        <f>MAX(0,J35-'Drilling Spec'!$C$30)</f>
        <v>443.09331123018535</v>
      </c>
      <c r="L35" s="18">
        <f>IFERROR(K35/'Drilling Spec'!$C$31,0)</f>
        <v>29.539554082012355</v>
      </c>
      <c r="M35" s="21">
        <f t="shared" ref="M35:M66" si="15">IF(D35="Bailing",E35,0)</f>
        <v>0</v>
      </c>
      <c r="N35" s="4">
        <f t="shared" si="11"/>
        <v>0</v>
      </c>
      <c r="O35" s="21">
        <f t="shared" si="5"/>
        <v>0</v>
      </c>
      <c r="P35" s="18">
        <f>(SQRT(4*P34*P34*vB*vB + 'Drilling Spec'!$C$48*P34 + WB*('Drilling Spec'!$C$49 + 2*lB*vB*(sB*WB + 2*vB*O35/(1+eB)) + 'Drilling Spec'!$C$50)) - 'Drilling Spec'!$C$51)/(2*vB)</f>
        <v>0</v>
      </c>
      <c r="Q35" s="18" t="str">
        <f>IF(AND(OR(R34=0,R34=""),N35=0),IF(N36=0,"",'Drilling Spec'!$C$30),P35)</f>
        <v/>
      </c>
      <c r="S35">
        <f t="shared" si="13"/>
        <v>34</v>
      </c>
      <c r="T35" s="10"/>
      <c r="U35">
        <f>IF('Baseline 1 - Perfect, 24hr'!L36&gt;'Baseline 1 - Perfect, 24hr'!S35,'Drilling Spec'!$C$36,)</f>
        <v>0</v>
      </c>
      <c r="W35" s="17">
        <f>(J35-'Drilling Spec'!$C$26)/'Drilling Spec'!$C$38</f>
        <v>75.515551871697554</v>
      </c>
      <c r="X35" s="17">
        <f t="shared" si="6"/>
        <v>2.8444012594140418</v>
      </c>
      <c r="Y35" s="17">
        <f t="shared" ref="Y35:Y66" si="16">Y34+X35-Z35-AA34</f>
        <v>15.515551871697554</v>
      </c>
      <c r="Z35" s="10"/>
      <c r="AA35">
        <f>IF(Y35&lt;'Drilling Spec'!$C$39,,'Drilling Spec'!$C$39)</f>
        <v>0</v>
      </c>
      <c r="AD35" s="16">
        <f t="shared" ref="AD35:AD66" si="17">IFERROR(-J35,NA())</f>
        <v>-523.09331123018535</v>
      </c>
      <c r="AE35" s="16" t="e">
        <f t="shared" si="9"/>
        <v>#N/A</v>
      </c>
      <c r="AF35">
        <f>-'Drilling Spec'!$C$29</f>
        <v>-720</v>
      </c>
      <c r="AG35">
        <f>-'Drilling Spec'!$C$27</f>
        <v>-624</v>
      </c>
      <c r="AH35">
        <f>-'Drilling Spec'!$C$28</f>
        <v>-688</v>
      </c>
      <c r="AI35" t="e">
        <f t="shared" si="10"/>
        <v>#N/A</v>
      </c>
      <c r="AJ35" t="e">
        <f>IF(T35=0,NA(),-'Drilling Spec'!$C$26/2)</f>
        <v>#N/A</v>
      </c>
      <c r="AK35" t="e">
        <f>IF(U35=0,NA(),-'Drilling Spec'!$C$26/2)</f>
        <v>#N/A</v>
      </c>
      <c r="AL35" t="e">
        <f>IF(Z35=0,NA(),-'Drilling Spec'!$C$26*3/2)</f>
        <v>#N/A</v>
      </c>
      <c r="AM35" t="e">
        <f>IF(AA35=0,NA(),-'Drilling Spec'!$C$26*3/2)</f>
        <v>#N/A</v>
      </c>
    </row>
    <row r="36" spans="2:44" x14ac:dyDescent="0.35">
      <c r="B36" s="2">
        <f t="shared" si="12"/>
        <v>46004</v>
      </c>
      <c r="C36" t="str">
        <f t="shared" si="0"/>
        <v>Sat</v>
      </c>
      <c r="D36" s="10" t="s">
        <v>9</v>
      </c>
      <c r="E36" s="10">
        <v>24</v>
      </c>
      <c r="F36" s="4">
        <f t="shared" si="1"/>
        <v>24</v>
      </c>
      <c r="G36" s="4">
        <f t="shared" si="14"/>
        <v>528</v>
      </c>
      <c r="H36" s="4">
        <f t="shared" si="3"/>
        <v>1440</v>
      </c>
      <c r="I36" s="15">
        <f>(SQRT(4*J35*J35*V*V + 'Drilling Spec'!$C$42*J35 + W*('Drilling Spec'!$C$43 + 2*l*V*(s*W + 2*V*H36/(1+e)) + 'Drilling Spec'!$C$44)) - 'Drilling Spec'!$C$45)/(2*V)</f>
        <v>539.88714553193392</v>
      </c>
      <c r="J36" s="16">
        <f>IF(AND(OR(J35=0,J35=""),G36=0),IF(G37=0,"",'Drilling Spec'!$C$26),I36)</f>
        <v>539.88714553193392</v>
      </c>
      <c r="K36" s="16">
        <f>MAX(0,J36-'Drilling Spec'!$C$30)</f>
        <v>459.88714553193392</v>
      </c>
      <c r="L36" s="18">
        <f>IFERROR(K36/'Drilling Spec'!$C$31,0)</f>
        <v>30.659143035462261</v>
      </c>
      <c r="M36" s="21">
        <f t="shared" si="15"/>
        <v>0</v>
      </c>
      <c r="N36" s="4">
        <f t="shared" si="11"/>
        <v>0</v>
      </c>
      <c r="O36" s="21">
        <f t="shared" si="5"/>
        <v>0</v>
      </c>
      <c r="P36" s="18">
        <f>(SQRT(4*P35*P35*vB*vB + 'Drilling Spec'!$C$48*P35 + WB*('Drilling Spec'!$C$49 + 2*lB*vB*(sB*WB + 2*vB*O36/(1+eB)) + 'Drilling Spec'!$C$50)) - 'Drilling Spec'!$C$51)/(2*vB)</f>
        <v>0</v>
      </c>
      <c r="Q36" s="18" t="str">
        <f>IF(AND(OR(R35=0,R35=""),N36=0),IF(N37=0,"",'Drilling Spec'!$C$30),P36)</f>
        <v/>
      </c>
      <c r="S36">
        <f t="shared" si="13"/>
        <v>34</v>
      </c>
      <c r="T36" s="10"/>
      <c r="U36">
        <f>IF('Baseline 1 - Perfect, 24hr'!L37&gt;'Baseline 1 - Perfect, 24hr'!S36,'Drilling Spec'!$C$36,)</f>
        <v>0</v>
      </c>
      <c r="W36" s="17">
        <f>(J36-'Drilling Spec'!$C$26)/'Drilling Spec'!$C$38</f>
        <v>78.314524255322326</v>
      </c>
      <c r="X36" s="17">
        <f t="shared" si="6"/>
        <v>2.798972383624772</v>
      </c>
      <c r="Y36" s="17">
        <f t="shared" si="16"/>
        <v>18.314524255322326</v>
      </c>
      <c r="Z36" s="10"/>
      <c r="AA36">
        <f>IF(Y36&lt;'Drilling Spec'!$C$39,,'Drilling Spec'!$C$39)</f>
        <v>0</v>
      </c>
      <c r="AD36" s="16">
        <f t="shared" si="17"/>
        <v>-539.88714553193392</v>
      </c>
      <c r="AE36" s="16" t="e">
        <f t="shared" si="9"/>
        <v>#N/A</v>
      </c>
      <c r="AF36">
        <f>-'Drilling Spec'!$C$29</f>
        <v>-720</v>
      </c>
      <c r="AG36">
        <f>-'Drilling Spec'!$C$27</f>
        <v>-624</v>
      </c>
      <c r="AH36">
        <f>-'Drilling Spec'!$C$28</f>
        <v>-688</v>
      </c>
      <c r="AI36" t="e">
        <f t="shared" si="10"/>
        <v>#N/A</v>
      </c>
      <c r="AJ36" t="e">
        <f>IF(T36=0,NA(),-'Drilling Spec'!$C$26/2)</f>
        <v>#N/A</v>
      </c>
      <c r="AK36" t="e">
        <f>IF(U36=0,NA(),-'Drilling Spec'!$C$26/2)</f>
        <v>#N/A</v>
      </c>
      <c r="AL36" t="e">
        <f>IF(Z36=0,NA(),-'Drilling Spec'!$C$26*3/2)</f>
        <v>#N/A</v>
      </c>
      <c r="AM36" t="e">
        <f>IF(AA36=0,NA(),-'Drilling Spec'!$C$26*3/2)</f>
        <v>#N/A</v>
      </c>
    </row>
    <row r="37" spans="2:44" x14ac:dyDescent="0.35">
      <c r="B37" s="2">
        <f t="shared" si="12"/>
        <v>46005</v>
      </c>
      <c r="C37" t="str">
        <f t="shared" si="0"/>
        <v>Sun</v>
      </c>
      <c r="D37" s="10" t="s">
        <v>9</v>
      </c>
      <c r="E37" s="10">
        <v>24</v>
      </c>
      <c r="F37" s="4">
        <f t="shared" si="1"/>
        <v>24</v>
      </c>
      <c r="G37" s="4">
        <f t="shared" si="14"/>
        <v>552</v>
      </c>
      <c r="H37" s="4">
        <f t="shared" si="3"/>
        <v>1440</v>
      </c>
      <c r="I37" s="15">
        <f>(SQRT(4*J36*J36*V*V + 'Drilling Spec'!$C$42*J36 + W*('Drilling Spec'!$C$43 + 2*l*V*(s*W + 2*V*H37/(1+e)) + 'Drilling Spec'!$C$44)) - 'Drilling Spec'!$C$45)/(2*V)</f>
        <v>556.42106390803497</v>
      </c>
      <c r="J37" s="16">
        <f>IF(AND(OR(J36=0,J36=""),G37=0),IF(G38=0,"",'Drilling Spec'!$C$26),I37)</f>
        <v>556.42106390803497</v>
      </c>
      <c r="K37" s="16">
        <f>MAX(0,J37-'Drilling Spec'!$C$30)</f>
        <v>476.42106390803497</v>
      </c>
      <c r="L37" s="18">
        <f>IFERROR(K37/'Drilling Spec'!$C$31,0)</f>
        <v>31.761404260535663</v>
      </c>
      <c r="M37" s="21">
        <f t="shared" si="15"/>
        <v>0</v>
      </c>
      <c r="N37" s="4">
        <f t="shared" si="11"/>
        <v>0</v>
      </c>
      <c r="O37" s="21">
        <f t="shared" si="5"/>
        <v>0</v>
      </c>
      <c r="P37" s="18">
        <f>(SQRT(4*P36*P36*vB*vB + 'Drilling Spec'!$C$48*P36 + WB*('Drilling Spec'!$C$49 + 2*lB*vB*(sB*WB + 2*vB*O37/(1+eB)) + 'Drilling Spec'!$C$50)) - 'Drilling Spec'!$C$51)/(2*vB)</f>
        <v>0</v>
      </c>
      <c r="Q37" s="18" t="str">
        <f>IF(AND(OR(R36=0,R36=""),N37=0),IF(N38=0,"",'Drilling Spec'!$C$30),P37)</f>
        <v/>
      </c>
      <c r="S37">
        <f t="shared" si="13"/>
        <v>34</v>
      </c>
      <c r="T37" s="10"/>
      <c r="U37">
        <f>IF('Baseline 1 - Perfect, 24hr'!L38&gt;'Baseline 1 - Perfect, 24hr'!S37,'Drilling Spec'!$C$36,)</f>
        <v>0</v>
      </c>
      <c r="W37" s="17">
        <f>(J37-'Drilling Spec'!$C$26)/'Drilling Spec'!$C$38</f>
        <v>81.070177318005832</v>
      </c>
      <c r="X37" s="17">
        <f t="shared" si="6"/>
        <v>2.755653062683507</v>
      </c>
      <c r="Y37" s="17">
        <f t="shared" si="16"/>
        <v>21.070177318005832</v>
      </c>
      <c r="Z37" s="10"/>
      <c r="AA37">
        <f>IF(Y37&lt;'Drilling Spec'!$C$39,,'Drilling Spec'!$C$39)</f>
        <v>20</v>
      </c>
      <c r="AD37" s="16">
        <f t="shared" si="17"/>
        <v>-556.42106390803497</v>
      </c>
      <c r="AE37" s="16" t="e">
        <f t="shared" si="9"/>
        <v>#N/A</v>
      </c>
      <c r="AF37">
        <f>-'Drilling Spec'!$C$29</f>
        <v>-720</v>
      </c>
      <c r="AG37">
        <f>-'Drilling Spec'!$C$27</f>
        <v>-624</v>
      </c>
      <c r="AH37">
        <f>-'Drilling Spec'!$C$28</f>
        <v>-688</v>
      </c>
      <c r="AI37" t="e">
        <f t="shared" si="10"/>
        <v>#N/A</v>
      </c>
      <c r="AJ37" t="e">
        <f>IF(T37=0,NA(),-'Drilling Spec'!$C$26/2)</f>
        <v>#N/A</v>
      </c>
      <c r="AK37" t="e">
        <f>IF(U37=0,NA(),-'Drilling Spec'!$C$26/2)</f>
        <v>#N/A</v>
      </c>
      <c r="AL37" t="e">
        <f>IF(Z37=0,NA(),-'Drilling Spec'!$C$26*3/2)</f>
        <v>#N/A</v>
      </c>
      <c r="AM37">
        <f>IF(AA37=0,NA(),-'Drilling Spec'!$C$26*3/2)</f>
        <v>-105</v>
      </c>
    </row>
    <row r="38" spans="2:44" x14ac:dyDescent="0.35">
      <c r="B38" s="2">
        <f t="shared" si="12"/>
        <v>46006</v>
      </c>
      <c r="C38" t="str">
        <f t="shared" si="0"/>
        <v>Mon</v>
      </c>
      <c r="D38" s="10" t="s">
        <v>7</v>
      </c>
      <c r="E38" s="10">
        <v>0</v>
      </c>
      <c r="F38" s="4">
        <f t="shared" si="1"/>
        <v>0</v>
      </c>
      <c r="G38" s="4">
        <f t="shared" si="14"/>
        <v>552</v>
      </c>
      <c r="H38" s="4">
        <f t="shared" si="3"/>
        <v>0</v>
      </c>
      <c r="I38" s="15">
        <f>(SQRT(4*J37*J37*V*V + 'Drilling Spec'!$C$42*J37 + W*('Drilling Spec'!$C$43 + 2*l*V*(s*W + 2*V*H38/(1+e)) + 'Drilling Spec'!$C$44)) - 'Drilling Spec'!$C$45)/(2*V)</f>
        <v>556.42106390803497</v>
      </c>
      <c r="J38" s="16">
        <f>IF(AND(OR(J37=0,J37=""),G38=0),IF(G39=0,"",'Drilling Spec'!$C$26),I38)</f>
        <v>556.42106390803497</v>
      </c>
      <c r="K38" s="16">
        <f>MAX(0,J38-'Drilling Spec'!$C$30)</f>
        <v>476.42106390803497</v>
      </c>
      <c r="L38" s="18">
        <f>IFERROR(K38/'Drilling Spec'!$C$31,0)</f>
        <v>31.761404260535663</v>
      </c>
      <c r="M38" s="21">
        <f t="shared" si="15"/>
        <v>0</v>
      </c>
      <c r="N38" s="4">
        <f t="shared" si="11"/>
        <v>0</v>
      </c>
      <c r="O38" s="21">
        <f t="shared" si="5"/>
        <v>0</v>
      </c>
      <c r="P38" s="18">
        <f>(SQRT(4*P37*P37*vB*vB + 'Drilling Spec'!$C$48*P37 + WB*('Drilling Spec'!$C$49 + 2*lB*vB*(sB*WB + 2*vB*O38/(1+eB)) + 'Drilling Spec'!$C$50)) - 'Drilling Spec'!$C$51)/(2*vB)</f>
        <v>0</v>
      </c>
      <c r="Q38" s="18" t="str">
        <f>IF(AND(OR(R37=0,R37=""),N38=0),IF(N39=0,"",'Drilling Spec'!$C$30),P38)</f>
        <v/>
      </c>
      <c r="S38">
        <f t="shared" si="13"/>
        <v>34</v>
      </c>
      <c r="T38" s="10"/>
      <c r="U38">
        <f>IF('Baseline 1 - Perfect, 24hr'!L39&gt;'Baseline 1 - Perfect, 24hr'!S38,'Drilling Spec'!$C$36,)</f>
        <v>0</v>
      </c>
      <c r="W38" s="17">
        <f>(J38-'Drilling Spec'!$C$26)/'Drilling Spec'!$C$38</f>
        <v>81.070177318005832</v>
      </c>
      <c r="X38" s="17">
        <f t="shared" si="6"/>
        <v>0</v>
      </c>
      <c r="Y38" s="17">
        <f t="shared" si="16"/>
        <v>1.0701773180058325</v>
      </c>
      <c r="Z38" s="10"/>
      <c r="AA38">
        <f>IF(Y38&lt;'Drilling Spec'!$C$39,,'Drilling Spec'!$C$39)</f>
        <v>0</v>
      </c>
      <c r="AD38" s="16">
        <f t="shared" si="17"/>
        <v>-556.42106390803497</v>
      </c>
      <c r="AE38" s="16" t="e">
        <f t="shared" si="9"/>
        <v>#N/A</v>
      </c>
      <c r="AF38">
        <f>-'Drilling Spec'!$C$29</f>
        <v>-720</v>
      </c>
      <c r="AG38">
        <f>-'Drilling Spec'!$C$27</f>
        <v>-624</v>
      </c>
      <c r="AH38">
        <f>-'Drilling Spec'!$C$28</f>
        <v>-688</v>
      </c>
      <c r="AI38" t="e">
        <f t="shared" si="10"/>
        <v>#N/A</v>
      </c>
      <c r="AJ38" t="e">
        <f>IF(T38=0,NA(),-'Drilling Spec'!$C$26/2)</f>
        <v>#N/A</v>
      </c>
      <c r="AK38" t="e">
        <f>IF(U38=0,NA(),-'Drilling Spec'!$C$26/2)</f>
        <v>#N/A</v>
      </c>
      <c r="AL38" t="e">
        <f>IF(Z38=0,NA(),-'Drilling Spec'!$C$26*3/2)</f>
        <v>#N/A</v>
      </c>
      <c r="AM38" t="e">
        <f>IF(AA38=0,NA(),-'Drilling Spec'!$C$26*3/2)</f>
        <v>#N/A</v>
      </c>
    </row>
    <row r="39" spans="2:44" x14ac:dyDescent="0.35">
      <c r="B39" s="2">
        <f t="shared" si="12"/>
        <v>46007</v>
      </c>
      <c r="C39" t="str">
        <f t="shared" si="0"/>
        <v>Tue</v>
      </c>
      <c r="D39" s="10" t="s">
        <v>9</v>
      </c>
      <c r="E39" s="10">
        <v>24</v>
      </c>
      <c r="F39" s="4">
        <f t="shared" si="1"/>
        <v>24</v>
      </c>
      <c r="G39" s="4">
        <f t="shared" si="14"/>
        <v>576</v>
      </c>
      <c r="H39" s="4">
        <f t="shared" si="3"/>
        <v>1440</v>
      </c>
      <c r="I39" s="15">
        <f>(SQRT(4*J38*J38*V*V + 'Drilling Spec'!$C$42*J38 + W*('Drilling Spec'!$C$43 + 2*l*V*(s*W + 2*V*H39/(1+e)) + 'Drilling Spec'!$C$44)) - 'Drilling Spec'!$C$45)/(2*V)</f>
        <v>572.70677339402755</v>
      </c>
      <c r="J39" s="16">
        <f>IF(AND(OR(J38=0,J38=""),G39=0),IF(G40=0,"",'Drilling Spec'!$C$26),I39)</f>
        <v>572.70677339402755</v>
      </c>
      <c r="K39" s="16">
        <f>MAX(0,J39-'Drilling Spec'!$C$30)</f>
        <v>492.70677339402755</v>
      </c>
      <c r="L39" s="18">
        <f>IFERROR(K39/'Drilling Spec'!$C$31,0)</f>
        <v>32.847118226268506</v>
      </c>
      <c r="M39" s="21">
        <f t="shared" si="15"/>
        <v>0</v>
      </c>
      <c r="N39" s="4">
        <f t="shared" si="11"/>
        <v>0</v>
      </c>
      <c r="O39" s="21">
        <f t="shared" si="5"/>
        <v>0</v>
      </c>
      <c r="P39" s="18">
        <f>(SQRT(4*P38*P38*vB*vB + 'Drilling Spec'!$C$48*P38 + WB*('Drilling Spec'!$C$49 + 2*lB*vB*(sB*WB + 2*vB*O39/(1+eB)) + 'Drilling Spec'!$C$50)) - 'Drilling Spec'!$C$51)/(2*vB)</f>
        <v>0</v>
      </c>
      <c r="Q39" s="18" t="str">
        <f>IF(AND(OR(R38=0,R38=""),N39=0),IF(N40=0,"",'Drilling Spec'!$C$30),P39)</f>
        <v/>
      </c>
      <c r="S39">
        <f t="shared" si="13"/>
        <v>34</v>
      </c>
      <c r="T39" s="10"/>
      <c r="U39">
        <f>IF('Baseline 1 - Perfect, 24hr'!L40&gt;'Baseline 1 - Perfect, 24hr'!S39,'Drilling Spec'!$C$36,)</f>
        <v>0</v>
      </c>
      <c r="W39" s="17">
        <f>(J39-'Drilling Spec'!$C$26)/'Drilling Spec'!$C$38</f>
        <v>83.78446223233793</v>
      </c>
      <c r="X39" s="17">
        <f t="shared" si="6"/>
        <v>2.7142849143320973</v>
      </c>
      <c r="Y39" s="17">
        <f t="shared" si="16"/>
        <v>3.7844622323379298</v>
      </c>
      <c r="Z39" s="10"/>
      <c r="AA39">
        <f>IF(Y39&lt;'Drilling Spec'!$C$39,,'Drilling Spec'!$C$39)</f>
        <v>0</v>
      </c>
      <c r="AD39" s="16">
        <f t="shared" si="17"/>
        <v>-572.70677339402755</v>
      </c>
      <c r="AE39" s="16" t="e">
        <f t="shared" si="9"/>
        <v>#N/A</v>
      </c>
      <c r="AF39">
        <f>-'Drilling Spec'!$C$29</f>
        <v>-720</v>
      </c>
      <c r="AG39">
        <f>-'Drilling Spec'!$C$27</f>
        <v>-624</v>
      </c>
      <c r="AH39">
        <f>-'Drilling Spec'!$C$28</f>
        <v>-688</v>
      </c>
      <c r="AI39" t="e">
        <f t="shared" si="10"/>
        <v>#N/A</v>
      </c>
      <c r="AJ39" t="e">
        <f>IF(T39=0,NA(),-'Drilling Spec'!$C$26/2)</f>
        <v>#N/A</v>
      </c>
      <c r="AK39" t="e">
        <f>IF(U39=0,NA(),-'Drilling Spec'!$C$26/2)</f>
        <v>#N/A</v>
      </c>
      <c r="AL39" t="e">
        <f>IF(Z39=0,NA(),-'Drilling Spec'!$C$26*3/2)</f>
        <v>#N/A</v>
      </c>
      <c r="AM39" t="e">
        <f>IF(AA39=0,NA(),-'Drilling Spec'!$C$26*3/2)</f>
        <v>#N/A</v>
      </c>
    </row>
    <row r="40" spans="2:44" x14ac:dyDescent="0.35">
      <c r="B40" s="2">
        <f t="shared" si="12"/>
        <v>46008</v>
      </c>
      <c r="C40" t="str">
        <f t="shared" si="0"/>
        <v>Wed</v>
      </c>
      <c r="D40" s="10" t="s">
        <v>9</v>
      </c>
      <c r="E40" s="10">
        <v>24</v>
      </c>
      <c r="F40" s="4">
        <f t="shared" si="1"/>
        <v>24</v>
      </c>
      <c r="G40" s="4">
        <f t="shared" si="14"/>
        <v>600</v>
      </c>
      <c r="H40" s="4">
        <f t="shared" si="3"/>
        <v>1440</v>
      </c>
      <c r="I40" s="15">
        <f>(SQRT(4*J39*J39*V*V + 'Drilling Spec'!$C$42*J39 + W*('Drilling Spec'!$C$43 + 2*l*V*(s*W + 2*V*H40/(1+e)) + 'Drilling Spec'!$C$44)) - 'Drilling Spec'!$C$45)/(2*V)</f>
        <v>588.75512771525246</v>
      </c>
      <c r="J40" s="16">
        <f>IF(AND(OR(J39=0,J39=""),G40=0),IF(G41=0,"",'Drilling Spec'!$C$26),I40)</f>
        <v>588.75512771525246</v>
      </c>
      <c r="K40" s="16">
        <f>MAX(0,J40-'Drilling Spec'!$C$30)</f>
        <v>508.75512771525246</v>
      </c>
      <c r="L40" s="18">
        <f>IFERROR(K40/'Drilling Spec'!$C$31,0)</f>
        <v>33.917008514350165</v>
      </c>
      <c r="M40" s="21">
        <f t="shared" si="15"/>
        <v>0</v>
      </c>
      <c r="N40" s="4">
        <f t="shared" si="11"/>
        <v>0</v>
      </c>
      <c r="O40" s="21">
        <f t="shared" si="5"/>
        <v>0</v>
      </c>
      <c r="P40" s="18">
        <f>(SQRT(4*P39*P39*vB*vB + 'Drilling Spec'!$C$48*P39 + WB*('Drilling Spec'!$C$49 + 2*lB*vB*(sB*WB + 2*vB*O40/(1+eB)) + 'Drilling Spec'!$C$50)) - 'Drilling Spec'!$C$51)/(2*vB)</f>
        <v>0</v>
      </c>
      <c r="Q40" s="18" t="str">
        <f>IF(AND(OR(R39=0,R39=""),N40=0),IF(N41=0,"",'Drilling Spec'!$C$30),P40)</f>
        <v/>
      </c>
      <c r="S40">
        <f t="shared" si="13"/>
        <v>34</v>
      </c>
      <c r="T40" s="10"/>
      <c r="U40">
        <f>IF('Baseline 1 - Perfect, 24hr'!L41&gt;'Baseline 1 - Perfect, 24hr'!S40,'Drilling Spec'!$C$36,)</f>
        <v>6</v>
      </c>
      <c r="W40" s="17">
        <f>(J40-'Drilling Spec'!$C$26)/'Drilling Spec'!$C$38</f>
        <v>86.459187952542081</v>
      </c>
      <c r="X40" s="17">
        <f t="shared" si="6"/>
        <v>2.674725720204151</v>
      </c>
      <c r="Y40" s="17">
        <f t="shared" si="16"/>
        <v>6.4591879525420808</v>
      </c>
      <c r="Z40" s="10"/>
      <c r="AA40">
        <f>IF(Y40&lt;'Drilling Spec'!$C$39,,'Drilling Spec'!$C$39)</f>
        <v>0</v>
      </c>
      <c r="AD40" s="16">
        <f t="shared" si="17"/>
        <v>-588.75512771525246</v>
      </c>
      <c r="AE40" s="16" t="e">
        <f t="shared" si="9"/>
        <v>#N/A</v>
      </c>
      <c r="AF40">
        <f>-'Drilling Spec'!$C$29</f>
        <v>-720</v>
      </c>
      <c r="AG40">
        <f>-'Drilling Spec'!$C$27</f>
        <v>-624</v>
      </c>
      <c r="AH40">
        <f>-'Drilling Spec'!$C$28</f>
        <v>-688</v>
      </c>
      <c r="AI40" t="e">
        <f t="shared" si="10"/>
        <v>#N/A</v>
      </c>
      <c r="AJ40" t="e">
        <f>IF(T40=0,NA(),-'Drilling Spec'!$C$26/2)</f>
        <v>#N/A</v>
      </c>
      <c r="AK40">
        <f>IF(U40=0,NA(),-'Drilling Spec'!$C$26/2)</f>
        <v>-35</v>
      </c>
      <c r="AL40" t="e">
        <f>IF(Z40=0,NA(),-'Drilling Spec'!$C$26*3/2)</f>
        <v>#N/A</v>
      </c>
      <c r="AM40" t="e">
        <f>IF(AA40=0,NA(),-'Drilling Spec'!$C$26*3/2)</f>
        <v>#N/A</v>
      </c>
    </row>
    <row r="41" spans="2:44" x14ac:dyDescent="0.35">
      <c r="B41" s="2">
        <f t="shared" si="12"/>
        <v>46009</v>
      </c>
      <c r="C41" t="str">
        <f t="shared" si="0"/>
        <v>Thu</v>
      </c>
      <c r="D41" s="10" t="s">
        <v>9</v>
      </c>
      <c r="E41" s="10">
        <v>24</v>
      </c>
      <c r="F41" s="4">
        <f t="shared" si="1"/>
        <v>24</v>
      </c>
      <c r="G41" s="4">
        <f t="shared" si="14"/>
        <v>624</v>
      </c>
      <c r="H41" s="4">
        <f t="shared" si="3"/>
        <v>1440</v>
      </c>
      <c r="I41" s="15">
        <f>(SQRT(4*J40*J40*V*V + 'Drilling Spec'!$C$42*J40 + W*('Drilling Spec'!$C$43 + 2*l*V*(s*W + 2*V*H41/(1+e)) + 'Drilling Spec'!$C$44)) - 'Drilling Spec'!$C$45)/(2*V)</f>
        <v>604.57621190383429</v>
      </c>
      <c r="J41" s="16">
        <f>IF(AND(OR(J40=0,J40=""),G41=0),IF(G42=0,"",'Drilling Spec'!$C$26),I41)</f>
        <v>604.57621190383429</v>
      </c>
      <c r="K41" s="16">
        <f>MAX(0,J41-'Drilling Spec'!$C$30)</f>
        <v>524.57621190383429</v>
      </c>
      <c r="L41" s="18">
        <f>IFERROR(K41/'Drilling Spec'!$C$31,0)</f>
        <v>34.971747460255621</v>
      </c>
      <c r="M41" s="21">
        <f t="shared" si="15"/>
        <v>0</v>
      </c>
      <c r="N41" s="4">
        <f t="shared" si="11"/>
        <v>0</v>
      </c>
      <c r="O41" s="21">
        <f t="shared" si="5"/>
        <v>0</v>
      </c>
      <c r="P41" s="18">
        <f>(SQRT(4*P40*P40*vB*vB + 'Drilling Spec'!$C$48*P40 + WB*('Drilling Spec'!$C$49 + 2*lB*vB*(sB*WB + 2*vB*O41/(1+eB)) + 'Drilling Spec'!$C$50)) - 'Drilling Spec'!$C$51)/(2*vB)</f>
        <v>0</v>
      </c>
      <c r="Q41" s="18" t="str">
        <f>IF(AND(OR(R40=0,R40=""),N41=0),IF(N42=0,"",'Drilling Spec'!$C$30),P41)</f>
        <v/>
      </c>
      <c r="S41">
        <f t="shared" si="13"/>
        <v>40</v>
      </c>
      <c r="T41" s="10"/>
      <c r="U41">
        <f>IF('Baseline 1 - Perfect, 24hr'!L42&gt;'Baseline 1 - Perfect, 24hr'!S41,'Drilling Spec'!$C$36,)</f>
        <v>0</v>
      </c>
      <c r="W41" s="17">
        <f>(J41-'Drilling Spec'!$C$26)/'Drilling Spec'!$C$38</f>
        <v>89.09603531730572</v>
      </c>
      <c r="X41" s="17">
        <f t="shared" si="6"/>
        <v>2.6368473647636392</v>
      </c>
      <c r="Y41" s="17">
        <f t="shared" si="16"/>
        <v>9.09603531730572</v>
      </c>
      <c r="Z41" s="10"/>
      <c r="AA41">
        <f>IF(Y41&lt;'Drilling Spec'!$C$39,,'Drilling Spec'!$C$39)</f>
        <v>0</v>
      </c>
      <c r="AD41" s="16">
        <f t="shared" si="17"/>
        <v>-604.57621190383429</v>
      </c>
      <c r="AE41" s="16" t="e">
        <f t="shared" si="9"/>
        <v>#N/A</v>
      </c>
      <c r="AF41">
        <f>-'Drilling Spec'!$C$29</f>
        <v>-720</v>
      </c>
      <c r="AG41">
        <f>-'Drilling Spec'!$C$27</f>
        <v>-624</v>
      </c>
      <c r="AH41">
        <f>-'Drilling Spec'!$C$28</f>
        <v>-688</v>
      </c>
      <c r="AI41" t="e">
        <f t="shared" si="10"/>
        <v>#N/A</v>
      </c>
      <c r="AJ41" t="e">
        <f>IF(T41=0,NA(),-'Drilling Spec'!$C$26/2)</f>
        <v>#N/A</v>
      </c>
      <c r="AK41" t="e">
        <f>IF(U41=0,NA(),-'Drilling Spec'!$C$26/2)</f>
        <v>#N/A</v>
      </c>
      <c r="AL41" t="e">
        <f>IF(Z41=0,NA(),-'Drilling Spec'!$C$26*3/2)</f>
        <v>#N/A</v>
      </c>
      <c r="AM41" t="e">
        <f>IF(AA41=0,NA(),-'Drilling Spec'!$C$26*3/2)</f>
        <v>#N/A</v>
      </c>
    </row>
    <row r="42" spans="2:44" x14ac:dyDescent="0.35">
      <c r="B42" s="2">
        <f t="shared" si="12"/>
        <v>46010</v>
      </c>
      <c r="C42" t="str">
        <f t="shared" si="0"/>
        <v>Fri</v>
      </c>
      <c r="D42" s="10" t="s">
        <v>9</v>
      </c>
      <c r="E42" s="10">
        <v>24</v>
      </c>
      <c r="F42" s="4">
        <f t="shared" si="1"/>
        <v>24</v>
      </c>
      <c r="G42" s="4">
        <f t="shared" si="14"/>
        <v>648</v>
      </c>
      <c r="H42" s="4">
        <f t="shared" si="3"/>
        <v>1440</v>
      </c>
      <c r="I42" s="15">
        <f>(SQRT(4*J41*J41*V*V + 'Drilling Spec'!$C$42*J41 + W*('Drilling Spec'!$C$43 + 2*l*V*(s*W + 2*V*H42/(1+e)) + 'Drilling Spec'!$C$44)) - 'Drilling Spec'!$C$45)/(2*V)</f>
        <v>620.17941642361609</v>
      </c>
      <c r="J42" s="16">
        <f>IF(AND(OR(J41=0,J41=""),G42=0),IF(G43=0,"",'Drilling Spec'!$C$26),I42)</f>
        <v>620.17941642361609</v>
      </c>
      <c r="K42" s="16">
        <f>MAX(0,J42-'Drilling Spec'!$C$30)</f>
        <v>540.17941642361609</v>
      </c>
      <c r="L42" s="18">
        <f>IFERROR(K42/'Drilling Spec'!$C$31,0)</f>
        <v>36.01196109490774</v>
      </c>
      <c r="M42" s="21">
        <f t="shared" si="15"/>
        <v>0</v>
      </c>
      <c r="N42" s="4">
        <f t="shared" si="11"/>
        <v>0</v>
      </c>
      <c r="O42" s="21">
        <f t="shared" si="5"/>
        <v>0</v>
      </c>
      <c r="P42" s="18">
        <f>(SQRT(4*P41*P41*vB*vB + 'Drilling Spec'!$C$48*P41 + WB*('Drilling Spec'!$C$49 + 2*lB*vB*(sB*WB + 2*vB*O42/(1+eB)) + 'Drilling Spec'!$C$50)) - 'Drilling Spec'!$C$51)/(2*vB)</f>
        <v>0</v>
      </c>
      <c r="Q42" s="18" t="str">
        <f>IF(AND(OR(R41=0,R41=""),N42=0),IF(N43=0,"",'Drilling Spec'!$C$30),P42)</f>
        <v/>
      </c>
      <c r="S42">
        <f t="shared" si="13"/>
        <v>40</v>
      </c>
      <c r="T42" s="10"/>
      <c r="U42">
        <f>IF('Baseline 1 - Perfect, 24hr'!L43&gt;'Baseline 1 - Perfect, 24hr'!S42,'Drilling Spec'!$C$36,)</f>
        <v>0</v>
      </c>
      <c r="W42" s="17">
        <f>(J42-'Drilling Spec'!$C$26)/'Drilling Spec'!$C$38</f>
        <v>91.69656940393601</v>
      </c>
      <c r="X42" s="17">
        <f t="shared" si="6"/>
        <v>2.6005340866302902</v>
      </c>
      <c r="Y42" s="17">
        <f t="shared" si="16"/>
        <v>11.69656940393601</v>
      </c>
      <c r="Z42" s="10"/>
      <c r="AA42">
        <f>IF(Y42&lt;'Drilling Spec'!$C$39,,'Drilling Spec'!$C$39)</f>
        <v>0</v>
      </c>
      <c r="AD42" s="16">
        <f t="shared" si="17"/>
        <v>-620.17941642361609</v>
      </c>
      <c r="AE42" s="16" t="e">
        <f t="shared" si="9"/>
        <v>#N/A</v>
      </c>
      <c r="AF42">
        <f>-'Drilling Spec'!$C$29</f>
        <v>-720</v>
      </c>
      <c r="AG42">
        <f>-'Drilling Spec'!$C$27</f>
        <v>-624</v>
      </c>
      <c r="AH42">
        <f>-'Drilling Spec'!$C$28</f>
        <v>-688</v>
      </c>
      <c r="AI42" t="e">
        <f t="shared" si="10"/>
        <v>#N/A</v>
      </c>
      <c r="AJ42" t="e">
        <f>IF(T42=0,NA(),-'Drilling Spec'!$C$26/2)</f>
        <v>#N/A</v>
      </c>
      <c r="AK42" t="e">
        <f>IF(U42=0,NA(),-'Drilling Spec'!$C$26/2)</f>
        <v>#N/A</v>
      </c>
      <c r="AL42" t="e">
        <f>IF(Z42=0,NA(),-'Drilling Spec'!$C$26*3/2)</f>
        <v>#N/A</v>
      </c>
      <c r="AM42" t="e">
        <f>IF(AA42=0,NA(),-'Drilling Spec'!$C$26*3/2)</f>
        <v>#N/A</v>
      </c>
    </row>
    <row r="43" spans="2:44" x14ac:dyDescent="0.35">
      <c r="B43" s="2">
        <f t="shared" si="12"/>
        <v>46011</v>
      </c>
      <c r="C43" t="str">
        <f t="shared" si="0"/>
        <v>Sat</v>
      </c>
      <c r="D43" s="10" t="s">
        <v>9</v>
      </c>
      <c r="E43" s="10">
        <v>24</v>
      </c>
      <c r="F43" s="4">
        <f t="shared" si="1"/>
        <v>24</v>
      </c>
      <c r="G43" s="4">
        <f t="shared" si="14"/>
        <v>672</v>
      </c>
      <c r="H43" s="4">
        <f t="shared" si="3"/>
        <v>1440</v>
      </c>
      <c r="I43" s="15">
        <f>(SQRT(4*J42*J42*V*V + 'Drilling Spec'!$C$42*J42 + W*('Drilling Spec'!$C$43 + 2*l*V*(s*W + 2*V*H43/(1+e)) + 'Drilling Spec'!$C$44)) - 'Drilling Spec'!$C$45)/(2*V)</f>
        <v>635.57350235060562</v>
      </c>
      <c r="J43" s="16">
        <f>IF(AND(OR(J42=0,J42=""),G43=0),IF(G44=0,"",'Drilling Spec'!$C$26),I43)</f>
        <v>635.57350235060562</v>
      </c>
      <c r="K43" s="16">
        <f>MAX(0,J43-'Drilling Spec'!$C$30)</f>
        <v>555.57350235060562</v>
      </c>
      <c r="L43" s="18">
        <f>IFERROR(K43/'Drilling Spec'!$C$31,0)</f>
        <v>37.038233490040376</v>
      </c>
      <c r="M43" s="21">
        <f t="shared" si="15"/>
        <v>0</v>
      </c>
      <c r="N43" s="4">
        <f t="shared" si="11"/>
        <v>0</v>
      </c>
      <c r="O43" s="21">
        <f t="shared" si="5"/>
        <v>0</v>
      </c>
      <c r="P43" s="18">
        <f>(SQRT(4*P42*P42*vB*vB + 'Drilling Spec'!$C$48*P42 + WB*('Drilling Spec'!$C$49 + 2*lB*vB*(sB*WB + 2*vB*O43/(1+eB)) + 'Drilling Spec'!$C$50)) - 'Drilling Spec'!$C$51)/(2*vB)</f>
        <v>0</v>
      </c>
      <c r="Q43" s="18" t="str">
        <f>IF(AND(OR(R42=0,R42=""),N43=0),IF(N44=0,"",'Drilling Spec'!$C$30),P43)</f>
        <v/>
      </c>
      <c r="S43">
        <f t="shared" si="13"/>
        <v>40</v>
      </c>
      <c r="T43" s="10"/>
      <c r="U43">
        <f>IF('Baseline 1 - Perfect, 24hr'!L44&gt;'Baseline 1 - Perfect, 24hr'!S43,'Drilling Spec'!$C$36,)</f>
        <v>0</v>
      </c>
      <c r="W43" s="17">
        <f>(J43-'Drilling Spec'!$C$26)/'Drilling Spec'!$C$38</f>
        <v>94.262250391767608</v>
      </c>
      <c r="X43" s="17">
        <f t="shared" si="6"/>
        <v>2.5656809878315983</v>
      </c>
      <c r="Y43" s="17">
        <f t="shared" si="16"/>
        <v>14.262250391767608</v>
      </c>
      <c r="Z43" s="10"/>
      <c r="AA43">
        <f>IF(Y43&lt;'Drilling Spec'!$C$39,,'Drilling Spec'!$C$39)</f>
        <v>0</v>
      </c>
      <c r="AD43" s="16">
        <f t="shared" si="17"/>
        <v>-635.57350235060562</v>
      </c>
      <c r="AE43" s="16" t="e">
        <f t="shared" si="9"/>
        <v>#N/A</v>
      </c>
      <c r="AF43">
        <f>-'Drilling Spec'!$C$29</f>
        <v>-720</v>
      </c>
      <c r="AG43">
        <f>-'Drilling Spec'!$C$27</f>
        <v>-624</v>
      </c>
      <c r="AH43">
        <f>-'Drilling Spec'!$C$28</f>
        <v>-688</v>
      </c>
      <c r="AI43" t="e">
        <f t="shared" si="10"/>
        <v>#N/A</v>
      </c>
      <c r="AJ43" t="e">
        <f>IF(T43=0,NA(),-'Drilling Spec'!$C$26/2)</f>
        <v>#N/A</v>
      </c>
      <c r="AK43" t="e">
        <f>IF(U43=0,NA(),-'Drilling Spec'!$C$26/2)</f>
        <v>#N/A</v>
      </c>
      <c r="AL43" t="e">
        <f>IF(Z43=0,NA(),-'Drilling Spec'!$C$26*3/2)</f>
        <v>#N/A</v>
      </c>
      <c r="AM43" t="e">
        <f>IF(AA43=0,NA(),-'Drilling Spec'!$C$26*3/2)</f>
        <v>#N/A</v>
      </c>
      <c r="AN43" s="5" t="s">
        <v>110</v>
      </c>
      <c r="AO43" s="5">
        <f>COUNTIF(D3:D112,"Drilling")</f>
        <v>36</v>
      </c>
      <c r="AP43" s="5" t="s">
        <v>112</v>
      </c>
      <c r="AQ43" s="5">
        <f>MAX(G3:G112)</f>
        <v>816</v>
      </c>
      <c r="AR43" s="5" t="s">
        <v>111</v>
      </c>
    </row>
    <row r="44" spans="2:44" x14ac:dyDescent="0.35">
      <c r="B44" s="2">
        <f t="shared" si="12"/>
        <v>46012</v>
      </c>
      <c r="C44" t="str">
        <f t="shared" si="0"/>
        <v>Sun</v>
      </c>
      <c r="D44" s="10" t="s">
        <v>9</v>
      </c>
      <c r="E44" s="10">
        <v>24</v>
      </c>
      <c r="F44" s="4">
        <f t="shared" si="1"/>
        <v>24</v>
      </c>
      <c r="G44" s="4">
        <f t="shared" si="14"/>
        <v>696</v>
      </c>
      <c r="H44" s="4">
        <f t="shared" si="3"/>
        <v>1440</v>
      </c>
      <c r="I44" s="15">
        <f>(SQRT(4*J43*J43*V*V + 'Drilling Spec'!$C$42*J43 + W*('Drilling Spec'!$C$43 + 2*l*V*(s*W + 2*V*H44/(1+e)) + 'Drilling Spec'!$C$44)) - 'Drilling Spec'!$C$45)/(2*V)</f>
        <v>650.76665889374954</v>
      </c>
      <c r="J44" s="16">
        <f>IF(AND(OR(J43=0,J43=""),G44=0),IF(G45=0,"",'Drilling Spec'!$C$26),I44)</f>
        <v>650.76665889374954</v>
      </c>
      <c r="K44" s="16">
        <f>MAX(0,J44-'Drilling Spec'!$C$30)</f>
        <v>570.76665889374954</v>
      </c>
      <c r="L44" s="18">
        <f>IFERROR(K44/'Drilling Spec'!$C$31,0)</f>
        <v>38.051110592916636</v>
      </c>
      <c r="M44" s="21">
        <f t="shared" si="15"/>
        <v>0</v>
      </c>
      <c r="N44" s="4">
        <f t="shared" si="11"/>
        <v>0</v>
      </c>
      <c r="O44" s="21">
        <f t="shared" si="5"/>
        <v>0</v>
      </c>
      <c r="P44" s="18">
        <f>(SQRT(4*P43*P43*vB*vB + 'Drilling Spec'!$C$48*P43 + WB*('Drilling Spec'!$C$49 + 2*lB*vB*(sB*WB + 2*vB*O44/(1+eB)) + 'Drilling Spec'!$C$50)) - 'Drilling Spec'!$C$51)/(2*vB)</f>
        <v>0</v>
      </c>
      <c r="Q44" s="18" t="str">
        <f>IF(AND(OR(R43=0,R43=""),N44=0),IF(N45=0,"",'Drilling Spec'!$C$30),P44)</f>
        <v/>
      </c>
      <c r="S44">
        <f t="shared" si="13"/>
        <v>40</v>
      </c>
      <c r="T44" s="10"/>
      <c r="U44">
        <f>IF('Baseline 1 - Perfect, 24hr'!L45&gt;'Baseline 1 - Perfect, 24hr'!S44,'Drilling Spec'!$C$36,)</f>
        <v>0</v>
      </c>
      <c r="W44" s="17">
        <f>(J44-'Drilling Spec'!$C$26)/'Drilling Spec'!$C$38</f>
        <v>96.794443148958251</v>
      </c>
      <c r="X44" s="17">
        <f t="shared" si="6"/>
        <v>2.5321927571906429</v>
      </c>
      <c r="Y44" s="17">
        <f t="shared" si="16"/>
        <v>16.794443148958251</v>
      </c>
      <c r="Z44" s="10"/>
      <c r="AA44">
        <f>IF(Y44&lt;'Drilling Spec'!$C$39,,'Drilling Spec'!$C$39)</f>
        <v>0</v>
      </c>
      <c r="AD44" s="16">
        <f t="shared" si="17"/>
        <v>-650.76665889374954</v>
      </c>
      <c r="AE44" s="16" t="e">
        <f t="shared" si="9"/>
        <v>#N/A</v>
      </c>
      <c r="AF44">
        <f>-'Drilling Spec'!$C$29</f>
        <v>-720</v>
      </c>
      <c r="AG44">
        <f>-'Drilling Spec'!$C$27</f>
        <v>-624</v>
      </c>
      <c r="AH44">
        <f>-'Drilling Spec'!$C$28</f>
        <v>-688</v>
      </c>
      <c r="AI44" t="e">
        <f t="shared" si="10"/>
        <v>#N/A</v>
      </c>
      <c r="AJ44" t="e">
        <f>IF(T44=0,NA(),-'Drilling Spec'!$C$26/2)</f>
        <v>#N/A</v>
      </c>
      <c r="AK44" t="e">
        <f>IF(U44=0,NA(),-'Drilling Spec'!$C$26/2)</f>
        <v>#N/A</v>
      </c>
      <c r="AL44" t="e">
        <f>IF(Z44=0,NA(),-'Drilling Spec'!$C$26*3/2)</f>
        <v>#N/A</v>
      </c>
      <c r="AM44" t="e">
        <f>IF(AA44=0,NA(),-'Drilling Spec'!$C$26*3/2)</f>
        <v>#N/A</v>
      </c>
      <c r="AN44" s="5" t="s">
        <v>109</v>
      </c>
      <c r="AO44" s="5">
        <f>COUNTIF(D3:D112,"Bailing")</f>
        <v>6</v>
      </c>
      <c r="AP44" s="5" t="s">
        <v>112</v>
      </c>
      <c r="AQ44" s="5">
        <f>MAX(N3:N112)</f>
        <v>144</v>
      </c>
      <c r="AR44" s="5" t="s">
        <v>111</v>
      </c>
    </row>
    <row r="45" spans="2:44" x14ac:dyDescent="0.35">
      <c r="B45" s="2">
        <f t="shared" si="12"/>
        <v>46013</v>
      </c>
      <c r="C45" t="str">
        <f t="shared" si="0"/>
        <v>Mon</v>
      </c>
      <c r="D45" s="10" t="s">
        <v>7</v>
      </c>
      <c r="E45" s="10">
        <v>0</v>
      </c>
      <c r="F45" s="4">
        <f t="shared" si="1"/>
        <v>0</v>
      </c>
      <c r="G45" s="4">
        <f t="shared" si="14"/>
        <v>696</v>
      </c>
      <c r="H45" s="4">
        <f t="shared" si="3"/>
        <v>0</v>
      </c>
      <c r="I45" s="15">
        <f>(SQRT(4*J44*J44*V*V + 'Drilling Spec'!$C$42*J44 + W*('Drilling Spec'!$C$43 + 2*l*V*(s*W + 2*V*H45/(1+e)) + 'Drilling Spec'!$C$44)) - 'Drilling Spec'!$C$45)/(2*V)</f>
        <v>650.76665889374954</v>
      </c>
      <c r="J45" s="16">
        <f>IF(AND(OR(J44=0,J44=""),G45=0),IF(G46=0,"",'Drilling Spec'!$C$26),I45)</f>
        <v>650.76665889374954</v>
      </c>
      <c r="K45" s="16">
        <f>MAX(0,J45-'Drilling Spec'!$C$30)</f>
        <v>570.76665889374954</v>
      </c>
      <c r="L45" s="18">
        <f>IFERROR(K45/'Drilling Spec'!$C$31,0)</f>
        <v>38.051110592916636</v>
      </c>
      <c r="M45" s="21">
        <f t="shared" si="15"/>
        <v>0</v>
      </c>
      <c r="N45" s="4">
        <f t="shared" si="11"/>
        <v>0</v>
      </c>
      <c r="O45" s="21">
        <f t="shared" si="5"/>
        <v>0</v>
      </c>
      <c r="P45" s="18">
        <f>(SQRT(4*P44*P44*vB*vB + 'Drilling Spec'!$C$48*P44 + WB*('Drilling Spec'!$C$49 + 2*lB*vB*(sB*WB + 2*vB*O45/(1+eB)) + 'Drilling Spec'!$C$50)) - 'Drilling Spec'!$C$51)/(2*vB)</f>
        <v>0</v>
      </c>
      <c r="Q45" s="18" t="str">
        <f>IF(AND(OR(R44=0,R44=""),N45=0),IF(N46=0,"",'Drilling Spec'!$C$30),P45)</f>
        <v/>
      </c>
      <c r="S45">
        <f t="shared" si="13"/>
        <v>40</v>
      </c>
      <c r="T45" s="10"/>
      <c r="U45">
        <f>IF('Baseline 1 - Perfect, 24hr'!L46&gt;'Baseline 1 - Perfect, 24hr'!S45,'Drilling Spec'!$C$36,)</f>
        <v>0</v>
      </c>
      <c r="W45" s="17">
        <f>(J45-'Drilling Spec'!$C$26)/'Drilling Spec'!$C$38</f>
        <v>96.794443148958251</v>
      </c>
      <c r="X45" s="17">
        <f t="shared" si="6"/>
        <v>0</v>
      </c>
      <c r="Y45" s="17">
        <f t="shared" si="16"/>
        <v>16.794443148958251</v>
      </c>
      <c r="Z45" s="10"/>
      <c r="AA45">
        <f>IF(Y45&lt;'Drilling Spec'!$C$39,,'Drilling Spec'!$C$39)</f>
        <v>0</v>
      </c>
      <c r="AD45" s="16">
        <f t="shared" si="17"/>
        <v>-650.76665889374954</v>
      </c>
      <c r="AE45" s="16" t="e">
        <f t="shared" si="9"/>
        <v>#N/A</v>
      </c>
      <c r="AF45">
        <f>-'Drilling Spec'!$C$29</f>
        <v>-720</v>
      </c>
      <c r="AG45">
        <f>-'Drilling Spec'!$C$27</f>
        <v>-624</v>
      </c>
      <c r="AH45">
        <f>-'Drilling Spec'!$C$28</f>
        <v>-688</v>
      </c>
      <c r="AI45" t="e">
        <f t="shared" si="10"/>
        <v>#N/A</v>
      </c>
      <c r="AJ45" t="e">
        <f>IF(T45=0,NA(),-'Drilling Spec'!$C$26/2)</f>
        <v>#N/A</v>
      </c>
      <c r="AK45" t="e">
        <f>IF(U45=0,NA(),-'Drilling Spec'!$C$26/2)</f>
        <v>#N/A</v>
      </c>
      <c r="AL45" t="e">
        <f>IF(Z45=0,NA(),-'Drilling Spec'!$C$26*3/2)</f>
        <v>#N/A</v>
      </c>
      <c r="AM45" t="e">
        <f>IF(AA45=0,NA(),-'Drilling Spec'!$C$26*3/2)</f>
        <v>#N/A</v>
      </c>
    </row>
    <row r="46" spans="2:44" x14ac:dyDescent="0.35">
      <c r="B46" s="2">
        <f t="shared" si="12"/>
        <v>46014</v>
      </c>
      <c r="C46" t="str">
        <f t="shared" si="0"/>
        <v>Tue</v>
      </c>
      <c r="D46" s="10" t="s">
        <v>9</v>
      </c>
      <c r="E46" s="10">
        <v>24</v>
      </c>
      <c r="F46" s="4">
        <f t="shared" si="1"/>
        <v>24</v>
      </c>
      <c r="G46" s="4">
        <f t="shared" si="14"/>
        <v>720</v>
      </c>
      <c r="H46" s="4">
        <f t="shared" si="3"/>
        <v>1440</v>
      </c>
      <c r="I46" s="15">
        <f>(SQRT(4*J45*J45*V*V + 'Drilling Spec'!$C$42*J45 + W*('Drilling Spec'!$C$43 + 2*l*V*(s*W + 2*V*H46/(1+e)) + 'Drilling Spec'!$C$44)) - 'Drilling Spec'!$C$45)/(2*V)</f>
        <v>665.76655432827931</v>
      </c>
      <c r="J46" s="16">
        <f>IF(AND(OR(J45=0,J45=""),G46=0),IF(G47=0,"",'Drilling Spec'!$C$26),I46)</f>
        <v>665.76655432827931</v>
      </c>
      <c r="K46" s="16">
        <f>MAX(0,J46-'Drilling Spec'!$C$30)</f>
        <v>585.76655432827931</v>
      </c>
      <c r="L46" s="18">
        <f>IFERROR(K46/'Drilling Spec'!$C$31,0)</f>
        <v>39.051103621885289</v>
      </c>
      <c r="M46" s="21">
        <f t="shared" si="15"/>
        <v>0</v>
      </c>
      <c r="N46" s="4">
        <f t="shared" si="11"/>
        <v>0</v>
      </c>
      <c r="O46" s="21">
        <f t="shared" si="5"/>
        <v>0</v>
      </c>
      <c r="P46" s="18">
        <f>(SQRT(4*P45*P45*vB*vB + 'Drilling Spec'!$C$48*P45 + WB*('Drilling Spec'!$C$49 + 2*lB*vB*(sB*WB + 2*vB*O46/(1+eB)) + 'Drilling Spec'!$C$50)) - 'Drilling Spec'!$C$51)/(2*vB)</f>
        <v>0</v>
      </c>
      <c r="Q46" s="18" t="str">
        <f>IF(AND(OR(R45=0,R45=""),N46=0),IF(N47=0,"",'Drilling Spec'!$C$30),P46)</f>
        <v/>
      </c>
      <c r="S46">
        <f t="shared" si="13"/>
        <v>40</v>
      </c>
      <c r="T46" s="10"/>
      <c r="U46">
        <f>IF('Baseline 1 - Perfect, 24hr'!L47&gt;'Baseline 1 - Perfect, 24hr'!S46,'Drilling Spec'!$C$36,)</f>
        <v>6</v>
      </c>
      <c r="W46" s="17">
        <f>(J46-'Drilling Spec'!$C$26)/'Drilling Spec'!$C$38</f>
        <v>99.294425721379881</v>
      </c>
      <c r="X46" s="17">
        <f t="shared" si="6"/>
        <v>2.4999825724216294</v>
      </c>
      <c r="Y46" s="17">
        <f t="shared" si="16"/>
        <v>19.294425721379881</v>
      </c>
      <c r="Z46" s="10"/>
      <c r="AA46">
        <f>IF(Y46&lt;'Drilling Spec'!$C$39,,'Drilling Spec'!$C$39)</f>
        <v>0</v>
      </c>
      <c r="AD46" s="16">
        <f t="shared" si="17"/>
        <v>-665.76655432827931</v>
      </c>
      <c r="AE46" s="16" t="e">
        <f t="shared" si="9"/>
        <v>#N/A</v>
      </c>
      <c r="AF46">
        <f>-'Drilling Spec'!$C$29</f>
        <v>-720</v>
      </c>
      <c r="AG46">
        <f>-'Drilling Spec'!$C$27</f>
        <v>-624</v>
      </c>
      <c r="AH46">
        <f>-'Drilling Spec'!$C$28</f>
        <v>-688</v>
      </c>
      <c r="AI46" t="e">
        <f t="shared" si="10"/>
        <v>#N/A</v>
      </c>
      <c r="AJ46" t="e">
        <f>IF(T46=0,NA(),-'Drilling Spec'!$C$26/2)</f>
        <v>#N/A</v>
      </c>
      <c r="AK46">
        <f>IF(U46=0,NA(),-'Drilling Spec'!$C$26/2)</f>
        <v>-35</v>
      </c>
      <c r="AL46" t="e">
        <f>IF(Z46=0,NA(),-'Drilling Spec'!$C$26*3/2)</f>
        <v>#N/A</v>
      </c>
      <c r="AM46" t="e">
        <f>IF(AA46=0,NA(),-'Drilling Spec'!$C$26*3/2)</f>
        <v>#N/A</v>
      </c>
      <c r="AN46" s="5" t="s">
        <v>117</v>
      </c>
      <c r="AO46" s="5">
        <f>AO49-AO47</f>
        <v>54</v>
      </c>
      <c r="AP46" s="5" t="s">
        <v>112</v>
      </c>
      <c r="AQ46" s="5">
        <f>SUM(E3:E112)</f>
        <v>1116</v>
      </c>
      <c r="AR46" s="5" t="s">
        <v>111</v>
      </c>
    </row>
    <row r="47" spans="2:44" x14ac:dyDescent="0.35">
      <c r="B47" s="2">
        <f t="shared" si="12"/>
        <v>46015</v>
      </c>
      <c r="C47" t="str">
        <f t="shared" si="0"/>
        <v>Wed</v>
      </c>
      <c r="D47" s="10" t="s">
        <v>9</v>
      </c>
      <c r="E47" s="10">
        <v>24</v>
      </c>
      <c r="F47" s="4">
        <f t="shared" si="1"/>
        <v>24</v>
      </c>
      <c r="G47" s="4">
        <f t="shared" si="14"/>
        <v>744</v>
      </c>
      <c r="H47" s="4">
        <f t="shared" si="3"/>
        <v>1440</v>
      </c>
      <c r="I47" s="15">
        <f>(SQRT(4*J46*J46*V*V + 'Drilling Spec'!$C$42*J46 + W*('Drilling Spec'!$C$43 + 2*l*V*(s*W + 2*V*H47/(1+e)) + 'Drilling Spec'!$C$44)) - 'Drilling Spec'!$C$45)/(2*V)</f>
        <v>680.58038124086897</v>
      </c>
      <c r="J47" s="16">
        <f>IF(AND(OR(J46=0,J46=""),G47=0),IF(G48=0,"",'Drilling Spec'!$C$26),I47)</f>
        <v>680.58038124086897</v>
      </c>
      <c r="K47" s="16">
        <f>MAX(0,J47-'Drilling Spec'!$C$30)</f>
        <v>600.58038124086897</v>
      </c>
      <c r="L47" s="18">
        <f>IFERROR(K47/'Drilling Spec'!$C$31,0)</f>
        <v>40.038692082724602</v>
      </c>
      <c r="M47" s="21">
        <f t="shared" si="15"/>
        <v>0</v>
      </c>
      <c r="N47" s="4">
        <f t="shared" si="11"/>
        <v>0</v>
      </c>
      <c r="O47" s="21">
        <f t="shared" si="5"/>
        <v>0</v>
      </c>
      <c r="P47" s="18">
        <f>(SQRT(4*P46*P46*vB*vB + 'Drilling Spec'!$C$48*P46 + WB*('Drilling Spec'!$C$49 + 2*lB*vB*(sB*WB + 2*vB*O47/(1+eB)) + 'Drilling Spec'!$C$50)) - 'Drilling Spec'!$C$51)/(2*vB)</f>
        <v>0</v>
      </c>
      <c r="Q47" s="18" t="str">
        <f>IF(AND(OR(R46=0,R46=""),N47=0),IF(N48=0,"",'Drilling Spec'!$C$30),P47)</f>
        <v/>
      </c>
      <c r="S47">
        <f t="shared" si="13"/>
        <v>46</v>
      </c>
      <c r="T47" s="10"/>
      <c r="U47">
        <f>IF('Baseline 1 - Perfect, 24hr'!L48&gt;'Baseline 1 - Perfect, 24hr'!S47,'Drilling Spec'!$C$36,)</f>
        <v>0</v>
      </c>
      <c r="W47" s="17">
        <f>(J47-'Drilling Spec'!$C$26)/'Drilling Spec'!$C$38</f>
        <v>101.76339687347816</v>
      </c>
      <c r="X47" s="17">
        <f t="shared" si="6"/>
        <v>2.4689711520982769</v>
      </c>
      <c r="Y47" s="17">
        <f t="shared" si="16"/>
        <v>21.763396873478158</v>
      </c>
      <c r="Z47" s="10"/>
      <c r="AA47">
        <f>IF(Y47&lt;'Drilling Spec'!$C$39,,'Drilling Spec'!$C$39)</f>
        <v>20</v>
      </c>
      <c r="AD47" s="16">
        <f t="shared" si="17"/>
        <v>-680.58038124086897</v>
      </c>
      <c r="AE47" s="16" t="e">
        <f t="shared" si="9"/>
        <v>#N/A</v>
      </c>
      <c r="AF47">
        <f>-'Drilling Spec'!$C$29</f>
        <v>-720</v>
      </c>
      <c r="AG47">
        <f>-'Drilling Spec'!$C$27</f>
        <v>-624</v>
      </c>
      <c r="AH47">
        <f>-'Drilling Spec'!$C$28</f>
        <v>-688</v>
      </c>
      <c r="AI47" t="e">
        <f t="shared" si="10"/>
        <v>#N/A</v>
      </c>
      <c r="AJ47" t="e">
        <f>IF(T47=0,NA(),-'Drilling Spec'!$C$26/2)</f>
        <v>#N/A</v>
      </c>
      <c r="AK47" t="e">
        <f>IF(U47=0,NA(),-'Drilling Spec'!$C$26/2)</f>
        <v>#N/A</v>
      </c>
      <c r="AL47" t="e">
        <f>IF(Z47=0,NA(),-'Drilling Spec'!$C$26*3/2)</f>
        <v>#N/A</v>
      </c>
      <c r="AM47">
        <f>IF(AA47=0,NA(),-'Drilling Spec'!$C$26*3/2)</f>
        <v>-105</v>
      </c>
      <c r="AN47" s="5" t="s">
        <v>108</v>
      </c>
      <c r="AO47" s="5">
        <f>COUNTIF(D3:D112,"REST")</f>
        <v>8</v>
      </c>
      <c r="AP47" s="5" t="s">
        <v>112</v>
      </c>
    </row>
    <row r="48" spans="2:44" x14ac:dyDescent="0.35">
      <c r="B48" s="2">
        <f t="shared" si="12"/>
        <v>46016</v>
      </c>
      <c r="C48" t="str">
        <f t="shared" si="0"/>
        <v>Thu</v>
      </c>
      <c r="D48" s="10" t="s">
        <v>9</v>
      </c>
      <c r="E48" s="10">
        <v>24</v>
      </c>
      <c r="F48" s="4">
        <f t="shared" si="1"/>
        <v>24</v>
      </c>
      <c r="G48" s="4">
        <f t="shared" si="14"/>
        <v>768</v>
      </c>
      <c r="H48" s="4">
        <f t="shared" si="3"/>
        <v>1440</v>
      </c>
      <c r="I48" s="15">
        <f>(SQRT(4*J47*J47*V*V + 'Drilling Spec'!$C$42*J47 + W*('Drilling Spec'!$C$43 + 2*l*V*(s*W + 2*V*H48/(1+e)) + 'Drilling Spec'!$C$44)) - 'Drilling Spec'!$C$45)/(2*V)</f>
        <v>695.2148968442765</v>
      </c>
      <c r="J48" s="16">
        <f>IF(AND(OR(J47=0,J47=""),G48=0),IF(G49=0,"",'Drilling Spec'!$C$26),I48)</f>
        <v>695.2148968442765</v>
      </c>
      <c r="K48" s="16">
        <f>MAX(0,J48-'Drilling Spec'!$C$30)</f>
        <v>615.2148968442765</v>
      </c>
      <c r="L48" s="18">
        <f>IFERROR(K48/'Drilling Spec'!$C$31,0)</f>
        <v>41.014326456285097</v>
      </c>
      <c r="M48" s="21">
        <f t="shared" si="15"/>
        <v>0</v>
      </c>
      <c r="N48" s="4">
        <f t="shared" si="11"/>
        <v>0</v>
      </c>
      <c r="O48" s="21">
        <f t="shared" si="5"/>
        <v>0</v>
      </c>
      <c r="P48" s="18">
        <f>(SQRT(4*P47*P47*vB*vB + 'Drilling Spec'!$C$48*P47 + WB*('Drilling Spec'!$C$49 + 2*lB*vB*(sB*WB + 2*vB*O48/(1+eB)) + 'Drilling Spec'!$C$50)) - 'Drilling Spec'!$C$51)/(2*vB)</f>
        <v>0</v>
      </c>
      <c r="Q48" s="18" t="str">
        <f>IF(AND(OR(R47=0,R47=""),N48=0),IF(N49=0,"",'Drilling Spec'!$C$30),P48)</f>
        <v/>
      </c>
      <c r="S48">
        <f t="shared" si="13"/>
        <v>46</v>
      </c>
      <c r="T48" s="10"/>
      <c r="U48">
        <f>IF('Baseline 1 - Perfect, 24hr'!L49&gt;'Baseline 1 - Perfect, 24hr'!S48,'Drilling Spec'!$C$36,)</f>
        <v>0</v>
      </c>
      <c r="W48" s="17">
        <f>(J48-'Drilling Spec'!$C$26)/'Drilling Spec'!$C$38</f>
        <v>104.20248280737941</v>
      </c>
      <c r="X48" s="17">
        <f t="shared" si="6"/>
        <v>2.4390859339012536</v>
      </c>
      <c r="Y48" s="17">
        <f t="shared" si="16"/>
        <v>4.2024828073794112</v>
      </c>
      <c r="Z48" s="10"/>
      <c r="AA48">
        <f>IF(Y48&lt;'Drilling Spec'!$C$39,,'Drilling Spec'!$C$39)</f>
        <v>0</v>
      </c>
      <c r="AD48" s="16">
        <f t="shared" si="17"/>
        <v>-695.2148968442765</v>
      </c>
      <c r="AE48" s="16" t="e">
        <f t="shared" si="9"/>
        <v>#N/A</v>
      </c>
      <c r="AF48">
        <f>-'Drilling Spec'!$C$29</f>
        <v>-720</v>
      </c>
      <c r="AG48">
        <f>-'Drilling Spec'!$C$27</f>
        <v>-624</v>
      </c>
      <c r="AH48">
        <f>-'Drilling Spec'!$C$28</f>
        <v>-688</v>
      </c>
      <c r="AI48" t="e">
        <f t="shared" si="10"/>
        <v>#N/A</v>
      </c>
      <c r="AJ48" t="e">
        <f>IF(T48=0,NA(),-'Drilling Spec'!$C$26/2)</f>
        <v>#N/A</v>
      </c>
      <c r="AK48" t="e">
        <f>IF(U48=0,NA(),-'Drilling Spec'!$C$26/2)</f>
        <v>#N/A</v>
      </c>
      <c r="AL48" t="e">
        <f>IF(Z48=0,NA(),-'Drilling Spec'!$C$26*3/2)</f>
        <v>#N/A</v>
      </c>
      <c r="AM48" t="e">
        <f>IF(AA48=0,NA(),-'Drilling Spec'!$C$26*3/2)</f>
        <v>#N/A</v>
      </c>
    </row>
    <row r="49" spans="2:42" x14ac:dyDescent="0.35">
      <c r="B49" s="2">
        <f t="shared" si="12"/>
        <v>46017</v>
      </c>
      <c r="C49" t="str">
        <f t="shared" si="0"/>
        <v>Fri</v>
      </c>
      <c r="D49" s="10" t="s">
        <v>7</v>
      </c>
      <c r="E49" s="10">
        <v>0</v>
      </c>
      <c r="F49" s="4">
        <f t="shared" si="1"/>
        <v>0</v>
      </c>
      <c r="G49" s="4">
        <f t="shared" si="14"/>
        <v>768</v>
      </c>
      <c r="H49" s="4">
        <f t="shared" si="3"/>
        <v>0</v>
      </c>
      <c r="I49" s="15">
        <f>(SQRT(4*J48*J48*V*V + 'Drilling Spec'!$C$42*J48 + W*('Drilling Spec'!$C$43 + 2*l*V*(s*W + 2*V*H49/(1+e)) + 'Drilling Spec'!$C$44)) - 'Drilling Spec'!$C$45)/(2*V)</f>
        <v>695.2148968442765</v>
      </c>
      <c r="J49" s="16">
        <f>IF(AND(OR(J48=0,J48=""),G49=0),IF(G50=0,"",'Drilling Spec'!$C$26),I49)</f>
        <v>695.2148968442765</v>
      </c>
      <c r="K49" s="16">
        <f>MAX(0,J49-'Drilling Spec'!$C$30)</f>
        <v>615.2148968442765</v>
      </c>
      <c r="L49" s="18">
        <f>IFERROR(K49/'Drilling Spec'!$C$31,0)</f>
        <v>41.014326456285097</v>
      </c>
      <c r="M49" s="21">
        <f t="shared" si="15"/>
        <v>0</v>
      </c>
      <c r="N49" s="4">
        <f t="shared" si="11"/>
        <v>0</v>
      </c>
      <c r="O49" s="21">
        <f t="shared" si="5"/>
        <v>0</v>
      </c>
      <c r="P49" s="18">
        <f>(SQRT(4*P48*P48*vB*vB + 'Drilling Spec'!$C$48*P48 + WB*('Drilling Spec'!$C$49 + 2*lB*vB*(sB*WB + 2*vB*O49/(1+eB)) + 'Drilling Spec'!$C$50)) - 'Drilling Spec'!$C$51)/(2*vB)</f>
        <v>0</v>
      </c>
      <c r="Q49" s="18" t="str">
        <f>IF(AND(OR(R48=0,R48=""),N49=0),IF(N50=0,"",'Drilling Spec'!$C$30),P49)</f>
        <v/>
      </c>
      <c r="S49">
        <f t="shared" si="13"/>
        <v>46</v>
      </c>
      <c r="T49" s="10"/>
      <c r="U49">
        <f>IF('Baseline 1 - Perfect, 24hr'!L50&gt;'Baseline 1 - Perfect, 24hr'!S49,'Drilling Spec'!$C$36,)</f>
        <v>0</v>
      </c>
      <c r="W49" s="17">
        <f>(J49-'Drilling Spec'!$C$26)/'Drilling Spec'!$C$38</f>
        <v>104.20248280737941</v>
      </c>
      <c r="X49" s="17">
        <f t="shared" si="6"/>
        <v>0</v>
      </c>
      <c r="Y49" s="17">
        <f t="shared" si="16"/>
        <v>4.2024828073794112</v>
      </c>
      <c r="Z49" s="10"/>
      <c r="AA49">
        <f>IF(Y49&lt;'Drilling Spec'!$C$39,,'Drilling Spec'!$C$39)</f>
        <v>0</v>
      </c>
      <c r="AD49" s="16">
        <f t="shared" si="17"/>
        <v>-695.2148968442765</v>
      </c>
      <c r="AE49" s="16" t="e">
        <f t="shared" si="9"/>
        <v>#N/A</v>
      </c>
      <c r="AF49">
        <f>-'Drilling Spec'!$C$29</f>
        <v>-720</v>
      </c>
      <c r="AG49">
        <f>-'Drilling Spec'!$C$27</f>
        <v>-624</v>
      </c>
      <c r="AH49">
        <f>-'Drilling Spec'!$C$28</f>
        <v>-688</v>
      </c>
      <c r="AI49" t="e">
        <f t="shared" si="10"/>
        <v>#N/A</v>
      </c>
      <c r="AJ49" t="e">
        <f>IF(T49=0,NA(),-'Drilling Spec'!$C$26/2)</f>
        <v>#N/A</v>
      </c>
      <c r="AK49" t="e">
        <f>IF(U49=0,NA(),-'Drilling Spec'!$C$26/2)</f>
        <v>#N/A</v>
      </c>
      <c r="AL49" t="e">
        <f>IF(Z49=0,NA(),-'Drilling Spec'!$C$26*3/2)</f>
        <v>#N/A</v>
      </c>
      <c r="AM49" t="e">
        <f>IF(AA49=0,NA(),-'Drilling Spec'!$C$26*3/2)</f>
        <v>#N/A</v>
      </c>
      <c r="AN49" s="5" t="s">
        <v>113</v>
      </c>
      <c r="AO49" s="5">
        <f>_xlfn.XLOOKUP("Camp Closed",D3:D112,B3:B112)-_xlfn.XLOOKUP("Open Camp",D3:D112,B3:B112)</f>
        <v>62</v>
      </c>
      <c r="AP49" s="5" t="s">
        <v>112</v>
      </c>
    </row>
    <row r="50" spans="2:42" x14ac:dyDescent="0.35">
      <c r="B50" s="2">
        <f t="shared" si="12"/>
        <v>46018</v>
      </c>
      <c r="C50" t="str">
        <f t="shared" si="0"/>
        <v>Sat</v>
      </c>
      <c r="D50" s="10" t="s">
        <v>9</v>
      </c>
      <c r="E50" s="10">
        <v>24</v>
      </c>
      <c r="F50" s="4">
        <f t="shared" si="1"/>
        <v>24</v>
      </c>
      <c r="G50" s="4">
        <f t="shared" si="14"/>
        <v>792</v>
      </c>
      <c r="H50" s="4">
        <f t="shared" si="3"/>
        <v>1440</v>
      </c>
      <c r="I50" s="15">
        <f>(SQRT(4*J49*J49*V*V + 'Drilling Spec'!$C$42*J49 + W*('Drilling Spec'!$C$43 + 2*l*V*(s*W + 2*V*H50/(1+e)) + 'Drilling Spec'!$C$44)) - 'Drilling Spec'!$C$45)/(2*V)</f>
        <v>709.67645900268121</v>
      </c>
      <c r="J50" s="16">
        <f>IF(AND(OR(J49=0,J49=""),G50=0),IF(G51=0,"",'Drilling Spec'!$C$26),I50)</f>
        <v>709.67645900268121</v>
      </c>
      <c r="K50" s="16">
        <f>MAX(0,J50-'Drilling Spec'!$C$30)</f>
        <v>629.67645900268121</v>
      </c>
      <c r="L50" s="18">
        <f>IFERROR(K50/'Drilling Spec'!$C$31,0)</f>
        <v>41.978430600178747</v>
      </c>
      <c r="M50" s="21">
        <f t="shared" si="15"/>
        <v>0</v>
      </c>
      <c r="N50" s="4">
        <f t="shared" si="11"/>
        <v>0</v>
      </c>
      <c r="O50" s="21">
        <f t="shared" si="5"/>
        <v>0</v>
      </c>
      <c r="P50" s="18">
        <f>(SQRT(4*P49*P49*vB*vB + 'Drilling Spec'!$C$48*P49 + WB*('Drilling Spec'!$C$49 + 2*lB*vB*(sB*WB + 2*vB*O50/(1+eB)) + 'Drilling Spec'!$C$50)) - 'Drilling Spec'!$C$51)/(2*vB)</f>
        <v>0</v>
      </c>
      <c r="Q50" s="18" t="str">
        <f>IF(AND(OR(R49=0,R49=""),N50=0),IF(N51=0,"",'Drilling Spec'!$C$30),P50)</f>
        <v/>
      </c>
      <c r="S50">
        <f t="shared" si="13"/>
        <v>46</v>
      </c>
      <c r="T50" s="10"/>
      <c r="U50">
        <f>IF('Baseline 1 - Perfect, 24hr'!L51&gt;'Baseline 1 - Perfect, 24hr'!S50,'Drilling Spec'!$C$36,)</f>
        <v>0</v>
      </c>
      <c r="W50" s="17">
        <f>(J50-'Drilling Spec'!$C$26)/'Drilling Spec'!$C$38</f>
        <v>106.61274316711354</v>
      </c>
      <c r="X50" s="17">
        <f t="shared" si="6"/>
        <v>2.4102603597341243</v>
      </c>
      <c r="Y50" s="17">
        <f t="shared" si="16"/>
        <v>6.6127431671135355</v>
      </c>
      <c r="Z50" s="10"/>
      <c r="AA50">
        <f>IF(Y50&lt;'Drilling Spec'!$C$39,,'Drilling Spec'!$C$39)</f>
        <v>0</v>
      </c>
      <c r="AD50" s="16">
        <f t="shared" si="17"/>
        <v>-709.67645900268121</v>
      </c>
      <c r="AE50" s="16" t="e">
        <f t="shared" si="9"/>
        <v>#N/A</v>
      </c>
      <c r="AF50">
        <f>-'Drilling Spec'!$C$29</f>
        <v>-720</v>
      </c>
      <c r="AG50">
        <f>-'Drilling Spec'!$C$27</f>
        <v>-624</v>
      </c>
      <c r="AH50">
        <f>-'Drilling Spec'!$C$28</f>
        <v>-688</v>
      </c>
      <c r="AI50" t="e">
        <f t="shared" si="10"/>
        <v>#N/A</v>
      </c>
      <c r="AJ50" t="e">
        <f>IF(T50=0,NA(),-'Drilling Spec'!$C$26/2)</f>
        <v>#N/A</v>
      </c>
      <c r="AK50" t="e">
        <f>IF(U50=0,NA(),-'Drilling Spec'!$C$26/2)</f>
        <v>#N/A</v>
      </c>
      <c r="AL50" t="e">
        <f>IF(Z50=0,NA(),-'Drilling Spec'!$C$26*3/2)</f>
        <v>#N/A</v>
      </c>
      <c r="AM50" t="e">
        <f>IF(AA50=0,NA(),-'Drilling Spec'!$C$26*3/2)</f>
        <v>#N/A</v>
      </c>
      <c r="AN50" s="5" t="s">
        <v>114</v>
      </c>
      <c r="AO50" s="5">
        <f>'04-07-25-Scen3-Good,24-16hr'!BF5-B3 - AO49</f>
        <v>22</v>
      </c>
      <c r="AP50" s="5" t="s">
        <v>112</v>
      </c>
    </row>
    <row r="51" spans="2:42" x14ac:dyDescent="0.35">
      <c r="B51" s="2">
        <f t="shared" si="12"/>
        <v>46019</v>
      </c>
      <c r="C51" t="str">
        <f t="shared" si="0"/>
        <v>Sun</v>
      </c>
      <c r="D51" s="10" t="s">
        <v>9</v>
      </c>
      <c r="E51" s="10">
        <v>24</v>
      </c>
      <c r="F51" s="4">
        <f t="shared" si="1"/>
        <v>24</v>
      </c>
      <c r="G51" s="4">
        <f t="shared" si="14"/>
        <v>816</v>
      </c>
      <c r="H51" s="4">
        <f t="shared" si="3"/>
        <v>1440</v>
      </c>
      <c r="I51" s="15">
        <f>(SQRT(4*J50*J50*V*V + 'Drilling Spec'!$C$42*J50 + W*('Drilling Spec'!$C$43 + 2*l*V*(s*W + 2*V*H51/(1+e)) + 'Drilling Spec'!$C$44)) - 'Drilling Spec'!$C$45)/(2*V)</f>
        <v>723.9710585126478</v>
      </c>
      <c r="J51" s="16">
        <f>IF(AND(OR(J50=0,J50=""),G51=0),IF(G52=0,"",'Drilling Spec'!$C$26),I51)</f>
        <v>723.9710585126478</v>
      </c>
      <c r="K51" s="16">
        <f>MAX(0,J51-'Drilling Spec'!$C$30)</f>
        <v>643.9710585126478</v>
      </c>
      <c r="L51" s="18">
        <f>IFERROR(K51/'Drilling Spec'!$C$31,0)</f>
        <v>42.931403900843186</v>
      </c>
      <c r="M51" s="21">
        <f t="shared" si="15"/>
        <v>0</v>
      </c>
      <c r="N51" s="4">
        <f>(N50+M51)</f>
        <v>0</v>
      </c>
      <c r="O51" s="21">
        <f t="shared" si="5"/>
        <v>0</v>
      </c>
      <c r="P51" s="18">
        <f>(SQRT(4*P50*P50*vB*vB + 'Drilling Spec'!$C$48*P50 + WB*('Drilling Spec'!$C$49 + 2*lB*vB*(sB*WB + 2*vB*O51/(1+eB)) + 'Drilling Spec'!$C$50)) - 'Drilling Spec'!$C$51)/(2*vB)</f>
        <v>0</v>
      </c>
      <c r="Q51" s="18">
        <f>IF(AND(OR(R50=0,R50=""),N51=0),IF(N52=0,"",'Drilling Spec'!$C$30),P51)</f>
        <v>80</v>
      </c>
      <c r="S51">
        <f t="shared" si="13"/>
        <v>46</v>
      </c>
      <c r="T51" s="10"/>
      <c r="U51">
        <f>IF('Baseline 1 - Perfect, 24hr'!L52&gt;'Baseline 1 - Perfect, 24hr'!S51,'Drilling Spec'!$C$36,)</f>
        <v>0</v>
      </c>
      <c r="W51" s="17">
        <f>(J51-'Drilling Spec'!$C$26)/'Drilling Spec'!$C$38</f>
        <v>108.99517641877463</v>
      </c>
      <c r="X51" s="17">
        <f t="shared" si="6"/>
        <v>2.382433251661098</v>
      </c>
      <c r="Y51" s="17">
        <f t="shared" si="16"/>
        <v>8.9951764187746335</v>
      </c>
      <c r="Z51" s="10"/>
      <c r="AA51">
        <f>IF(Y51&lt;'Drilling Spec'!$C$39,,'Drilling Spec'!$C$39)</f>
        <v>0</v>
      </c>
      <c r="AD51" s="16">
        <f t="shared" si="17"/>
        <v>-723.9710585126478</v>
      </c>
      <c r="AE51" s="16">
        <f t="shared" si="9"/>
        <v>-80</v>
      </c>
      <c r="AF51">
        <f>-'Drilling Spec'!$C$29</f>
        <v>-720</v>
      </c>
      <c r="AG51">
        <f>-'Drilling Spec'!$C$27</f>
        <v>-624</v>
      </c>
      <c r="AH51">
        <f>-'Drilling Spec'!$C$28</f>
        <v>-688</v>
      </c>
      <c r="AI51" t="e">
        <f t="shared" si="10"/>
        <v>#N/A</v>
      </c>
      <c r="AJ51" t="e">
        <f>IF(T51=0,NA(),-'Drilling Spec'!$C$26/2)</f>
        <v>#N/A</v>
      </c>
      <c r="AK51" t="e">
        <f>IF(U51=0,NA(),-'Drilling Spec'!$C$26/2)</f>
        <v>#N/A</v>
      </c>
      <c r="AL51" t="e">
        <f>IF(Z51=0,NA(),-'Drilling Spec'!$C$26*3/2)</f>
        <v>#N/A</v>
      </c>
      <c r="AM51" t="e">
        <f>IF(AA51=0,NA(),-'Drilling Spec'!$C$26*3/2)</f>
        <v>#N/A</v>
      </c>
    </row>
    <row r="52" spans="2:42" x14ac:dyDescent="0.35">
      <c r="B52" s="2">
        <f t="shared" si="12"/>
        <v>46020</v>
      </c>
      <c r="C52" t="str">
        <f t="shared" si="0"/>
        <v>Mon</v>
      </c>
      <c r="D52" s="10" t="s">
        <v>10</v>
      </c>
      <c r="E52" s="10">
        <v>24</v>
      </c>
      <c r="F52" s="4">
        <f t="shared" si="1"/>
        <v>0</v>
      </c>
      <c r="G52" s="4">
        <f t="shared" si="14"/>
        <v>816</v>
      </c>
      <c r="H52" s="4">
        <f t="shared" si="3"/>
        <v>0</v>
      </c>
      <c r="I52" s="15">
        <f>(SQRT(4*J51*J51*V*V + 'Drilling Spec'!$C$42*J51 + W*('Drilling Spec'!$C$43 + 2*l*V*(s*W + 2*V*H52/(1+e)) + 'Drilling Spec'!$C$44)) - 'Drilling Spec'!$C$45)/(2*V)</f>
        <v>723.9710585126478</v>
      </c>
      <c r="J52" s="16">
        <f>IF(AND(OR(J51=0,J51=""),G52=0),IF(G53=0,"",'Drilling Spec'!$C$26),I52)</f>
        <v>723.9710585126478</v>
      </c>
      <c r="K52" s="16">
        <f>MAX(0,J52-'Drilling Spec'!$C$30)</f>
        <v>643.9710585126478</v>
      </c>
      <c r="L52" s="18">
        <f>IFERROR(K52/'Drilling Spec'!$C$31,0)</f>
        <v>42.931403900843186</v>
      </c>
      <c r="M52" s="21">
        <f t="shared" si="15"/>
        <v>24</v>
      </c>
      <c r="N52" s="4">
        <f t="shared" si="11"/>
        <v>24</v>
      </c>
      <c r="O52" s="21">
        <f t="shared" si="5"/>
        <v>1440</v>
      </c>
      <c r="P52" s="18">
        <f>(SQRT(4*P51*P51*vB*vB + 'Drilling Spec'!$C$48*P51 + WB*('Drilling Spec'!$C$49 + 2*lB*vB*(sB*WB + 2*vB*O52/(1+eB)) + 'Drilling Spec'!$C$50)) - 'Drilling Spec'!$C$51)/(2*vB)</f>
        <v>259.40331160292249</v>
      </c>
      <c r="Q52" s="18">
        <f>IF(AND(OR(R51=0,R51=""),N52=0),IF(N53=0,"",'Drilling Spec'!$C$30),P52)</f>
        <v>259.40331160292249</v>
      </c>
      <c r="S52">
        <f t="shared" si="13"/>
        <v>46</v>
      </c>
      <c r="T52" s="10"/>
      <c r="U52">
        <f>IF('Baseline 1 - Perfect, 24hr'!L53&gt;'Baseline 1 - Perfect, 24hr'!S52,'Drilling Spec'!$C$36,)</f>
        <v>0</v>
      </c>
      <c r="W52" s="17">
        <f>(J52-'Drilling Spec'!$C$26)/'Drilling Spec'!$C$38</f>
        <v>108.99517641877463</v>
      </c>
      <c r="X52" s="17">
        <f t="shared" si="6"/>
        <v>0</v>
      </c>
      <c r="Y52" s="17">
        <f t="shared" si="16"/>
        <v>8.9951764187746335</v>
      </c>
      <c r="Z52" s="10"/>
      <c r="AA52">
        <f>IF(Y52&lt;'Drilling Spec'!$C$39,,'Drilling Spec'!$C$39)</f>
        <v>0</v>
      </c>
      <c r="AD52" s="16">
        <f t="shared" si="17"/>
        <v>-723.9710585126478</v>
      </c>
      <c r="AE52" s="16">
        <f t="shared" si="9"/>
        <v>-259.40331160292249</v>
      </c>
      <c r="AF52">
        <f>-'Drilling Spec'!$C$29</f>
        <v>-720</v>
      </c>
      <c r="AG52">
        <f>-'Drilling Spec'!$C$27</f>
        <v>-624</v>
      </c>
      <c r="AH52">
        <f>-'Drilling Spec'!$C$28</f>
        <v>-688</v>
      </c>
      <c r="AI52" t="e">
        <f t="shared" si="10"/>
        <v>#N/A</v>
      </c>
      <c r="AJ52" t="e">
        <f>IF(T52=0,NA(),-'Drilling Spec'!$C$26/2)</f>
        <v>#N/A</v>
      </c>
      <c r="AK52" t="e">
        <f>IF(U52=0,NA(),-'Drilling Spec'!$C$26/2)</f>
        <v>#N/A</v>
      </c>
      <c r="AL52" t="e">
        <f>IF(Z52=0,NA(),-'Drilling Spec'!$C$26*3/2)</f>
        <v>#N/A</v>
      </c>
      <c r="AM52" t="e">
        <f>IF(AA52=0,NA(),-'Drilling Spec'!$C$26*3/2)</f>
        <v>#N/A</v>
      </c>
    </row>
    <row r="53" spans="2:42" x14ac:dyDescent="0.35">
      <c r="B53" s="2">
        <f t="shared" si="12"/>
        <v>46021</v>
      </c>
      <c r="C53" t="str">
        <f t="shared" si="0"/>
        <v>Tue</v>
      </c>
      <c r="D53" s="10" t="s">
        <v>10</v>
      </c>
      <c r="E53" s="10">
        <v>24</v>
      </c>
      <c r="F53" s="4">
        <f t="shared" si="1"/>
        <v>0</v>
      </c>
      <c r="G53" s="4">
        <f t="shared" si="14"/>
        <v>816</v>
      </c>
      <c r="H53" s="4">
        <f t="shared" si="3"/>
        <v>0</v>
      </c>
      <c r="I53" s="15">
        <f>(SQRT(4*J52*J52*V*V + 'Drilling Spec'!$C$42*J52 + W*('Drilling Spec'!$C$43 + 2*l*V*(s*W + 2*V*H53/(1+e)) + 'Drilling Spec'!$C$44)) - 'Drilling Spec'!$C$45)/(2*V)</f>
        <v>723.9710585126478</v>
      </c>
      <c r="J53" s="16">
        <f>IF(AND(OR(J52=0,J52=""),G53=0),IF(G54=0,"",'Drilling Spec'!$C$26),I53)</f>
        <v>723.9710585126478</v>
      </c>
      <c r="K53" s="16">
        <f>MAX(0,J53-'Drilling Spec'!$C$30)</f>
        <v>643.9710585126478</v>
      </c>
      <c r="L53" s="18">
        <f>IFERROR(K53/'Drilling Spec'!$C$31,0)</f>
        <v>42.931403900843186</v>
      </c>
      <c r="M53" s="21">
        <f t="shared" si="15"/>
        <v>24</v>
      </c>
      <c r="N53" s="4">
        <f>(N52+M53)</f>
        <v>48</v>
      </c>
      <c r="O53" s="21">
        <f t="shared" si="5"/>
        <v>1440</v>
      </c>
      <c r="P53" s="18">
        <f>(SQRT(4*P52*P52*vB*vB + 'Drilling Spec'!$C$48*P52 + WB*('Drilling Spec'!$C$49 + 2*lB*vB*(sB*WB + 2*vB*O53/(1+eB)) + 'Drilling Spec'!$C$50)) - 'Drilling Spec'!$C$51)/(2*vB)</f>
        <v>400.47129457899786</v>
      </c>
      <c r="Q53" s="18">
        <f>IF(AND(OR(R52=0,R52=""),N53=0),IF(N54=0,"",'Drilling Spec'!$C$30),P53)</f>
        <v>400.47129457899786</v>
      </c>
      <c r="S53">
        <f t="shared" si="13"/>
        <v>46</v>
      </c>
      <c r="T53" s="10"/>
      <c r="U53">
        <f>IF('Baseline 1 - Perfect, 24hr'!L54&gt;'Baseline 1 - Perfect, 24hr'!S53,'Drilling Spec'!$C$36,)</f>
        <v>0</v>
      </c>
      <c r="W53" s="17">
        <f>(J53-'Drilling Spec'!$C$26)/'Drilling Spec'!$C$38</f>
        <v>108.99517641877463</v>
      </c>
      <c r="X53" s="17">
        <f t="shared" si="6"/>
        <v>0</v>
      </c>
      <c r="Y53" s="17">
        <f t="shared" si="16"/>
        <v>8.9951764187746335</v>
      </c>
      <c r="Z53" s="10"/>
      <c r="AA53">
        <f>IF(Y53&lt;'Drilling Spec'!$C$39,,'Drilling Spec'!$C$39)</f>
        <v>0</v>
      </c>
      <c r="AD53" s="16">
        <f t="shared" si="17"/>
        <v>-723.9710585126478</v>
      </c>
      <c r="AE53" s="16">
        <f t="shared" si="9"/>
        <v>-400.47129457899786</v>
      </c>
      <c r="AF53">
        <f>-'Drilling Spec'!$C$29</f>
        <v>-720</v>
      </c>
      <c r="AG53">
        <f>-'Drilling Spec'!$C$27</f>
        <v>-624</v>
      </c>
      <c r="AH53">
        <f>-'Drilling Spec'!$C$28</f>
        <v>-688</v>
      </c>
      <c r="AI53" t="e">
        <f t="shared" si="10"/>
        <v>#N/A</v>
      </c>
      <c r="AJ53" t="e">
        <f>IF(T53=0,NA(),-'Drilling Spec'!$C$26/2)</f>
        <v>#N/A</v>
      </c>
      <c r="AK53" t="e">
        <f>IF(U53=0,NA(),-'Drilling Spec'!$C$26/2)</f>
        <v>#N/A</v>
      </c>
      <c r="AL53" t="e">
        <f>IF(Z53=0,NA(),-'Drilling Spec'!$C$26*3/2)</f>
        <v>#N/A</v>
      </c>
      <c r="AM53" t="e">
        <f>IF(AA53=0,NA(),-'Drilling Spec'!$C$26*3/2)</f>
        <v>#N/A</v>
      </c>
    </row>
    <row r="54" spans="2:42" x14ac:dyDescent="0.35">
      <c r="B54" s="2">
        <f t="shared" si="12"/>
        <v>46022</v>
      </c>
      <c r="C54" t="str">
        <f t="shared" si="0"/>
        <v>Wed</v>
      </c>
      <c r="D54" s="10" t="s">
        <v>10</v>
      </c>
      <c r="E54" s="10">
        <v>24</v>
      </c>
      <c r="F54" s="4">
        <f t="shared" si="1"/>
        <v>0</v>
      </c>
      <c r="G54" s="4">
        <f t="shared" si="14"/>
        <v>816</v>
      </c>
      <c r="H54" s="4">
        <f t="shared" si="3"/>
        <v>0</v>
      </c>
      <c r="I54" s="15">
        <f>(SQRT(4*J53*J53*V*V + 'Drilling Spec'!$C$42*J53 + W*('Drilling Spec'!$C$43 + 2*l*V*(s*W + 2*V*H54/(1+e)) + 'Drilling Spec'!$C$44)) - 'Drilling Spec'!$C$45)/(2*V)</f>
        <v>723.9710585126478</v>
      </c>
      <c r="J54" s="16">
        <f>IF(AND(OR(J53=0,J53=""),G54=0),IF(G55=0,"",'Drilling Spec'!$C$26),I54)</f>
        <v>723.9710585126478</v>
      </c>
      <c r="K54" s="16">
        <f>MAX(0,J54-'Drilling Spec'!$C$30)</f>
        <v>643.9710585126478</v>
      </c>
      <c r="L54" s="18">
        <f>IFERROR(K54/'Drilling Spec'!$C$31,0)</f>
        <v>42.931403900843186</v>
      </c>
      <c r="M54" s="21">
        <f t="shared" si="15"/>
        <v>24</v>
      </c>
      <c r="N54" s="4">
        <f t="shared" si="11"/>
        <v>72</v>
      </c>
      <c r="O54" s="21">
        <f t="shared" si="5"/>
        <v>1440</v>
      </c>
      <c r="P54" s="18">
        <f>(SQRT(4*P53*P53*vB*vB + 'Drilling Spec'!$C$48*P53 + WB*('Drilling Spec'!$C$49 + 2*lB*vB*(sB*WB + 2*vB*O54/(1+eB)) + 'Drilling Spec'!$C$50)) - 'Drilling Spec'!$C$51)/(2*vB)</f>
        <v>510.1938307186208</v>
      </c>
      <c r="Q54" s="18">
        <f>IF(AND(OR(R53=0,R53=""),N54=0),IF(N55=0,"",'Drilling Spec'!$C$30),P54)</f>
        <v>510.1938307186208</v>
      </c>
      <c r="S54">
        <f t="shared" si="13"/>
        <v>46</v>
      </c>
      <c r="T54" s="10"/>
      <c r="U54">
        <f>IF('Baseline 1 - Perfect, 24hr'!L55&gt;'Baseline 1 - Perfect, 24hr'!S54,'Drilling Spec'!$C$36,)</f>
        <v>0</v>
      </c>
      <c r="W54" s="17">
        <f>(J54-'Drilling Spec'!$C$26)/'Drilling Spec'!$C$38</f>
        <v>108.99517641877463</v>
      </c>
      <c r="X54" s="17">
        <f t="shared" si="6"/>
        <v>0</v>
      </c>
      <c r="Y54" s="17">
        <f t="shared" si="16"/>
        <v>8.9951764187746335</v>
      </c>
      <c r="Z54" s="10"/>
      <c r="AA54">
        <f>IF(Y54&lt;'Drilling Spec'!$C$39,,'Drilling Spec'!$C$39)</f>
        <v>0</v>
      </c>
      <c r="AD54" s="16">
        <f t="shared" si="17"/>
        <v>-723.9710585126478</v>
      </c>
      <c r="AE54" s="16">
        <f t="shared" si="9"/>
        <v>-510.1938307186208</v>
      </c>
      <c r="AF54">
        <f>-'Drilling Spec'!$C$29</f>
        <v>-720</v>
      </c>
      <c r="AG54">
        <f>-'Drilling Spec'!$C$27</f>
        <v>-624</v>
      </c>
      <c r="AH54">
        <f>-'Drilling Spec'!$C$28</f>
        <v>-688</v>
      </c>
      <c r="AI54" t="e">
        <f t="shared" si="10"/>
        <v>#N/A</v>
      </c>
      <c r="AJ54" t="e">
        <f>IF(T54=0,NA(),-'Drilling Spec'!$C$26/2)</f>
        <v>#N/A</v>
      </c>
      <c r="AK54" t="e">
        <f>IF(U54=0,NA(),-'Drilling Spec'!$C$26/2)</f>
        <v>#N/A</v>
      </c>
      <c r="AL54" t="e">
        <f>IF(Z54=0,NA(),-'Drilling Spec'!$C$26*3/2)</f>
        <v>#N/A</v>
      </c>
      <c r="AM54" t="e">
        <f>IF(AA54=0,NA(),-'Drilling Spec'!$C$26*3/2)</f>
        <v>#N/A</v>
      </c>
    </row>
    <row r="55" spans="2:42" x14ac:dyDescent="0.35">
      <c r="B55" s="2">
        <f>B54+1</f>
        <v>46023</v>
      </c>
      <c r="C55" t="str">
        <f t="shared" si="0"/>
        <v>Thu</v>
      </c>
      <c r="D55" s="10" t="s">
        <v>7</v>
      </c>
      <c r="E55" s="10">
        <v>0</v>
      </c>
      <c r="F55" s="4">
        <f t="shared" si="1"/>
        <v>0</v>
      </c>
      <c r="G55" s="4">
        <f t="shared" si="14"/>
        <v>816</v>
      </c>
      <c r="H55" s="4">
        <f t="shared" si="3"/>
        <v>0</v>
      </c>
      <c r="I55" s="15">
        <f>(SQRT(4*J54*J54*V*V + 'Drilling Spec'!$C$42*J54 + W*('Drilling Spec'!$C$43 + 2*l*V*(s*W + 2*V*H55/(1+e)) + 'Drilling Spec'!$C$44)) - 'Drilling Spec'!$C$45)/(2*V)</f>
        <v>723.9710585126478</v>
      </c>
      <c r="J55" s="16">
        <f>IF(AND(OR(J54=0,J54=""),G55=0),IF(G56=0,"",'Drilling Spec'!$C$26),I55)</f>
        <v>723.9710585126478</v>
      </c>
      <c r="K55" s="16">
        <f>MAX(0,J55-'Drilling Spec'!$C$30)</f>
        <v>643.9710585126478</v>
      </c>
      <c r="L55" s="18">
        <f>IFERROR(K55/'Drilling Spec'!$C$31,0)</f>
        <v>42.931403900843186</v>
      </c>
      <c r="M55" s="21">
        <f t="shared" si="15"/>
        <v>0</v>
      </c>
      <c r="N55" s="4">
        <f t="shared" si="11"/>
        <v>72</v>
      </c>
      <c r="O55" s="21">
        <f t="shared" si="5"/>
        <v>0</v>
      </c>
      <c r="P55" s="18">
        <f>(SQRT(4*P54*P54*vB*vB + 'Drilling Spec'!$C$48*P54 + WB*('Drilling Spec'!$C$49 + 2*lB*vB*(sB*WB + 2*vB*O55/(1+eB)) + 'Drilling Spec'!$C$50)) - 'Drilling Spec'!$C$51)/(2*vB)</f>
        <v>510.19383071862086</v>
      </c>
      <c r="Q55" s="18">
        <f>IF(AND(OR(R54=0,R54=""),N55=0),IF(N56=0,"",'Drilling Spec'!$C$30),P55)</f>
        <v>510.19383071862086</v>
      </c>
      <c r="S55">
        <f t="shared" si="13"/>
        <v>46</v>
      </c>
      <c r="T55" s="10"/>
      <c r="U55">
        <f>IF('Baseline 1 - Perfect, 24hr'!L56&gt;'Baseline 1 - Perfect, 24hr'!S55,'Drilling Spec'!$C$36,)</f>
        <v>0</v>
      </c>
      <c r="W55" s="17">
        <f>(J55-'Drilling Spec'!$C$26)/'Drilling Spec'!$C$38</f>
        <v>108.99517641877463</v>
      </c>
      <c r="X55" s="17">
        <f t="shared" si="6"/>
        <v>0</v>
      </c>
      <c r="Y55" s="17">
        <f t="shared" si="16"/>
        <v>8.9951764187746335</v>
      </c>
      <c r="Z55" s="10"/>
      <c r="AA55">
        <f>IF(Y55&lt;'Drilling Spec'!$C$39,,'Drilling Spec'!$C$39)</f>
        <v>0</v>
      </c>
      <c r="AD55" s="16">
        <f t="shared" si="17"/>
        <v>-723.9710585126478</v>
      </c>
      <c r="AE55" s="16">
        <f t="shared" si="9"/>
        <v>-510.19383071862086</v>
      </c>
      <c r="AF55">
        <f>-'Drilling Spec'!$C$29</f>
        <v>-720</v>
      </c>
      <c r="AG55">
        <f>-'Drilling Spec'!$C$27</f>
        <v>-624</v>
      </c>
      <c r="AH55">
        <f>-'Drilling Spec'!$C$28</f>
        <v>-688</v>
      </c>
      <c r="AI55" t="e">
        <f t="shared" si="10"/>
        <v>#N/A</v>
      </c>
      <c r="AJ55" t="e">
        <f>IF(T55=0,NA(),-'Drilling Spec'!$C$26/2)</f>
        <v>#N/A</v>
      </c>
      <c r="AK55" t="e">
        <f>IF(U55=0,NA(),-'Drilling Spec'!$C$26/2)</f>
        <v>#N/A</v>
      </c>
      <c r="AL55" t="e">
        <f>IF(Z55=0,NA(),-'Drilling Spec'!$C$26*3/2)</f>
        <v>#N/A</v>
      </c>
      <c r="AM55" t="e">
        <f>IF(AA55=0,NA(),-'Drilling Spec'!$C$26*3/2)</f>
        <v>#N/A</v>
      </c>
    </row>
    <row r="56" spans="2:42" x14ac:dyDescent="0.35">
      <c r="B56" s="2">
        <f t="shared" si="12"/>
        <v>46024</v>
      </c>
      <c r="C56" t="str">
        <f t="shared" si="0"/>
        <v>Fri</v>
      </c>
      <c r="D56" s="10" t="s">
        <v>10</v>
      </c>
      <c r="E56" s="10">
        <v>24</v>
      </c>
      <c r="F56" s="4">
        <f t="shared" si="1"/>
        <v>0</v>
      </c>
      <c r="G56" s="4">
        <f t="shared" si="14"/>
        <v>816</v>
      </c>
      <c r="H56" s="4">
        <f t="shared" si="3"/>
        <v>0</v>
      </c>
      <c r="I56" s="15">
        <f>(SQRT(4*J55*J55*V*V + 'Drilling Spec'!$C$42*J55 + W*('Drilling Spec'!$C$43 + 2*l*V*(s*W + 2*V*H56/(1+e)) + 'Drilling Spec'!$C$44)) - 'Drilling Spec'!$C$45)/(2*V)</f>
        <v>723.9710585126478</v>
      </c>
      <c r="J56" s="16">
        <f>IF(AND(OR(J55=0,J55=""),G56=0),IF(G57=0,"",'Drilling Spec'!$C$26),I56)</f>
        <v>723.9710585126478</v>
      </c>
      <c r="K56" s="16">
        <f>MAX(0,J56-'Drilling Spec'!$C$30)</f>
        <v>643.9710585126478</v>
      </c>
      <c r="L56" s="18">
        <f>IFERROR(K56/'Drilling Spec'!$C$31,0)</f>
        <v>42.931403900843186</v>
      </c>
      <c r="M56" s="21">
        <f t="shared" si="15"/>
        <v>24</v>
      </c>
      <c r="N56" s="4">
        <f t="shared" si="11"/>
        <v>96</v>
      </c>
      <c r="O56" s="21">
        <f t="shared" si="5"/>
        <v>1440</v>
      </c>
      <c r="P56" s="18">
        <f>(SQRT(4*P55*P55*vB*vB + 'Drilling Spec'!$C$48*P55 + WB*('Drilling Spec'!$C$49 + 2*lB*vB*(sB*WB + 2*vB*O56/(1+eB)) + 'Drilling Spec'!$C$50)) - 'Drilling Spec'!$C$51)/(2*vB)</f>
        <v>603.20853687666522</v>
      </c>
      <c r="Q56" s="18">
        <f>IF(AND(OR(R55=0,R55=""),N56=0),IF(N57=0,"",'Drilling Spec'!$C$30),P56)</f>
        <v>603.20853687666522</v>
      </c>
      <c r="S56">
        <f t="shared" si="13"/>
        <v>46</v>
      </c>
      <c r="T56" s="10"/>
      <c r="U56">
        <f>IF('Baseline 1 - Perfect, 24hr'!L57&gt;'Baseline 1 - Perfect, 24hr'!S56,'Drilling Spec'!$C$36,)</f>
        <v>0</v>
      </c>
      <c r="W56" s="17">
        <f>(J56-'Drilling Spec'!$C$26)/'Drilling Spec'!$C$38</f>
        <v>108.99517641877463</v>
      </c>
      <c r="X56" s="17">
        <f t="shared" si="6"/>
        <v>0</v>
      </c>
      <c r="Y56" s="17">
        <f t="shared" si="16"/>
        <v>8.9951764187746335</v>
      </c>
      <c r="Z56" s="10"/>
      <c r="AA56">
        <f>IF(Y56&lt;'Drilling Spec'!$C$39,,'Drilling Spec'!$C$39)</f>
        <v>0</v>
      </c>
      <c r="AD56" s="16">
        <f t="shared" si="17"/>
        <v>-723.9710585126478</v>
      </c>
      <c r="AE56" s="16">
        <f t="shared" si="9"/>
        <v>-603.20853687666522</v>
      </c>
      <c r="AF56">
        <f>-'Drilling Spec'!$C$29</f>
        <v>-720</v>
      </c>
      <c r="AG56">
        <f>-'Drilling Spec'!$C$27</f>
        <v>-624</v>
      </c>
      <c r="AH56">
        <f>-'Drilling Spec'!$C$28</f>
        <v>-688</v>
      </c>
      <c r="AI56" t="e">
        <f t="shared" si="10"/>
        <v>#N/A</v>
      </c>
      <c r="AJ56" t="e">
        <f>IF(T56=0,NA(),-'Drilling Spec'!$C$26/2)</f>
        <v>#N/A</v>
      </c>
      <c r="AK56" t="e">
        <f>IF(U56=0,NA(),-'Drilling Spec'!$C$26/2)</f>
        <v>#N/A</v>
      </c>
      <c r="AL56" t="e">
        <f>IF(Z56=0,NA(),-'Drilling Spec'!$C$26*3/2)</f>
        <v>#N/A</v>
      </c>
      <c r="AM56" t="e">
        <f>IF(AA56=0,NA(),-'Drilling Spec'!$C$26*3/2)</f>
        <v>#N/A</v>
      </c>
    </row>
    <row r="57" spans="2:42" x14ac:dyDescent="0.35">
      <c r="B57" s="2">
        <f t="shared" si="12"/>
        <v>46025</v>
      </c>
      <c r="C57" t="str">
        <f t="shared" si="0"/>
        <v>Sat</v>
      </c>
      <c r="D57" s="10" t="s">
        <v>10</v>
      </c>
      <c r="E57" s="10">
        <v>24</v>
      </c>
      <c r="F57" s="4">
        <f t="shared" si="1"/>
        <v>0</v>
      </c>
      <c r="G57" s="4">
        <f t="shared" si="14"/>
        <v>816</v>
      </c>
      <c r="H57" s="4">
        <f t="shared" si="3"/>
        <v>0</v>
      </c>
      <c r="I57" s="15">
        <f>(SQRT(4*J56*J56*V*V + 'Drilling Spec'!$C$42*J56 + W*('Drilling Spec'!$C$43 + 2*l*V*(s*W + 2*V*H57/(1+e)) + 'Drilling Spec'!$C$44)) - 'Drilling Spec'!$C$45)/(2*V)</f>
        <v>723.9710585126478</v>
      </c>
      <c r="J57" s="16">
        <f>IF(AND(OR(J56=0,J56=""),G57=0),IF(G58=0,"",'Drilling Spec'!$C$26),I57)</f>
        <v>723.9710585126478</v>
      </c>
      <c r="K57" s="16">
        <f>MAX(0,J57-'Drilling Spec'!$C$30)</f>
        <v>643.9710585126478</v>
      </c>
      <c r="L57" s="18">
        <f>IFERROR(K57/'Drilling Spec'!$C$31,0)</f>
        <v>42.931403900843186</v>
      </c>
      <c r="M57" s="21">
        <f t="shared" si="15"/>
        <v>24</v>
      </c>
      <c r="N57" s="4">
        <f t="shared" si="11"/>
        <v>120</v>
      </c>
      <c r="O57" s="21">
        <f t="shared" si="5"/>
        <v>1440</v>
      </c>
      <c r="P57" s="18">
        <f>(SQRT(4*P56*P56*vB*vB + 'Drilling Spec'!$C$48*P56 + WB*('Drilling Spec'!$C$49 + 2*lB*vB*(sB*WB + 2*vB*O57/(1+eB)) + 'Drilling Spec'!$C$50)) - 'Drilling Spec'!$C$51)/(2*vB)</f>
        <v>685.40606744913532</v>
      </c>
      <c r="Q57" s="18">
        <f>IF(AND(OR(R56=0,R56=""),N57=0),IF(N58=0,"",'Drilling Spec'!$C$30),P57)</f>
        <v>685.40606744913532</v>
      </c>
      <c r="S57">
        <f t="shared" si="13"/>
        <v>46</v>
      </c>
      <c r="T57" s="10"/>
      <c r="U57">
        <f>IF('Baseline 1 - Perfect, 24hr'!L58&gt;'Baseline 1 - Perfect, 24hr'!S57,'Drilling Spec'!$C$36,)</f>
        <v>0</v>
      </c>
      <c r="W57" s="17">
        <f>(J57-'Drilling Spec'!$C$26)/'Drilling Spec'!$C$38</f>
        <v>108.99517641877463</v>
      </c>
      <c r="X57" s="17">
        <f t="shared" si="6"/>
        <v>0</v>
      </c>
      <c r="Y57" s="17">
        <f t="shared" si="16"/>
        <v>8.9951764187746335</v>
      </c>
      <c r="Z57" s="10"/>
      <c r="AA57">
        <f>IF(Y57&lt;'Drilling Spec'!$C$39,,'Drilling Spec'!$C$39)</f>
        <v>0</v>
      </c>
      <c r="AD57" s="16">
        <f t="shared" si="17"/>
        <v>-723.9710585126478</v>
      </c>
      <c r="AE57" s="16">
        <f t="shared" si="9"/>
        <v>-685.40606744913532</v>
      </c>
      <c r="AF57">
        <f>-'Drilling Spec'!$C$29</f>
        <v>-720</v>
      </c>
      <c r="AG57">
        <f>-'Drilling Spec'!$C$27</f>
        <v>-624</v>
      </c>
      <c r="AH57">
        <f>-'Drilling Spec'!$C$28</f>
        <v>-688</v>
      </c>
      <c r="AI57" t="e">
        <f t="shared" si="10"/>
        <v>#N/A</v>
      </c>
      <c r="AJ57" t="e">
        <f>IF(T57=0,NA(),-'Drilling Spec'!$C$26/2)</f>
        <v>#N/A</v>
      </c>
      <c r="AK57" t="e">
        <f>IF(U57=0,NA(),-'Drilling Spec'!$C$26/2)</f>
        <v>#N/A</v>
      </c>
      <c r="AL57" t="e">
        <f>IF(Z57=0,NA(),-'Drilling Spec'!$C$26*3/2)</f>
        <v>#N/A</v>
      </c>
      <c r="AM57" t="e">
        <f>IF(AA57=0,NA(),-'Drilling Spec'!$C$26*3/2)</f>
        <v>#N/A</v>
      </c>
    </row>
    <row r="58" spans="2:42" x14ac:dyDescent="0.35">
      <c r="B58" s="2">
        <f t="shared" si="12"/>
        <v>46026</v>
      </c>
      <c r="C58" t="str">
        <f t="shared" si="0"/>
        <v>Sun</v>
      </c>
      <c r="D58" s="10" t="s">
        <v>10</v>
      </c>
      <c r="E58" s="10">
        <v>24</v>
      </c>
      <c r="F58" s="4">
        <f t="shared" si="1"/>
        <v>0</v>
      </c>
      <c r="G58" s="4">
        <f t="shared" si="14"/>
        <v>816</v>
      </c>
      <c r="H58" s="4">
        <f t="shared" si="3"/>
        <v>0</v>
      </c>
      <c r="I58" s="15">
        <f>(SQRT(4*J57*J57*V*V + 'Drilling Spec'!$C$42*J57 + W*('Drilling Spec'!$C$43 + 2*l*V*(s*W + 2*V*H58/(1+e)) + 'Drilling Spec'!$C$44)) - 'Drilling Spec'!$C$45)/(2*V)</f>
        <v>723.9710585126478</v>
      </c>
      <c r="J58" s="16">
        <f>IF(AND(OR(J57=0,J57=""),G58=0),IF(G59=0,"",'Drilling Spec'!$C$26),I58)</f>
        <v>723.9710585126478</v>
      </c>
      <c r="K58" s="16">
        <f>MAX(0,J58-'Drilling Spec'!$C$30)</f>
        <v>643.9710585126478</v>
      </c>
      <c r="L58" s="18">
        <f>IFERROR(K58/'Drilling Spec'!$C$31,0)</f>
        <v>42.931403900843186</v>
      </c>
      <c r="M58" s="21">
        <f t="shared" si="15"/>
        <v>24</v>
      </c>
      <c r="N58" s="4">
        <f t="shared" si="11"/>
        <v>144</v>
      </c>
      <c r="O58" s="21">
        <f t="shared" si="5"/>
        <v>1440</v>
      </c>
      <c r="P58" s="18">
        <f>(SQRT(4*P57*P57*vB*vB + 'Drilling Spec'!$C$48*P57 + WB*('Drilling Spec'!$C$49 + 2*lB*vB*(sB*WB + 2*vB*O58/(1+eB)) + 'Drilling Spec'!$C$50)) - 'Drilling Spec'!$C$51)/(2*vB)</f>
        <v>759.86189926823249</v>
      </c>
      <c r="Q58" s="18">
        <f>IF(AND(OR(R57=0,R57=""),N58=0),IF(N59=0,"",'Drilling Spec'!$C$30),P58)</f>
        <v>759.86189926823249</v>
      </c>
      <c r="S58">
        <f t="shared" si="13"/>
        <v>46</v>
      </c>
      <c r="T58" s="10"/>
      <c r="U58">
        <f>IF('Baseline 1 - Perfect, 24hr'!L59&gt;'Baseline 1 - Perfect, 24hr'!S58,'Drilling Spec'!$C$36,)</f>
        <v>0</v>
      </c>
      <c r="W58" s="17">
        <f>(J58-'Drilling Spec'!$C$26)/'Drilling Spec'!$C$38</f>
        <v>108.99517641877463</v>
      </c>
      <c r="X58" s="17">
        <f t="shared" si="6"/>
        <v>0</v>
      </c>
      <c r="Y58" s="17">
        <f t="shared" si="16"/>
        <v>8.9951764187746335</v>
      </c>
      <c r="Z58" s="10"/>
      <c r="AA58">
        <f>IF(Y58&lt;'Drilling Spec'!$C$39,,'Drilling Spec'!$C$39)</f>
        <v>0</v>
      </c>
      <c r="AD58" s="16">
        <f t="shared" si="17"/>
        <v>-723.9710585126478</v>
      </c>
      <c r="AE58" s="16">
        <f t="shared" si="9"/>
        <v>-759.86189926823249</v>
      </c>
      <c r="AF58">
        <f>-'Drilling Spec'!$C$29</f>
        <v>-720</v>
      </c>
      <c r="AG58">
        <f>-'Drilling Spec'!$C$27</f>
        <v>-624</v>
      </c>
      <c r="AH58">
        <f>-'Drilling Spec'!$C$28</f>
        <v>-688</v>
      </c>
      <c r="AI58" t="e">
        <f t="shared" si="10"/>
        <v>#N/A</v>
      </c>
      <c r="AJ58" t="e">
        <f>IF(T58=0,NA(),-'Drilling Spec'!$C$26/2)</f>
        <v>#N/A</v>
      </c>
      <c r="AK58" t="e">
        <f>IF(U58=0,NA(),-'Drilling Spec'!$C$26/2)</f>
        <v>#N/A</v>
      </c>
      <c r="AL58" t="e">
        <f>IF(Z58=0,NA(),-'Drilling Spec'!$C$26*3/2)</f>
        <v>#N/A</v>
      </c>
      <c r="AM58" t="e">
        <f>IF(AA58=0,NA(),-'Drilling Spec'!$C$26*3/2)</f>
        <v>#N/A</v>
      </c>
    </row>
    <row r="59" spans="2:42" x14ac:dyDescent="0.35">
      <c r="B59" s="2">
        <f t="shared" si="12"/>
        <v>46027</v>
      </c>
      <c r="C59" t="str">
        <f t="shared" si="0"/>
        <v>Mon</v>
      </c>
      <c r="D59" s="10" t="s">
        <v>68</v>
      </c>
      <c r="E59" s="10">
        <v>12</v>
      </c>
      <c r="F59" s="4">
        <f t="shared" si="1"/>
        <v>0</v>
      </c>
      <c r="G59" s="4">
        <f t="shared" si="14"/>
        <v>816</v>
      </c>
      <c r="H59" s="4">
        <f t="shared" si="3"/>
        <v>0</v>
      </c>
      <c r="I59" s="15">
        <f>(SQRT(4*J58*J58*V*V + 'Drilling Spec'!$C$42*J58 + W*('Drilling Spec'!$C$43 + 2*l*V*(s*W + 2*V*H59/(1+e)) + 'Drilling Spec'!$C$44)) - 'Drilling Spec'!$C$45)/(2*V)</f>
        <v>723.9710585126478</v>
      </c>
      <c r="J59" s="16">
        <f>IF(AND(OR(J58=0,J58=""),G59=0),IF(G60=0,"",'Drilling Spec'!$C$26),I59)</f>
        <v>723.9710585126478</v>
      </c>
      <c r="K59" s="16">
        <f>MAX(0,J59-'Drilling Spec'!$C$30)</f>
        <v>643.9710585126478</v>
      </c>
      <c r="L59" s="18">
        <f>IFERROR(K59/'Drilling Spec'!$C$31,0)</f>
        <v>42.931403900843186</v>
      </c>
      <c r="M59" s="21">
        <f t="shared" si="15"/>
        <v>0</v>
      </c>
      <c r="N59" s="4">
        <f t="shared" si="11"/>
        <v>144</v>
      </c>
      <c r="O59" s="21">
        <f t="shared" si="5"/>
        <v>0</v>
      </c>
      <c r="P59" s="18">
        <f>(SQRT(4*P58*P58*vB*vB + 'Drilling Spec'!$C$48*P58 + WB*('Drilling Spec'!$C$49 + 2*lB*vB*(sB*WB + 2*vB*O59/(1+eB)) + 'Drilling Spec'!$C$50)) - 'Drilling Spec'!$C$51)/(2*vB)</f>
        <v>759.86189926823249</v>
      </c>
      <c r="Q59" s="18">
        <f>IF(AND(OR(R58=0,R58=""),N59=0),IF(N60=0,"",'Drilling Spec'!$C$30),P59)</f>
        <v>759.86189926823249</v>
      </c>
      <c r="S59">
        <f t="shared" si="13"/>
        <v>46</v>
      </c>
      <c r="T59" s="10"/>
      <c r="U59">
        <f>IF('Baseline 1 - Perfect, 24hr'!L60&gt;'Baseline 1 - Perfect, 24hr'!S59,'Drilling Spec'!$C$36,)</f>
        <v>0</v>
      </c>
      <c r="W59" s="17">
        <f>(J59-'Drilling Spec'!$C$26)/'Drilling Spec'!$C$38</f>
        <v>108.99517641877463</v>
      </c>
      <c r="X59" s="17">
        <f t="shared" si="6"/>
        <v>0</v>
      </c>
      <c r="Y59" s="17">
        <f t="shared" si="16"/>
        <v>8.9951764187746335</v>
      </c>
      <c r="Z59" s="10"/>
      <c r="AA59">
        <f>IF(Y59&lt;'Drilling Spec'!$C$39,,'Drilling Spec'!$C$39)</f>
        <v>0</v>
      </c>
      <c r="AD59" s="16">
        <f t="shared" si="17"/>
        <v>-723.9710585126478</v>
      </c>
      <c r="AE59" s="16">
        <f t="shared" si="9"/>
        <v>-759.86189926823249</v>
      </c>
      <c r="AF59">
        <f>-'Drilling Spec'!$C$29</f>
        <v>-720</v>
      </c>
      <c r="AG59">
        <f>-'Drilling Spec'!$C$27</f>
        <v>-624</v>
      </c>
      <c r="AH59">
        <f>-'Drilling Spec'!$C$28</f>
        <v>-688</v>
      </c>
      <c r="AI59" t="e">
        <f t="shared" si="10"/>
        <v>#N/A</v>
      </c>
      <c r="AJ59" t="e">
        <f>IF(T59=0,NA(),-'Drilling Spec'!$C$26/2)</f>
        <v>#N/A</v>
      </c>
      <c r="AK59" t="e">
        <f>IF(U59=0,NA(),-'Drilling Spec'!$C$26/2)</f>
        <v>#N/A</v>
      </c>
      <c r="AL59" t="e">
        <f>IF(Z59=0,NA(),-'Drilling Spec'!$C$26*3/2)</f>
        <v>#N/A</v>
      </c>
      <c r="AM59" t="e">
        <f>IF(AA59=0,NA(),-'Drilling Spec'!$C$26*3/2)</f>
        <v>#N/A</v>
      </c>
    </row>
    <row r="60" spans="2:42" x14ac:dyDescent="0.35">
      <c r="B60" s="2">
        <f t="shared" si="12"/>
        <v>46028</v>
      </c>
      <c r="C60" t="str">
        <f t="shared" si="0"/>
        <v>Tue</v>
      </c>
      <c r="D60" s="10" t="s">
        <v>68</v>
      </c>
      <c r="E60" s="10">
        <v>12</v>
      </c>
      <c r="F60" s="4">
        <f t="shared" si="1"/>
        <v>0</v>
      </c>
      <c r="G60" s="4">
        <f t="shared" si="14"/>
        <v>816</v>
      </c>
      <c r="H60" s="4">
        <f t="shared" si="3"/>
        <v>0</v>
      </c>
      <c r="I60" s="15">
        <f>(SQRT(4*J59*J59*V*V + 'Drilling Spec'!$C$42*J59 + W*('Drilling Spec'!$C$43 + 2*l*V*(s*W + 2*V*H60/(1+e)) + 'Drilling Spec'!$C$44)) - 'Drilling Spec'!$C$45)/(2*V)</f>
        <v>723.9710585126478</v>
      </c>
      <c r="J60" s="16">
        <f>IF(AND(OR(J59=0,J59=""),G60=0),IF(G61=0,"",'Drilling Spec'!$C$26),I60)</f>
        <v>723.9710585126478</v>
      </c>
      <c r="K60" s="16">
        <f>MAX(0,J60-'Drilling Spec'!$C$30)</f>
        <v>643.9710585126478</v>
      </c>
      <c r="L60" s="18">
        <f>IFERROR(K60/'Drilling Spec'!$C$31,0)</f>
        <v>42.931403900843186</v>
      </c>
      <c r="M60" s="21">
        <f t="shared" si="15"/>
        <v>0</v>
      </c>
      <c r="N60" s="4">
        <f t="shared" si="11"/>
        <v>144</v>
      </c>
      <c r="O60" s="21">
        <f t="shared" si="5"/>
        <v>0</v>
      </c>
      <c r="P60" s="18">
        <f>(SQRT(4*P59*P59*vB*vB + 'Drilling Spec'!$C$48*P59 + WB*('Drilling Spec'!$C$49 + 2*lB*vB*(sB*WB + 2*vB*O60/(1+eB)) + 'Drilling Spec'!$C$50)) - 'Drilling Spec'!$C$51)/(2*vB)</f>
        <v>759.86189926823249</v>
      </c>
      <c r="Q60" s="18">
        <f>IF(AND(OR(R59=0,R59=""),N60=0),IF(N61=0,"",'Drilling Spec'!$C$30),P60)</f>
        <v>759.86189926823249</v>
      </c>
      <c r="S60">
        <f t="shared" si="13"/>
        <v>46</v>
      </c>
      <c r="T60" s="10"/>
      <c r="U60">
        <f>IF('Baseline 1 - Perfect, 24hr'!L61&gt;'Baseline 1 - Perfect, 24hr'!S60,'Drilling Spec'!$C$36,)</f>
        <v>0</v>
      </c>
      <c r="W60" s="17">
        <f>(J60-'Drilling Spec'!$C$26)/'Drilling Spec'!$C$38</f>
        <v>108.99517641877463</v>
      </c>
      <c r="X60" s="17">
        <f t="shared" si="6"/>
        <v>0</v>
      </c>
      <c r="Y60" s="17">
        <f t="shared" si="16"/>
        <v>8.9951764187746335</v>
      </c>
      <c r="Z60" s="10"/>
      <c r="AA60">
        <f>IF(Y60&lt;'Drilling Spec'!$C$39,,'Drilling Spec'!$C$39)</f>
        <v>0</v>
      </c>
      <c r="AD60" s="16">
        <f t="shared" si="17"/>
        <v>-723.9710585126478</v>
      </c>
      <c r="AE60" s="16">
        <f t="shared" si="9"/>
        <v>-759.86189926823249</v>
      </c>
      <c r="AF60">
        <f>-'Drilling Spec'!$C$29</f>
        <v>-720</v>
      </c>
      <c r="AG60">
        <f>-'Drilling Spec'!$C$27</f>
        <v>-624</v>
      </c>
      <c r="AH60">
        <f>-'Drilling Spec'!$C$28</f>
        <v>-688</v>
      </c>
      <c r="AI60" t="e">
        <f t="shared" si="10"/>
        <v>#N/A</v>
      </c>
      <c r="AJ60" t="e">
        <f>IF(T60=0,NA(),-'Drilling Spec'!$C$26/2)</f>
        <v>#N/A</v>
      </c>
      <c r="AK60" t="e">
        <f>IF(U60=0,NA(),-'Drilling Spec'!$C$26/2)</f>
        <v>#N/A</v>
      </c>
      <c r="AL60" t="e">
        <f>IF(Z60=0,NA(),-'Drilling Spec'!$C$26*3/2)</f>
        <v>#N/A</v>
      </c>
      <c r="AM60" t="e">
        <f>IF(AA60=0,NA(),-'Drilling Spec'!$C$26*3/2)</f>
        <v>#N/A</v>
      </c>
    </row>
    <row r="61" spans="2:42" x14ac:dyDescent="0.35">
      <c r="B61" s="2">
        <f t="shared" si="12"/>
        <v>46029</v>
      </c>
      <c r="C61" t="str">
        <f t="shared" si="0"/>
        <v>Wed</v>
      </c>
      <c r="D61" s="10" t="s">
        <v>70</v>
      </c>
      <c r="E61" s="10">
        <v>12</v>
      </c>
      <c r="F61" s="4">
        <f t="shared" si="1"/>
        <v>0</v>
      </c>
      <c r="G61" s="4">
        <f t="shared" si="14"/>
        <v>816</v>
      </c>
      <c r="H61" s="4">
        <f t="shared" si="3"/>
        <v>0</v>
      </c>
      <c r="I61" s="15">
        <f>(SQRT(4*J60*J60*V*V + 'Drilling Spec'!$C$42*J60 + W*('Drilling Spec'!$C$43 + 2*l*V*(s*W + 2*V*H61/(1+e)) + 'Drilling Spec'!$C$44)) - 'Drilling Spec'!$C$45)/(2*V)</f>
        <v>723.9710585126478</v>
      </c>
      <c r="J61" s="16">
        <f>IF(AND(OR(J60=0,J60=""),G61=0),IF(G62=0,"",'Drilling Spec'!$C$26),I61)</f>
        <v>723.9710585126478</v>
      </c>
      <c r="K61" s="16">
        <f>MAX(0,J61-'Drilling Spec'!$C$30)</f>
        <v>643.9710585126478</v>
      </c>
      <c r="L61" s="18">
        <f>IFERROR(K61/'Drilling Spec'!$C$31,0)</f>
        <v>42.931403900843186</v>
      </c>
      <c r="M61" s="21">
        <f t="shared" si="15"/>
        <v>0</v>
      </c>
      <c r="N61" s="4">
        <f t="shared" si="11"/>
        <v>144</v>
      </c>
      <c r="O61" s="21">
        <f t="shared" si="5"/>
        <v>0</v>
      </c>
      <c r="P61" s="18">
        <f>(SQRT(4*P60*P60*vB*vB + 'Drilling Spec'!$C$48*P60 + WB*('Drilling Spec'!$C$49 + 2*lB*vB*(sB*WB + 2*vB*O61/(1+eB)) + 'Drilling Spec'!$C$50)) - 'Drilling Spec'!$C$51)/(2*vB)</f>
        <v>759.86189926823249</v>
      </c>
      <c r="Q61" s="18">
        <f>IF(AND(OR(R60=0,R60=""),N61=0),IF(N62=0,"",'Drilling Spec'!$C$30),P61)</f>
        <v>759.86189926823249</v>
      </c>
      <c r="S61">
        <f t="shared" si="13"/>
        <v>46</v>
      </c>
      <c r="T61" s="10"/>
      <c r="U61">
        <f>IF('Baseline 1 - Perfect, 24hr'!L62&gt;'Baseline 1 - Perfect, 24hr'!S61,'Drilling Spec'!$C$36,)</f>
        <v>0</v>
      </c>
      <c r="W61" s="17">
        <f>(J61-'Drilling Spec'!$C$26)/'Drilling Spec'!$C$38</f>
        <v>108.99517641877463</v>
      </c>
      <c r="X61" s="17">
        <f t="shared" si="6"/>
        <v>0</v>
      </c>
      <c r="Y61" s="17">
        <f t="shared" si="16"/>
        <v>8.9951764187746335</v>
      </c>
      <c r="Z61" s="10"/>
      <c r="AA61">
        <f>IF(Y61&lt;'Drilling Spec'!$C$39,,'Drilling Spec'!$C$39)</f>
        <v>0</v>
      </c>
      <c r="AD61" s="16">
        <f t="shared" si="17"/>
        <v>-723.9710585126478</v>
      </c>
      <c r="AE61" s="16">
        <f t="shared" si="9"/>
        <v>-759.86189926823249</v>
      </c>
      <c r="AF61">
        <f>-'Drilling Spec'!$C$29</f>
        <v>-720</v>
      </c>
      <c r="AG61">
        <f>-'Drilling Spec'!$C$27</f>
        <v>-624</v>
      </c>
      <c r="AH61">
        <f>-'Drilling Spec'!$C$28</f>
        <v>-688</v>
      </c>
      <c r="AI61" t="e">
        <f t="shared" si="10"/>
        <v>#N/A</v>
      </c>
      <c r="AJ61" t="e">
        <f>IF(T61=0,NA(),-'Drilling Spec'!$C$26/2)</f>
        <v>#N/A</v>
      </c>
      <c r="AK61" t="e">
        <f>IF(U61=0,NA(),-'Drilling Spec'!$C$26/2)</f>
        <v>#N/A</v>
      </c>
      <c r="AL61" t="e">
        <f>IF(Z61=0,NA(),-'Drilling Spec'!$C$26*3/2)</f>
        <v>#N/A</v>
      </c>
      <c r="AM61" t="e">
        <f>IF(AA61=0,NA(),-'Drilling Spec'!$C$26*3/2)</f>
        <v>#N/A</v>
      </c>
    </row>
    <row r="62" spans="2:42" x14ac:dyDescent="0.35">
      <c r="B62" s="2">
        <f t="shared" si="12"/>
        <v>46030</v>
      </c>
      <c r="C62" t="str">
        <f t="shared" si="0"/>
        <v>Thu</v>
      </c>
      <c r="D62" s="10" t="s">
        <v>70</v>
      </c>
      <c r="E62" s="10">
        <v>12</v>
      </c>
      <c r="F62" s="4">
        <f t="shared" si="1"/>
        <v>0</v>
      </c>
      <c r="G62" s="4">
        <f t="shared" si="14"/>
        <v>816</v>
      </c>
      <c r="H62" s="4">
        <f t="shared" si="3"/>
        <v>0</v>
      </c>
      <c r="I62" s="15">
        <f>(SQRT(4*J61*J61*V*V + 'Drilling Spec'!$C$42*J61 + W*('Drilling Spec'!$C$43 + 2*l*V*(s*W + 2*V*H62/(1+e)) + 'Drilling Spec'!$C$44)) - 'Drilling Spec'!$C$45)/(2*V)</f>
        <v>723.9710585126478</v>
      </c>
      <c r="J62" s="16">
        <f>IF(AND(OR(J61=0,J61=""),G62=0),IF(G63=0,"",'Drilling Spec'!$C$26),I62)</f>
        <v>723.9710585126478</v>
      </c>
      <c r="K62" s="16">
        <f>MAX(0,J62-'Drilling Spec'!$C$30)</f>
        <v>643.9710585126478</v>
      </c>
      <c r="L62" s="18">
        <f>IFERROR(K62/'Drilling Spec'!$C$31,0)</f>
        <v>42.931403900843186</v>
      </c>
      <c r="M62" s="21">
        <f t="shared" si="15"/>
        <v>0</v>
      </c>
      <c r="N62" s="4">
        <f t="shared" si="11"/>
        <v>144</v>
      </c>
      <c r="O62" s="21">
        <f t="shared" si="5"/>
        <v>0</v>
      </c>
      <c r="P62" s="18">
        <f>(SQRT(4*P61*P61*vB*vB + 'Drilling Spec'!$C$48*P61 + WB*('Drilling Spec'!$C$49 + 2*lB*vB*(sB*WB + 2*vB*O62/(1+eB)) + 'Drilling Spec'!$C$50)) - 'Drilling Spec'!$C$51)/(2*vB)</f>
        <v>759.86189926823249</v>
      </c>
      <c r="Q62" s="18">
        <f>IF(AND(OR(R61=0,R61=""),N62=0),IF(N63=0,"",'Drilling Spec'!$C$30),P62)</f>
        <v>759.86189926823249</v>
      </c>
      <c r="S62">
        <f t="shared" si="13"/>
        <v>46</v>
      </c>
      <c r="T62" s="10"/>
      <c r="U62">
        <f>IF('Baseline 1 - Perfect, 24hr'!L63&gt;'Baseline 1 - Perfect, 24hr'!S62,'Drilling Spec'!$C$36,)</f>
        <v>0</v>
      </c>
      <c r="W62" s="17">
        <f>(J62-'Drilling Spec'!$C$26)/'Drilling Spec'!$C$38</f>
        <v>108.99517641877463</v>
      </c>
      <c r="X62" s="17">
        <f t="shared" si="6"/>
        <v>0</v>
      </c>
      <c r="Y62" s="17">
        <f t="shared" si="16"/>
        <v>8.9951764187746335</v>
      </c>
      <c r="Z62" s="10"/>
      <c r="AA62">
        <f>IF(Y62&lt;'Drilling Spec'!$C$39,,'Drilling Spec'!$C$39)</f>
        <v>0</v>
      </c>
      <c r="AD62" s="16">
        <f t="shared" si="17"/>
        <v>-723.9710585126478</v>
      </c>
      <c r="AE62" s="16">
        <f t="shared" si="9"/>
        <v>-759.86189926823249</v>
      </c>
      <c r="AF62">
        <f>-'Drilling Spec'!$C$29</f>
        <v>-720</v>
      </c>
      <c r="AG62">
        <f>-'Drilling Spec'!$C$27</f>
        <v>-624</v>
      </c>
      <c r="AH62">
        <f>-'Drilling Spec'!$C$28</f>
        <v>-688</v>
      </c>
      <c r="AI62" t="e">
        <f t="shared" si="10"/>
        <v>#N/A</v>
      </c>
      <c r="AJ62" t="e">
        <f>IF(T62=0,NA(),-'Drilling Spec'!$C$26/2)</f>
        <v>#N/A</v>
      </c>
      <c r="AK62" t="e">
        <f>IF(U62=0,NA(),-'Drilling Spec'!$C$26/2)</f>
        <v>#N/A</v>
      </c>
      <c r="AL62" t="e">
        <f>IF(Z62=0,NA(),-'Drilling Spec'!$C$26*3/2)</f>
        <v>#N/A</v>
      </c>
      <c r="AM62" t="e">
        <f>IF(AA62=0,NA(),-'Drilling Spec'!$C$26*3/2)</f>
        <v>#N/A</v>
      </c>
    </row>
    <row r="63" spans="2:42" x14ac:dyDescent="0.35">
      <c r="B63" s="2">
        <f t="shared" si="12"/>
        <v>46031</v>
      </c>
      <c r="C63" t="str">
        <f t="shared" si="0"/>
        <v>Fri</v>
      </c>
      <c r="D63" s="10" t="s">
        <v>70</v>
      </c>
      <c r="E63" s="10">
        <v>12</v>
      </c>
      <c r="F63" s="4">
        <f t="shared" si="1"/>
        <v>0</v>
      </c>
      <c r="G63" s="4">
        <f t="shared" si="14"/>
        <v>816</v>
      </c>
      <c r="H63" s="4">
        <f t="shared" si="3"/>
        <v>0</v>
      </c>
      <c r="I63" s="15">
        <f>(SQRT(4*J62*J62*V*V + 'Drilling Spec'!$C$42*J62 + W*('Drilling Spec'!$C$43 + 2*l*V*(s*W + 2*V*H63/(1+e)) + 'Drilling Spec'!$C$44)) - 'Drilling Spec'!$C$45)/(2*V)</f>
        <v>723.9710585126478</v>
      </c>
      <c r="J63" s="16">
        <f>IF(AND(OR(J62=0,J62=""),G63=0),IF(G64=0,"",'Drilling Spec'!$C$26),I63)</f>
        <v>723.9710585126478</v>
      </c>
      <c r="K63" s="16">
        <f>MAX(0,J63-'Drilling Spec'!$C$30)</f>
        <v>643.9710585126478</v>
      </c>
      <c r="L63" s="18">
        <f>IFERROR(K63/'Drilling Spec'!$C$31,0)</f>
        <v>42.931403900843186</v>
      </c>
      <c r="M63" s="21">
        <f t="shared" si="15"/>
        <v>0</v>
      </c>
      <c r="N63" s="4">
        <f t="shared" si="11"/>
        <v>144</v>
      </c>
      <c r="O63" s="21">
        <f t="shared" si="5"/>
        <v>0</v>
      </c>
      <c r="P63" s="18">
        <f>(SQRT(4*P62*P62*vB*vB + 'Drilling Spec'!$C$48*P62 + WB*('Drilling Spec'!$C$49 + 2*lB*vB*(sB*WB + 2*vB*O63/(1+eB)) + 'Drilling Spec'!$C$50)) - 'Drilling Spec'!$C$51)/(2*vB)</f>
        <v>759.86189926823249</v>
      </c>
      <c r="Q63" s="18">
        <f>IF(AND(OR(R62=0,R62=""),N63=0),IF(N64=0,"",'Drilling Spec'!$C$30),P63)</f>
        <v>759.86189926823249</v>
      </c>
      <c r="S63">
        <f t="shared" si="13"/>
        <v>46</v>
      </c>
      <c r="T63" s="10"/>
      <c r="U63">
        <f>IF('Baseline 1 - Perfect, 24hr'!L64&gt;'Baseline 1 - Perfect, 24hr'!S63,'Drilling Spec'!$C$36,)</f>
        <v>0</v>
      </c>
      <c r="W63" s="17">
        <f>(J63-'Drilling Spec'!$C$26)/'Drilling Spec'!$C$38</f>
        <v>108.99517641877463</v>
      </c>
      <c r="X63" s="17">
        <f t="shared" si="6"/>
        <v>0</v>
      </c>
      <c r="Y63" s="17">
        <f t="shared" si="16"/>
        <v>8.9951764187746335</v>
      </c>
      <c r="Z63" s="10"/>
      <c r="AA63">
        <f>IF(Y63&lt;'Drilling Spec'!$C$39,,'Drilling Spec'!$C$39)</f>
        <v>0</v>
      </c>
      <c r="AD63" s="16">
        <f t="shared" si="17"/>
        <v>-723.9710585126478</v>
      </c>
      <c r="AE63" s="16">
        <f t="shared" si="9"/>
        <v>-759.86189926823249</v>
      </c>
      <c r="AF63">
        <f>-'Drilling Spec'!$C$29</f>
        <v>-720</v>
      </c>
      <c r="AG63">
        <f>-'Drilling Spec'!$C$27</f>
        <v>-624</v>
      </c>
      <c r="AH63">
        <f>-'Drilling Spec'!$C$28</f>
        <v>-688</v>
      </c>
      <c r="AI63" t="e">
        <f t="shared" si="10"/>
        <v>#N/A</v>
      </c>
      <c r="AJ63" t="e">
        <f>IF(T63=0,NA(),-'Drilling Spec'!$C$26/2)</f>
        <v>#N/A</v>
      </c>
      <c r="AK63" t="e">
        <f>IF(U63=0,NA(),-'Drilling Spec'!$C$26/2)</f>
        <v>#N/A</v>
      </c>
      <c r="AL63" t="e">
        <f>IF(Z63=0,NA(),-'Drilling Spec'!$C$26*3/2)</f>
        <v>#N/A</v>
      </c>
      <c r="AM63" t="e">
        <f>IF(AA63=0,NA(),-'Drilling Spec'!$C$26*3/2)</f>
        <v>#N/A</v>
      </c>
    </row>
    <row r="64" spans="2:42" x14ac:dyDescent="0.35">
      <c r="B64" s="2">
        <f t="shared" si="12"/>
        <v>46032</v>
      </c>
      <c r="C64" t="str">
        <f t="shared" si="0"/>
        <v>Sat</v>
      </c>
      <c r="D64" s="10" t="s">
        <v>70</v>
      </c>
      <c r="E64" s="10">
        <v>12</v>
      </c>
      <c r="F64" s="4">
        <f t="shared" si="1"/>
        <v>0</v>
      </c>
      <c r="G64" s="4">
        <f t="shared" si="14"/>
        <v>816</v>
      </c>
      <c r="H64" s="4">
        <f t="shared" si="3"/>
        <v>0</v>
      </c>
      <c r="I64" s="15">
        <f>(SQRT(4*J63*J63*V*V + 'Drilling Spec'!$C$42*J63 + W*('Drilling Spec'!$C$43 + 2*l*V*(s*W + 2*V*H64/(1+e)) + 'Drilling Spec'!$C$44)) - 'Drilling Spec'!$C$45)/(2*V)</f>
        <v>723.9710585126478</v>
      </c>
      <c r="J64" s="16">
        <f>IF(AND(OR(J63=0,J63=""),G64=0),IF(G65=0,"",'Drilling Spec'!$C$26),I64)</f>
        <v>723.9710585126478</v>
      </c>
      <c r="K64" s="16">
        <f>MAX(0,J64-'Drilling Spec'!$C$30)</f>
        <v>643.9710585126478</v>
      </c>
      <c r="L64" s="18">
        <f>IFERROR(K64/'Drilling Spec'!$C$31,0)</f>
        <v>42.931403900843186</v>
      </c>
      <c r="M64" s="21">
        <f t="shared" si="15"/>
        <v>0</v>
      </c>
      <c r="N64" s="4">
        <f t="shared" si="11"/>
        <v>144</v>
      </c>
      <c r="O64" s="21">
        <f t="shared" si="5"/>
        <v>0</v>
      </c>
      <c r="P64" s="18">
        <f>(SQRT(4*P63*P63*vB*vB + 'Drilling Spec'!$C$48*P63 + WB*('Drilling Spec'!$C$49 + 2*lB*vB*(sB*WB + 2*vB*O64/(1+eB)) + 'Drilling Spec'!$C$50)) - 'Drilling Spec'!$C$51)/(2*vB)</f>
        <v>759.86189926823249</v>
      </c>
      <c r="Q64" s="18">
        <f>IF(AND(OR(R63=0,R63=""),N64=0),IF(N65=0,"",'Drilling Spec'!$C$30),P64)</f>
        <v>759.86189926823249</v>
      </c>
      <c r="S64">
        <f t="shared" si="13"/>
        <v>46</v>
      </c>
      <c r="T64" s="10"/>
      <c r="U64">
        <f>IF('Baseline 1 - Perfect, 24hr'!L65&gt;'Baseline 1 - Perfect, 24hr'!S64,'Drilling Spec'!$C$36,)</f>
        <v>0</v>
      </c>
      <c r="W64" s="17">
        <f>(J64-'Drilling Spec'!$C$26)/'Drilling Spec'!$C$38</f>
        <v>108.99517641877463</v>
      </c>
      <c r="X64" s="17">
        <f t="shared" si="6"/>
        <v>0</v>
      </c>
      <c r="Y64" s="17">
        <f t="shared" si="16"/>
        <v>8.9951764187746335</v>
      </c>
      <c r="Z64" s="10"/>
      <c r="AA64">
        <f>IF(Y64&lt;'Drilling Spec'!$C$39,,'Drilling Spec'!$C$39)</f>
        <v>0</v>
      </c>
      <c r="AD64" s="16">
        <f t="shared" si="17"/>
        <v>-723.9710585126478</v>
      </c>
      <c r="AE64" s="16">
        <f t="shared" si="9"/>
        <v>-759.86189926823249</v>
      </c>
      <c r="AF64">
        <f>-'Drilling Spec'!$C$29</f>
        <v>-720</v>
      </c>
      <c r="AG64">
        <f>-'Drilling Spec'!$C$27</f>
        <v>-624</v>
      </c>
      <c r="AH64">
        <f>-'Drilling Spec'!$C$28</f>
        <v>-688</v>
      </c>
      <c r="AI64" t="e">
        <f t="shared" si="10"/>
        <v>#N/A</v>
      </c>
      <c r="AJ64" t="e">
        <f>IF(T64=0,NA(),-'Drilling Spec'!$C$26/2)</f>
        <v>#N/A</v>
      </c>
      <c r="AK64" t="e">
        <f>IF(U64=0,NA(),-'Drilling Spec'!$C$26/2)</f>
        <v>#N/A</v>
      </c>
      <c r="AL64" t="e">
        <f>IF(Z64=0,NA(),-'Drilling Spec'!$C$26*3/2)</f>
        <v>#N/A</v>
      </c>
      <c r="AM64" t="e">
        <f>IF(AA64=0,NA(),-'Drilling Spec'!$C$26*3/2)</f>
        <v>#N/A</v>
      </c>
    </row>
    <row r="65" spans="2:39" x14ac:dyDescent="0.35">
      <c r="B65" s="2">
        <f t="shared" si="12"/>
        <v>46033</v>
      </c>
      <c r="C65" t="str">
        <f t="shared" si="0"/>
        <v>Sun</v>
      </c>
      <c r="D65" s="10" t="s">
        <v>71</v>
      </c>
      <c r="E65" s="10">
        <v>12</v>
      </c>
      <c r="F65" s="4">
        <f t="shared" si="1"/>
        <v>0</v>
      </c>
      <c r="G65" s="4">
        <f t="shared" si="14"/>
        <v>816</v>
      </c>
      <c r="H65" s="4">
        <f t="shared" si="3"/>
        <v>0</v>
      </c>
      <c r="I65" s="15">
        <f>(SQRT(4*J64*J64*V*V + 'Drilling Spec'!$C$42*J64 + W*('Drilling Spec'!$C$43 + 2*l*V*(s*W + 2*V*H65/(1+e)) + 'Drilling Spec'!$C$44)) - 'Drilling Spec'!$C$45)/(2*V)</f>
        <v>723.9710585126478</v>
      </c>
      <c r="J65" s="16">
        <f>IF(AND(OR(J64=0,J64=""),G65=0),IF(G66=0,"",'Drilling Spec'!$C$26),I65)</f>
        <v>723.9710585126478</v>
      </c>
      <c r="K65" s="16">
        <f>MAX(0,J65-'Drilling Spec'!$C$30)</f>
        <v>643.9710585126478</v>
      </c>
      <c r="L65" s="18">
        <f>IFERROR(K65/'Drilling Spec'!$C$31,0)</f>
        <v>42.931403900843186</v>
      </c>
      <c r="M65" s="21">
        <f t="shared" si="15"/>
        <v>0</v>
      </c>
      <c r="N65" s="4">
        <f t="shared" si="11"/>
        <v>144</v>
      </c>
      <c r="O65" s="21">
        <f t="shared" si="5"/>
        <v>0</v>
      </c>
      <c r="P65" s="18">
        <f>(SQRT(4*P64*P64*vB*vB + 'Drilling Spec'!$C$48*P64 + WB*('Drilling Spec'!$C$49 + 2*lB*vB*(sB*WB + 2*vB*O65/(1+eB)) + 'Drilling Spec'!$C$50)) - 'Drilling Spec'!$C$51)/(2*vB)</f>
        <v>759.86189926823249</v>
      </c>
      <c r="Q65" s="18">
        <f>IF(AND(OR(R64=0,R64=""),N65=0),IF(N66=0,"",'Drilling Spec'!$C$30),P65)</f>
        <v>759.86189926823249</v>
      </c>
      <c r="S65">
        <f t="shared" si="13"/>
        <v>46</v>
      </c>
      <c r="T65" s="10"/>
      <c r="U65">
        <f>IF('Baseline 1 - Perfect, 24hr'!L66&gt;'Baseline 1 - Perfect, 24hr'!S65,'Drilling Spec'!$C$36,)</f>
        <v>0</v>
      </c>
      <c r="W65" s="17">
        <f>(J65-'Drilling Spec'!$C$26)/'Drilling Spec'!$C$38</f>
        <v>108.99517641877463</v>
      </c>
      <c r="X65" s="17">
        <f t="shared" si="6"/>
        <v>0</v>
      </c>
      <c r="Y65" s="17">
        <f t="shared" si="16"/>
        <v>8.9951764187746335</v>
      </c>
      <c r="Z65" s="10"/>
      <c r="AA65">
        <f>IF(Y65&lt;'Drilling Spec'!$C$39,,'Drilling Spec'!$C$39)</f>
        <v>0</v>
      </c>
      <c r="AD65" s="16">
        <f t="shared" si="17"/>
        <v>-723.9710585126478</v>
      </c>
      <c r="AE65" s="16">
        <f t="shared" si="9"/>
        <v>-759.86189926823249</v>
      </c>
      <c r="AF65">
        <f>-'Drilling Spec'!$C$29</f>
        <v>-720</v>
      </c>
      <c r="AG65">
        <f>-'Drilling Spec'!$C$27</f>
        <v>-624</v>
      </c>
      <c r="AH65">
        <f>-'Drilling Spec'!$C$28</f>
        <v>-688</v>
      </c>
      <c r="AI65">
        <f t="shared" si="10"/>
        <v>0</v>
      </c>
      <c r="AJ65" t="e">
        <f>IF(T65=0,NA(),-'Drilling Spec'!$C$26/2)</f>
        <v>#N/A</v>
      </c>
      <c r="AK65" t="e">
        <f>IF(U65=0,NA(),-'Drilling Spec'!$C$26/2)</f>
        <v>#N/A</v>
      </c>
      <c r="AL65" t="e">
        <f>IF(Z65=0,NA(),-'Drilling Spec'!$C$26*3/2)</f>
        <v>#N/A</v>
      </c>
      <c r="AM65" t="e">
        <f>IF(AA65=0,NA(),-'Drilling Spec'!$C$26*3/2)</f>
        <v>#N/A</v>
      </c>
    </row>
    <row r="66" spans="2:39" x14ac:dyDescent="0.35">
      <c r="B66" s="2">
        <f t="shared" si="12"/>
        <v>46034</v>
      </c>
      <c r="C66" t="str">
        <f t="shared" si="0"/>
        <v>Mon</v>
      </c>
      <c r="D66" s="10"/>
      <c r="E66" s="10"/>
      <c r="F66" s="4">
        <f t="shared" si="1"/>
        <v>0</v>
      </c>
      <c r="G66" s="4">
        <f t="shared" si="14"/>
        <v>816</v>
      </c>
      <c r="H66" s="4">
        <f t="shared" si="3"/>
        <v>0</v>
      </c>
      <c r="I66" s="15">
        <f>(SQRT(4*J65*J65*V*V + 'Drilling Spec'!$C$42*J65 + W*('Drilling Spec'!$C$43 + 2*l*V*(s*W + 2*V*H66/(1+e)) + 'Drilling Spec'!$C$44)) - 'Drilling Spec'!$C$45)/(2*V)</f>
        <v>723.9710585126478</v>
      </c>
      <c r="J66" s="16">
        <f>IF(AND(OR(J65=0,J65=""),G66=0),IF(G67=0,"",'Drilling Spec'!$C$26),I66)</f>
        <v>723.9710585126478</v>
      </c>
      <c r="K66" s="16">
        <f>MAX(0,J66-'Drilling Spec'!$C$30)</f>
        <v>643.9710585126478</v>
      </c>
      <c r="L66" s="18">
        <f>IFERROR(K66/'Drilling Spec'!$C$31,0)</f>
        <v>42.931403900843186</v>
      </c>
      <c r="M66" s="21">
        <f t="shared" si="15"/>
        <v>0</v>
      </c>
      <c r="N66" s="4">
        <f t="shared" si="11"/>
        <v>144</v>
      </c>
      <c r="O66" s="21">
        <f t="shared" si="5"/>
        <v>0</v>
      </c>
      <c r="P66" s="18">
        <f>(SQRT(4*P65*P65*vB*vB + 'Drilling Spec'!$C$48*P65 + WB*('Drilling Spec'!$C$49 + 2*lB*vB*(sB*WB + 2*vB*O66/(1+eB)) + 'Drilling Spec'!$C$50)) - 'Drilling Spec'!$C$51)/(2*vB)</f>
        <v>759.86189926823249</v>
      </c>
      <c r="Q66" s="18">
        <f>IF(AND(OR(R65=0,R65=""),N66=0),IF(N67=0,"",'Drilling Spec'!$C$30),P66)</f>
        <v>759.86189926823249</v>
      </c>
      <c r="S66">
        <f t="shared" si="13"/>
        <v>46</v>
      </c>
      <c r="T66" s="10"/>
      <c r="U66">
        <f>IF('Baseline 1 - Perfect, 24hr'!L67&gt;'Baseline 1 - Perfect, 24hr'!S66,'Drilling Spec'!$C$36,)</f>
        <v>0</v>
      </c>
      <c r="W66" s="17">
        <f>(J66-'Drilling Spec'!$C$26)/'Drilling Spec'!$C$38</f>
        <v>108.99517641877463</v>
      </c>
      <c r="X66" s="17">
        <f t="shared" si="6"/>
        <v>0</v>
      </c>
      <c r="Y66" s="17">
        <f t="shared" si="16"/>
        <v>8.9951764187746335</v>
      </c>
      <c r="Z66" s="10"/>
      <c r="AA66">
        <f>IF(Y66&lt;'Drilling Spec'!$C$39,,'Drilling Spec'!$C$39)</f>
        <v>0</v>
      </c>
      <c r="AD66" s="16">
        <f t="shared" si="17"/>
        <v>-723.9710585126478</v>
      </c>
      <c r="AE66" s="16">
        <f t="shared" si="9"/>
        <v>-759.86189926823249</v>
      </c>
      <c r="AF66">
        <f>-'Drilling Spec'!$C$29</f>
        <v>-720</v>
      </c>
      <c r="AG66">
        <f>-'Drilling Spec'!$C$27</f>
        <v>-624</v>
      </c>
      <c r="AH66">
        <f>-'Drilling Spec'!$C$28</f>
        <v>-688</v>
      </c>
      <c r="AI66" t="e">
        <f t="shared" si="10"/>
        <v>#N/A</v>
      </c>
      <c r="AJ66" t="e">
        <f>IF(T66=0,NA(),-'Drilling Spec'!$C$26/2)</f>
        <v>#N/A</v>
      </c>
      <c r="AK66" t="e">
        <f>IF(U66=0,NA(),-'Drilling Spec'!$C$26/2)</f>
        <v>#N/A</v>
      </c>
      <c r="AL66" t="e">
        <f>IF(Z66=0,NA(),-'Drilling Spec'!$C$26*3/2)</f>
        <v>#N/A</v>
      </c>
      <c r="AM66" t="e">
        <f>IF(AA66=0,NA(),-'Drilling Spec'!$C$26*3/2)</f>
        <v>#N/A</v>
      </c>
    </row>
    <row r="67" spans="2:39" x14ac:dyDescent="0.35">
      <c r="B67" s="2">
        <f t="shared" si="12"/>
        <v>46035</v>
      </c>
      <c r="C67" t="str">
        <f t="shared" ref="C67:C112" si="18">TEXT(B67,"ddd")</f>
        <v>Tue</v>
      </c>
      <c r="D67" s="10"/>
      <c r="E67" s="10"/>
      <c r="F67" s="4">
        <f t="shared" ref="F67:F112" si="19">IF(D67="Drilling",E67,0)</f>
        <v>0</v>
      </c>
      <c r="G67" s="4">
        <f t="shared" ref="G67:G87" si="20">(G66+F67)</f>
        <v>816</v>
      </c>
      <c r="H67" s="4">
        <f t="shared" ref="H67:H112" si="21">F67*60</f>
        <v>0</v>
      </c>
      <c r="I67" s="15">
        <f>(SQRT(4*J66*J66*V*V + 'Drilling Spec'!$C$42*J66 + W*('Drilling Spec'!$C$43 + 2*l*V*(s*W + 2*V*H67/(1+e)) + 'Drilling Spec'!$C$44)) - 'Drilling Spec'!$C$45)/(2*V)</f>
        <v>723.9710585126478</v>
      </c>
      <c r="J67" s="16">
        <f>IF(AND(OR(J66=0,J66=""),G67=0),IF(G68=0,"",'Drilling Spec'!$C$26),I67)</f>
        <v>723.9710585126478</v>
      </c>
      <c r="K67" s="16">
        <f>MAX(0,J67-'Drilling Spec'!$C$30)</f>
        <v>643.9710585126478</v>
      </c>
      <c r="L67" s="18">
        <f>IFERROR(K67/'Drilling Spec'!$C$31,0)</f>
        <v>42.931403900843186</v>
      </c>
      <c r="M67" s="21">
        <f t="shared" ref="M67:M87" si="22">IF(D67="Bailing",E67,0)</f>
        <v>0</v>
      </c>
      <c r="N67" s="4">
        <f t="shared" si="11"/>
        <v>144</v>
      </c>
      <c r="O67" s="21">
        <f t="shared" ref="O67:O112" si="23">M67*60</f>
        <v>0</v>
      </c>
      <c r="P67" s="18">
        <f>(SQRT(4*P66*P66*vB*vB + 'Drilling Spec'!$C$48*P66 + WB*('Drilling Spec'!$C$49 + 2*lB*vB*(sB*WB + 2*vB*O67/(1+eB)) + 'Drilling Spec'!$C$50)) - 'Drilling Spec'!$C$51)/(2*vB)</f>
        <v>759.86189926823249</v>
      </c>
      <c r="Q67" s="18">
        <f>IF(AND(OR(R66=0,R66=""),N67=0),IF(N68=0,"",'Drilling Spec'!$C$30),P67)</f>
        <v>759.86189926823249</v>
      </c>
      <c r="S67">
        <f t="shared" si="13"/>
        <v>46</v>
      </c>
      <c r="T67" s="10"/>
      <c r="U67">
        <f>IF('Baseline 1 - Perfect, 24hr'!L68&gt;'Baseline 1 - Perfect, 24hr'!S67,'Drilling Spec'!$C$36,)</f>
        <v>0</v>
      </c>
      <c r="W67" s="17">
        <f>(J67-'Drilling Spec'!$C$26)/'Drilling Spec'!$C$38</f>
        <v>108.99517641877463</v>
      </c>
      <c r="X67" s="17">
        <f t="shared" ref="X67:X112" si="24">IFERROR(W67-W66,0)</f>
        <v>0</v>
      </c>
      <c r="Y67" s="17">
        <f t="shared" ref="Y67:Y98" si="25">Y66+X67-Z67-AA66</f>
        <v>8.9951764187746335</v>
      </c>
      <c r="Z67" s="10"/>
      <c r="AA67">
        <f>IF(Y67&lt;'Drilling Spec'!$C$39,,'Drilling Spec'!$C$39)</f>
        <v>0</v>
      </c>
      <c r="AD67" s="16">
        <f t="shared" ref="AD67:AD87" si="26">IFERROR(-J67,NA())</f>
        <v>-723.9710585126478</v>
      </c>
      <c r="AE67" s="16">
        <f t="shared" ref="AE67:AE112" si="27">IF(OR(Q67=0,Q67=""),NA(),-Q67)</f>
        <v>-759.86189926823249</v>
      </c>
      <c r="AF67">
        <f>-'Drilling Spec'!$C$29</f>
        <v>-720</v>
      </c>
      <c r="AG67">
        <f>-'Drilling Spec'!$C$27</f>
        <v>-624</v>
      </c>
      <c r="AH67">
        <f>-'Drilling Spec'!$C$28</f>
        <v>-688</v>
      </c>
      <c r="AI67" t="e">
        <f t="shared" ref="AI67:AI112" si="28">IF(D67="Camp Closed",0,NA())</f>
        <v>#N/A</v>
      </c>
      <c r="AJ67" t="e">
        <f>IF(T67=0,NA(),-'Drilling Spec'!$C$26/2)</f>
        <v>#N/A</v>
      </c>
      <c r="AK67" t="e">
        <f>IF(U67=0,NA(),-'Drilling Spec'!$C$26/2)</f>
        <v>#N/A</v>
      </c>
      <c r="AL67" t="e">
        <f>IF(Z67=0,NA(),-'Drilling Spec'!$C$26*3/2)</f>
        <v>#N/A</v>
      </c>
      <c r="AM67" t="e">
        <f>IF(AA67=0,NA(),-'Drilling Spec'!$C$26*3/2)</f>
        <v>#N/A</v>
      </c>
    </row>
    <row r="68" spans="2:39" x14ac:dyDescent="0.35">
      <c r="B68" s="2">
        <f t="shared" si="12"/>
        <v>46036</v>
      </c>
      <c r="C68" t="str">
        <f t="shared" si="18"/>
        <v>Wed</v>
      </c>
      <c r="D68" s="10"/>
      <c r="E68" s="10"/>
      <c r="F68" s="4">
        <f t="shared" si="19"/>
        <v>0</v>
      </c>
      <c r="G68" s="4">
        <f t="shared" si="20"/>
        <v>816</v>
      </c>
      <c r="H68" s="4">
        <f t="shared" si="21"/>
        <v>0</v>
      </c>
      <c r="I68" s="15">
        <f>(SQRT(4*J67*J67*V*V + 'Drilling Spec'!$C$42*J67 + W*('Drilling Spec'!$C$43 + 2*l*V*(s*W + 2*V*H68/(1+e)) + 'Drilling Spec'!$C$44)) - 'Drilling Spec'!$C$45)/(2*V)</f>
        <v>723.9710585126478</v>
      </c>
      <c r="J68" s="16">
        <f>IF(AND(OR(J67=0,J67=""),G68=0),IF(G69=0,"",'Drilling Spec'!$C$26),I68)</f>
        <v>723.9710585126478</v>
      </c>
      <c r="K68" s="16">
        <f>MAX(0,J68-'Drilling Spec'!$C$30)</f>
        <v>643.9710585126478</v>
      </c>
      <c r="L68" s="18">
        <f>IFERROR(K68/'Drilling Spec'!$C$31,0)</f>
        <v>42.931403900843186</v>
      </c>
      <c r="M68" s="21">
        <f t="shared" si="22"/>
        <v>0</v>
      </c>
      <c r="N68" s="4">
        <f t="shared" ref="N68:N112" si="29">(N67+M68)</f>
        <v>144</v>
      </c>
      <c r="O68" s="21">
        <f t="shared" si="23"/>
        <v>0</v>
      </c>
      <c r="P68" s="18">
        <f>(SQRT(4*P67*P67*vB*vB + 'Drilling Spec'!$C$48*P67 + WB*('Drilling Spec'!$C$49 + 2*lB*vB*(sB*WB + 2*vB*O68/(1+eB)) + 'Drilling Spec'!$C$50)) - 'Drilling Spec'!$C$51)/(2*vB)</f>
        <v>759.86189926823249</v>
      </c>
      <c r="Q68" s="18">
        <f>IF(AND(OR(R67=0,R67=""),N68=0),IF(N69=0,"",'Drilling Spec'!$C$30),P68)</f>
        <v>759.86189926823249</v>
      </c>
      <c r="S68">
        <f t="shared" si="13"/>
        <v>46</v>
      </c>
      <c r="T68" s="10"/>
      <c r="U68">
        <f>IF('Baseline 1 - Perfect, 24hr'!L69&gt;'Baseline 1 - Perfect, 24hr'!S68,'Drilling Spec'!$C$36,)</f>
        <v>0</v>
      </c>
      <c r="W68" s="17">
        <f>(J68-'Drilling Spec'!$C$26)/'Drilling Spec'!$C$38</f>
        <v>108.99517641877463</v>
      </c>
      <c r="X68" s="17">
        <f t="shared" si="24"/>
        <v>0</v>
      </c>
      <c r="Y68" s="17">
        <f t="shared" si="25"/>
        <v>8.9951764187746335</v>
      </c>
      <c r="Z68" s="10"/>
      <c r="AA68">
        <f>IF(Y68&lt;'Drilling Spec'!$C$39,,'Drilling Spec'!$C$39)</f>
        <v>0</v>
      </c>
      <c r="AD68" s="16">
        <f t="shared" si="26"/>
        <v>-723.9710585126478</v>
      </c>
      <c r="AE68" s="16">
        <f t="shared" si="27"/>
        <v>-759.86189926823249</v>
      </c>
      <c r="AF68">
        <f>-'Drilling Spec'!$C$29</f>
        <v>-720</v>
      </c>
      <c r="AG68">
        <f>-'Drilling Spec'!$C$27</f>
        <v>-624</v>
      </c>
      <c r="AH68">
        <f>-'Drilling Spec'!$C$28</f>
        <v>-688</v>
      </c>
      <c r="AI68" t="e">
        <f t="shared" si="28"/>
        <v>#N/A</v>
      </c>
      <c r="AJ68" t="e">
        <f>IF(T68=0,NA(),-'Drilling Spec'!$C$26/2)</f>
        <v>#N/A</v>
      </c>
      <c r="AK68" t="e">
        <f>IF(U68=0,NA(),-'Drilling Spec'!$C$26/2)</f>
        <v>#N/A</v>
      </c>
      <c r="AL68" t="e">
        <f>IF(Z68=0,NA(),-'Drilling Spec'!$C$26*3/2)</f>
        <v>#N/A</v>
      </c>
      <c r="AM68" t="e">
        <f>IF(AA68=0,NA(),-'Drilling Spec'!$C$26*3/2)</f>
        <v>#N/A</v>
      </c>
    </row>
    <row r="69" spans="2:39" x14ac:dyDescent="0.35">
      <c r="B69" s="2">
        <f t="shared" ref="B69:B84" si="30">B68+1</f>
        <v>46037</v>
      </c>
      <c r="C69" t="str">
        <f t="shared" si="18"/>
        <v>Thu</v>
      </c>
      <c r="D69" s="10"/>
      <c r="E69" s="10"/>
      <c r="F69" s="4">
        <f t="shared" si="19"/>
        <v>0</v>
      </c>
      <c r="G69" s="4">
        <f t="shared" si="20"/>
        <v>816</v>
      </c>
      <c r="H69" s="4">
        <f t="shared" si="21"/>
        <v>0</v>
      </c>
      <c r="I69" s="15">
        <f>(SQRT(4*J68*J68*V*V + 'Drilling Spec'!$C$42*J68 + W*('Drilling Spec'!$C$43 + 2*l*V*(s*W + 2*V*H69/(1+e)) + 'Drilling Spec'!$C$44)) - 'Drilling Spec'!$C$45)/(2*V)</f>
        <v>723.9710585126478</v>
      </c>
      <c r="J69" s="16">
        <f>IF(AND(OR(J68=0,J68=""),G69=0),IF(G70=0,"",'Drilling Spec'!$C$26),I69)</f>
        <v>723.9710585126478</v>
      </c>
      <c r="K69" s="16">
        <f>MAX(0,J69-'Drilling Spec'!$C$30)</f>
        <v>643.9710585126478</v>
      </c>
      <c r="L69" s="18">
        <f>IFERROR(K69/'Drilling Spec'!$C$31,0)</f>
        <v>42.931403900843186</v>
      </c>
      <c r="M69" s="21">
        <f t="shared" si="22"/>
        <v>0</v>
      </c>
      <c r="N69" s="4">
        <f t="shared" si="29"/>
        <v>144</v>
      </c>
      <c r="O69" s="21">
        <f t="shared" si="23"/>
        <v>0</v>
      </c>
      <c r="P69" s="18">
        <f>(SQRT(4*P68*P68*vB*vB + 'Drilling Spec'!$C$48*P68 + WB*('Drilling Spec'!$C$49 + 2*lB*vB*(sB*WB + 2*vB*O69/(1+eB)) + 'Drilling Spec'!$C$50)) - 'Drilling Spec'!$C$51)/(2*vB)</f>
        <v>759.86189926823249</v>
      </c>
      <c r="Q69" s="18">
        <f>IF(AND(OR(R68=0,R68=""),N69=0),IF(N70=0,"",'Drilling Spec'!$C$30),P69)</f>
        <v>759.86189926823249</v>
      </c>
      <c r="S69">
        <f t="shared" ref="S69:S73" si="31">S68+U68+T69</f>
        <v>46</v>
      </c>
      <c r="T69" s="10"/>
      <c r="U69">
        <f>IF('Baseline 1 - Perfect, 24hr'!L70&gt;'Baseline 1 - Perfect, 24hr'!S69,'Drilling Spec'!$C$36,)</f>
        <v>0</v>
      </c>
      <c r="W69" s="17">
        <f>(J69-'Drilling Spec'!$C$26)/'Drilling Spec'!$C$38</f>
        <v>108.99517641877463</v>
      </c>
      <c r="X69" s="17">
        <f t="shared" si="24"/>
        <v>0</v>
      </c>
      <c r="Y69" s="17">
        <f t="shared" si="25"/>
        <v>8.9951764187746335</v>
      </c>
      <c r="Z69" s="10"/>
      <c r="AA69">
        <f>IF(Y69&lt;'Drilling Spec'!$C$39,,'Drilling Spec'!$C$39)</f>
        <v>0</v>
      </c>
      <c r="AD69" s="16">
        <f t="shared" si="26"/>
        <v>-723.9710585126478</v>
      </c>
      <c r="AE69" s="16">
        <f t="shared" si="27"/>
        <v>-759.86189926823249</v>
      </c>
      <c r="AF69">
        <f>-'Drilling Spec'!$C$29</f>
        <v>-720</v>
      </c>
      <c r="AG69">
        <f>-'Drilling Spec'!$C$27</f>
        <v>-624</v>
      </c>
      <c r="AH69">
        <f>-'Drilling Spec'!$C$28</f>
        <v>-688</v>
      </c>
      <c r="AI69" t="e">
        <f t="shared" si="28"/>
        <v>#N/A</v>
      </c>
      <c r="AJ69" t="e">
        <f>IF(T69=0,NA(),-'Drilling Spec'!$C$26/2)</f>
        <v>#N/A</v>
      </c>
      <c r="AK69" t="e">
        <f>IF(U69=0,NA(),-'Drilling Spec'!$C$26/2)</f>
        <v>#N/A</v>
      </c>
      <c r="AL69" t="e">
        <f>IF(Z69=0,NA(),-'Drilling Spec'!$C$26*3/2)</f>
        <v>#N/A</v>
      </c>
      <c r="AM69" t="e">
        <f>IF(AA69=0,NA(),-'Drilling Spec'!$C$26*3/2)</f>
        <v>#N/A</v>
      </c>
    </row>
    <row r="70" spans="2:39" x14ac:dyDescent="0.35">
      <c r="B70" s="2">
        <f t="shared" si="30"/>
        <v>46038</v>
      </c>
      <c r="C70" t="str">
        <f t="shared" si="18"/>
        <v>Fri</v>
      </c>
      <c r="D70" s="10"/>
      <c r="E70" s="10"/>
      <c r="F70" s="4">
        <f t="shared" si="19"/>
        <v>0</v>
      </c>
      <c r="G70" s="4">
        <f t="shared" si="20"/>
        <v>816</v>
      </c>
      <c r="H70" s="4">
        <f t="shared" si="21"/>
        <v>0</v>
      </c>
      <c r="I70" s="15">
        <f>(SQRT(4*J69*J69*V*V + 'Drilling Spec'!$C$42*J69 + W*('Drilling Spec'!$C$43 + 2*l*V*(s*W + 2*V*H70/(1+e)) + 'Drilling Spec'!$C$44)) - 'Drilling Spec'!$C$45)/(2*V)</f>
        <v>723.9710585126478</v>
      </c>
      <c r="J70" s="16">
        <f>IF(AND(OR(J69=0,J69=""),G70=0),IF(G71=0,"",'Drilling Spec'!$C$26),I70)</f>
        <v>723.9710585126478</v>
      </c>
      <c r="K70" s="16">
        <f>MAX(0,J70-'Drilling Spec'!$C$30)</f>
        <v>643.9710585126478</v>
      </c>
      <c r="L70" s="18">
        <f>IFERROR(K70/'Drilling Spec'!$C$31,0)</f>
        <v>42.931403900843186</v>
      </c>
      <c r="M70" s="21">
        <f t="shared" si="22"/>
        <v>0</v>
      </c>
      <c r="N70" s="4">
        <f t="shared" si="29"/>
        <v>144</v>
      </c>
      <c r="O70" s="21">
        <f t="shared" si="23"/>
        <v>0</v>
      </c>
      <c r="P70" s="18">
        <f>(SQRT(4*P69*P69*vB*vB + 'Drilling Spec'!$C$48*P69 + WB*('Drilling Spec'!$C$49 + 2*lB*vB*(sB*WB + 2*vB*O70/(1+eB)) + 'Drilling Spec'!$C$50)) - 'Drilling Spec'!$C$51)/(2*vB)</f>
        <v>759.86189926823249</v>
      </c>
      <c r="Q70" s="18">
        <f>IF(AND(OR(R69=0,R69=""),N70=0),IF(N71=0,"",'Drilling Spec'!$C$30),P70)</f>
        <v>759.86189926823249</v>
      </c>
      <c r="S70">
        <f t="shared" si="31"/>
        <v>46</v>
      </c>
      <c r="T70" s="10"/>
      <c r="U70">
        <f>IF('Baseline 1 - Perfect, 24hr'!L71&gt;'Baseline 1 - Perfect, 24hr'!S70,'Drilling Spec'!$C$36,)</f>
        <v>0</v>
      </c>
      <c r="W70" s="17">
        <f>(J70-'Drilling Spec'!$C$26)/'Drilling Spec'!$C$38</f>
        <v>108.99517641877463</v>
      </c>
      <c r="X70" s="17">
        <f t="shared" si="24"/>
        <v>0</v>
      </c>
      <c r="Y70" s="17">
        <f t="shared" si="25"/>
        <v>8.9951764187746335</v>
      </c>
      <c r="Z70" s="10"/>
      <c r="AA70">
        <f>IF(Y70&lt;'Drilling Spec'!$C$39,,'Drilling Spec'!$C$39)</f>
        <v>0</v>
      </c>
      <c r="AD70" s="16">
        <f t="shared" si="26"/>
        <v>-723.9710585126478</v>
      </c>
      <c r="AE70" s="16">
        <f t="shared" si="27"/>
        <v>-759.86189926823249</v>
      </c>
      <c r="AF70">
        <f>-'Drilling Spec'!$C$29</f>
        <v>-720</v>
      </c>
      <c r="AG70">
        <f>-'Drilling Spec'!$C$27</f>
        <v>-624</v>
      </c>
      <c r="AH70">
        <f>-'Drilling Spec'!$C$28</f>
        <v>-688</v>
      </c>
      <c r="AI70" t="e">
        <f t="shared" si="28"/>
        <v>#N/A</v>
      </c>
      <c r="AJ70" t="e">
        <f>IF(T70=0,NA(),-'Drilling Spec'!$C$26/2)</f>
        <v>#N/A</v>
      </c>
      <c r="AK70" t="e">
        <f>IF(U70=0,NA(),-'Drilling Spec'!$C$26/2)</f>
        <v>#N/A</v>
      </c>
      <c r="AL70" t="e">
        <f>IF(Z70=0,NA(),-'Drilling Spec'!$C$26*3/2)</f>
        <v>#N/A</v>
      </c>
      <c r="AM70" t="e">
        <f>IF(AA70=0,NA(),-'Drilling Spec'!$C$26*3/2)</f>
        <v>#N/A</v>
      </c>
    </row>
    <row r="71" spans="2:39" x14ac:dyDescent="0.35">
      <c r="B71" s="2">
        <f t="shared" si="30"/>
        <v>46039</v>
      </c>
      <c r="C71" t="str">
        <f t="shared" si="18"/>
        <v>Sat</v>
      </c>
      <c r="D71" s="10"/>
      <c r="E71" s="10"/>
      <c r="F71" s="4">
        <f t="shared" si="19"/>
        <v>0</v>
      </c>
      <c r="G71" s="4">
        <f t="shared" si="20"/>
        <v>816</v>
      </c>
      <c r="H71" s="4">
        <f t="shared" si="21"/>
        <v>0</v>
      </c>
      <c r="I71" s="15">
        <f>(SQRT(4*J70*J70*V*V + 'Drilling Spec'!$C$42*J70 + W*('Drilling Spec'!$C$43 + 2*l*V*(s*W + 2*V*H71/(1+e)) + 'Drilling Spec'!$C$44)) - 'Drilling Spec'!$C$45)/(2*V)</f>
        <v>723.9710585126478</v>
      </c>
      <c r="J71" s="16">
        <f>IF(AND(OR(J70=0,J70=""),G71=0),IF(G72=0,"",'Drilling Spec'!$C$26),I71)</f>
        <v>723.9710585126478</v>
      </c>
      <c r="K71" s="16">
        <f>MAX(0,J71-'Drilling Spec'!$C$30)</f>
        <v>643.9710585126478</v>
      </c>
      <c r="L71" s="18">
        <f>IFERROR(K71/'Drilling Spec'!$C$31,0)</f>
        <v>42.931403900843186</v>
      </c>
      <c r="M71" s="21">
        <f t="shared" si="22"/>
        <v>0</v>
      </c>
      <c r="N71" s="4">
        <f t="shared" si="29"/>
        <v>144</v>
      </c>
      <c r="O71" s="21">
        <f t="shared" si="23"/>
        <v>0</v>
      </c>
      <c r="P71" s="18">
        <f>(SQRT(4*P70*P70*vB*vB + 'Drilling Spec'!$C$48*P70 + WB*('Drilling Spec'!$C$49 + 2*lB*vB*(sB*WB + 2*vB*O71/(1+eB)) + 'Drilling Spec'!$C$50)) - 'Drilling Spec'!$C$51)/(2*vB)</f>
        <v>759.86189926823249</v>
      </c>
      <c r="Q71" s="18">
        <f>IF(AND(OR(R70=0,R70=""),N71=0),IF(N72=0,"",'Drilling Spec'!$C$30),P71)</f>
        <v>759.86189926823249</v>
      </c>
      <c r="S71">
        <f t="shared" si="31"/>
        <v>46</v>
      </c>
      <c r="T71" s="10"/>
      <c r="U71">
        <f>IF('Baseline 1 - Perfect, 24hr'!L72&gt;'Baseline 1 - Perfect, 24hr'!S71,'Drilling Spec'!$C$36,)</f>
        <v>0</v>
      </c>
      <c r="W71" s="17">
        <f>(J71-'Drilling Spec'!$C$26)/'Drilling Spec'!$C$38</f>
        <v>108.99517641877463</v>
      </c>
      <c r="X71" s="17">
        <f t="shared" si="24"/>
        <v>0</v>
      </c>
      <c r="Y71" s="17">
        <f t="shared" si="25"/>
        <v>8.9951764187746335</v>
      </c>
      <c r="Z71" s="10"/>
      <c r="AA71">
        <f>IF(Y71&lt;'Drilling Spec'!$C$39,,'Drilling Spec'!$C$39)</f>
        <v>0</v>
      </c>
      <c r="AD71" s="16">
        <f t="shared" si="26"/>
        <v>-723.9710585126478</v>
      </c>
      <c r="AE71" s="16">
        <f t="shared" si="27"/>
        <v>-759.86189926823249</v>
      </c>
      <c r="AF71">
        <f>-'Drilling Spec'!$C$29</f>
        <v>-720</v>
      </c>
      <c r="AG71">
        <f>-'Drilling Spec'!$C$27</f>
        <v>-624</v>
      </c>
      <c r="AH71">
        <f>-'Drilling Spec'!$C$28</f>
        <v>-688</v>
      </c>
      <c r="AI71" t="e">
        <f t="shared" si="28"/>
        <v>#N/A</v>
      </c>
      <c r="AJ71" t="e">
        <f>IF(T71=0,NA(),-'Drilling Spec'!$C$26/2)</f>
        <v>#N/A</v>
      </c>
      <c r="AK71" t="e">
        <f>IF(U71=0,NA(),-'Drilling Spec'!$C$26/2)</f>
        <v>#N/A</v>
      </c>
      <c r="AL71" t="e">
        <f>IF(Z71=0,NA(),-'Drilling Spec'!$C$26*3/2)</f>
        <v>#N/A</v>
      </c>
      <c r="AM71" t="e">
        <f>IF(AA71=0,NA(),-'Drilling Spec'!$C$26*3/2)</f>
        <v>#N/A</v>
      </c>
    </row>
    <row r="72" spans="2:39" x14ac:dyDescent="0.35">
      <c r="B72" s="2">
        <f t="shared" si="30"/>
        <v>46040</v>
      </c>
      <c r="C72" t="str">
        <f t="shared" si="18"/>
        <v>Sun</v>
      </c>
      <c r="D72" s="10"/>
      <c r="E72" s="10"/>
      <c r="F72" s="4">
        <f t="shared" si="19"/>
        <v>0</v>
      </c>
      <c r="G72" s="4">
        <f t="shared" si="20"/>
        <v>816</v>
      </c>
      <c r="H72" s="4">
        <f t="shared" si="21"/>
        <v>0</v>
      </c>
      <c r="I72" s="15">
        <f>(SQRT(4*J71*J71*V*V + 'Drilling Spec'!$C$42*J71 + W*('Drilling Spec'!$C$43 + 2*l*V*(s*W + 2*V*H72/(1+e)) + 'Drilling Spec'!$C$44)) - 'Drilling Spec'!$C$45)/(2*V)</f>
        <v>723.9710585126478</v>
      </c>
      <c r="J72" s="16">
        <f>IF(AND(OR(J71=0,J71=""),G72=0),IF(G73=0,"",'Drilling Spec'!$C$26),I72)</f>
        <v>723.9710585126478</v>
      </c>
      <c r="K72" s="16">
        <f>MAX(0,J72-'Drilling Spec'!$C$30)</f>
        <v>643.9710585126478</v>
      </c>
      <c r="L72" s="18">
        <f>IFERROR(K72/'Drilling Spec'!$C$31,0)</f>
        <v>42.931403900843186</v>
      </c>
      <c r="M72" s="21">
        <f t="shared" si="22"/>
        <v>0</v>
      </c>
      <c r="N72" s="4">
        <f t="shared" si="29"/>
        <v>144</v>
      </c>
      <c r="O72" s="21">
        <f t="shared" si="23"/>
        <v>0</v>
      </c>
      <c r="P72" s="18">
        <f>(SQRT(4*P71*P71*vB*vB + 'Drilling Spec'!$C$48*P71 + WB*('Drilling Spec'!$C$49 + 2*lB*vB*(sB*WB + 2*vB*O72/(1+eB)) + 'Drilling Spec'!$C$50)) - 'Drilling Spec'!$C$51)/(2*vB)</f>
        <v>759.86189926823249</v>
      </c>
      <c r="Q72" s="18">
        <f>IF(AND(OR(R71=0,R71=""),N72=0),IF(N73=0,"",'Drilling Spec'!$C$30),P72)</f>
        <v>759.86189926823249</v>
      </c>
      <c r="S72">
        <f t="shared" si="31"/>
        <v>46</v>
      </c>
      <c r="T72" s="10"/>
      <c r="U72">
        <f>IF('Baseline 1 - Perfect, 24hr'!L73&gt;'Baseline 1 - Perfect, 24hr'!S72,'Drilling Spec'!$C$36,)</f>
        <v>0</v>
      </c>
      <c r="W72" s="17">
        <f>(J72-'Drilling Spec'!$C$26)/'Drilling Spec'!$C$38</f>
        <v>108.99517641877463</v>
      </c>
      <c r="X72" s="17">
        <f t="shared" si="24"/>
        <v>0</v>
      </c>
      <c r="Y72" s="17">
        <f t="shared" si="25"/>
        <v>8.9951764187746335</v>
      </c>
      <c r="Z72" s="10"/>
      <c r="AA72">
        <f>IF(Y72&lt;'Drilling Spec'!$C$39,,'Drilling Spec'!$C$39)</f>
        <v>0</v>
      </c>
      <c r="AD72" s="16">
        <f t="shared" si="26"/>
        <v>-723.9710585126478</v>
      </c>
      <c r="AE72" s="16">
        <f t="shared" si="27"/>
        <v>-759.86189926823249</v>
      </c>
      <c r="AF72">
        <f>-'Drilling Spec'!$C$29</f>
        <v>-720</v>
      </c>
      <c r="AG72">
        <f>-'Drilling Spec'!$C$27</f>
        <v>-624</v>
      </c>
      <c r="AH72">
        <f>-'Drilling Spec'!$C$28</f>
        <v>-688</v>
      </c>
      <c r="AI72" t="e">
        <f t="shared" si="28"/>
        <v>#N/A</v>
      </c>
      <c r="AJ72" t="e">
        <f>IF(T72=0,NA(),-'Drilling Spec'!$C$26/2)</f>
        <v>#N/A</v>
      </c>
      <c r="AK72" t="e">
        <f>IF(U72=0,NA(),-'Drilling Spec'!$C$26/2)</f>
        <v>#N/A</v>
      </c>
      <c r="AL72" t="e">
        <f>IF(Z72=0,NA(),-'Drilling Spec'!$C$26*3/2)</f>
        <v>#N/A</v>
      </c>
      <c r="AM72" t="e">
        <f>IF(AA72=0,NA(),-'Drilling Spec'!$C$26*3/2)</f>
        <v>#N/A</v>
      </c>
    </row>
    <row r="73" spans="2:39" x14ac:dyDescent="0.35">
      <c r="B73" s="2">
        <f t="shared" si="30"/>
        <v>46041</v>
      </c>
      <c r="C73" t="str">
        <f t="shared" si="18"/>
        <v>Mon</v>
      </c>
      <c r="D73" s="10"/>
      <c r="E73" s="10"/>
      <c r="F73" s="4">
        <f t="shared" si="19"/>
        <v>0</v>
      </c>
      <c r="G73" s="4">
        <f t="shared" si="20"/>
        <v>816</v>
      </c>
      <c r="H73" s="4">
        <f t="shared" si="21"/>
        <v>0</v>
      </c>
      <c r="I73" s="15">
        <f>(SQRT(4*J72*J72*V*V + 'Drilling Spec'!$C$42*J72 + W*('Drilling Spec'!$C$43 + 2*l*V*(s*W + 2*V*H73/(1+e)) + 'Drilling Spec'!$C$44)) - 'Drilling Spec'!$C$45)/(2*V)</f>
        <v>723.9710585126478</v>
      </c>
      <c r="J73" s="16">
        <f>IF(AND(OR(J72=0,J72=""),G73=0),IF(G74=0,"",'Drilling Spec'!$C$26),I73)</f>
        <v>723.9710585126478</v>
      </c>
      <c r="K73" s="16">
        <f>MAX(0,J73-'Drilling Spec'!$C$30)</f>
        <v>643.9710585126478</v>
      </c>
      <c r="L73" s="18">
        <f>IFERROR(K73/'Drilling Spec'!$C$31,0)</f>
        <v>42.931403900843186</v>
      </c>
      <c r="M73" s="21">
        <f t="shared" si="22"/>
        <v>0</v>
      </c>
      <c r="N73" s="4">
        <f t="shared" si="29"/>
        <v>144</v>
      </c>
      <c r="O73" s="21">
        <f t="shared" si="23"/>
        <v>0</v>
      </c>
      <c r="P73" s="18">
        <f>(SQRT(4*P72*P72*vB*vB + 'Drilling Spec'!$C$48*P72 + WB*('Drilling Spec'!$C$49 + 2*lB*vB*(sB*WB + 2*vB*O73/(1+eB)) + 'Drilling Spec'!$C$50)) - 'Drilling Spec'!$C$51)/(2*vB)</f>
        <v>759.86189926823249</v>
      </c>
      <c r="Q73" s="18">
        <f>IF(AND(OR(R72=0,R72=""),N73=0),IF(N74=0,"",'Drilling Spec'!$C$30),P73)</f>
        <v>759.86189926823249</v>
      </c>
      <c r="S73">
        <f t="shared" si="31"/>
        <v>46</v>
      </c>
      <c r="T73" s="10"/>
      <c r="U73">
        <f>IF('Baseline 1 - Perfect, 24hr'!L74&gt;'Baseline 1 - Perfect, 24hr'!S73,'Drilling Spec'!$C$36,)</f>
        <v>0</v>
      </c>
      <c r="W73" s="17">
        <f>(J73-'Drilling Spec'!$C$26)/'Drilling Spec'!$C$38</f>
        <v>108.99517641877463</v>
      </c>
      <c r="X73" s="17">
        <f t="shared" si="24"/>
        <v>0</v>
      </c>
      <c r="Y73" s="17">
        <f t="shared" si="25"/>
        <v>8.9951764187746335</v>
      </c>
      <c r="Z73" s="10"/>
      <c r="AA73">
        <f>IF(Y73&lt;'Drilling Spec'!$C$39,,'Drilling Spec'!$C$39)</f>
        <v>0</v>
      </c>
      <c r="AD73" s="16">
        <f t="shared" si="26"/>
        <v>-723.9710585126478</v>
      </c>
      <c r="AE73" s="16">
        <f t="shared" si="27"/>
        <v>-759.86189926823249</v>
      </c>
      <c r="AF73">
        <f>-'Drilling Spec'!$C$29</f>
        <v>-720</v>
      </c>
      <c r="AG73">
        <f>-'Drilling Spec'!$C$27</f>
        <v>-624</v>
      </c>
      <c r="AH73">
        <f>-'Drilling Spec'!$C$28</f>
        <v>-688</v>
      </c>
      <c r="AI73" t="e">
        <f t="shared" si="28"/>
        <v>#N/A</v>
      </c>
      <c r="AJ73" t="e">
        <f>IF(T73=0,NA(),-'Drilling Spec'!$C$26/2)</f>
        <v>#N/A</v>
      </c>
      <c r="AK73" t="e">
        <f>IF(U73=0,NA(),-'Drilling Spec'!$C$26/2)</f>
        <v>#N/A</v>
      </c>
      <c r="AL73" t="e">
        <f>IF(Z73=0,NA(),-'Drilling Spec'!$C$26*3/2)</f>
        <v>#N/A</v>
      </c>
      <c r="AM73" t="e">
        <f>IF(AA73=0,NA(),-'Drilling Spec'!$C$26*3/2)</f>
        <v>#N/A</v>
      </c>
    </row>
    <row r="74" spans="2:39" x14ac:dyDescent="0.35">
      <c r="B74" s="2">
        <f t="shared" si="30"/>
        <v>46042</v>
      </c>
      <c r="C74" t="str">
        <f t="shared" si="18"/>
        <v>Tue</v>
      </c>
      <c r="D74" s="10"/>
      <c r="E74" s="10"/>
      <c r="F74" s="4">
        <f t="shared" si="19"/>
        <v>0</v>
      </c>
      <c r="G74" s="4">
        <f t="shared" si="20"/>
        <v>816</v>
      </c>
      <c r="H74" s="4">
        <f t="shared" si="21"/>
        <v>0</v>
      </c>
      <c r="I74" s="15">
        <f>(SQRT(4*J73*J73*V*V + 'Drilling Spec'!$C$42*J73 + W*('Drilling Spec'!$C$43 + 2*l*V*(s*W + 2*V*H74/(1+e)) + 'Drilling Spec'!$C$44)) - 'Drilling Spec'!$C$45)/(2*V)</f>
        <v>723.9710585126478</v>
      </c>
      <c r="J74" s="16">
        <f>IF(AND(OR(J73=0,J73=""),G74=0),IF(G75=0,"",'Drilling Spec'!$C$26),I74)</f>
        <v>723.9710585126478</v>
      </c>
      <c r="K74" s="16">
        <f>MAX(0,J74-'Drilling Spec'!$C$30)</f>
        <v>643.9710585126478</v>
      </c>
      <c r="L74" s="18">
        <f>IFERROR(K74/'Drilling Spec'!$C$31,0)</f>
        <v>42.931403900843186</v>
      </c>
      <c r="M74" s="21">
        <f t="shared" si="22"/>
        <v>0</v>
      </c>
      <c r="N74" s="4">
        <f t="shared" si="29"/>
        <v>144</v>
      </c>
      <c r="O74" s="21">
        <f t="shared" si="23"/>
        <v>0</v>
      </c>
      <c r="P74" s="18">
        <f>(SQRT(4*P73*P73*vB*vB + 'Drilling Spec'!$C$48*P73 + WB*('Drilling Spec'!$C$49 + 2*lB*vB*(sB*WB + 2*vB*O74/(1+eB)) + 'Drilling Spec'!$C$50)) - 'Drilling Spec'!$C$51)/(2*vB)</f>
        <v>759.86189926823249</v>
      </c>
      <c r="Q74" s="18">
        <f>IF(AND(OR(R73=0,R73=""),N74=0),IF(N75=0,"",'Drilling Spec'!$C$30),P74)</f>
        <v>759.86189926823249</v>
      </c>
      <c r="S74">
        <f>S73+U73+T74</f>
        <v>46</v>
      </c>
      <c r="T74" s="10"/>
      <c r="U74">
        <f>IF('Baseline 1 - Perfect, 24hr'!L75&gt;'Baseline 1 - Perfect, 24hr'!S74,'Drilling Spec'!$C$36,)</f>
        <v>0</v>
      </c>
      <c r="W74" s="17">
        <f>(J74-'Drilling Spec'!$C$26)/'Drilling Spec'!$C$38</f>
        <v>108.99517641877463</v>
      </c>
      <c r="X74" s="17">
        <f t="shared" si="24"/>
        <v>0</v>
      </c>
      <c r="Y74" s="17">
        <f t="shared" si="25"/>
        <v>8.9951764187746335</v>
      </c>
      <c r="Z74" s="10"/>
      <c r="AA74">
        <f>IF(Y74&lt;'Drilling Spec'!$C$39,,'Drilling Spec'!$C$39)</f>
        <v>0</v>
      </c>
      <c r="AD74" s="16">
        <f t="shared" si="26"/>
        <v>-723.9710585126478</v>
      </c>
      <c r="AE74" s="16">
        <f t="shared" si="27"/>
        <v>-759.86189926823249</v>
      </c>
      <c r="AF74">
        <f>-'Drilling Spec'!$C$29</f>
        <v>-720</v>
      </c>
      <c r="AG74">
        <f>-'Drilling Spec'!$C$27</f>
        <v>-624</v>
      </c>
      <c r="AH74">
        <f>-'Drilling Spec'!$C$28</f>
        <v>-688</v>
      </c>
      <c r="AI74" t="e">
        <f t="shared" si="28"/>
        <v>#N/A</v>
      </c>
      <c r="AJ74" t="e">
        <f>IF(T74=0,NA(),-'Drilling Spec'!$C$26/2)</f>
        <v>#N/A</v>
      </c>
      <c r="AK74" t="e">
        <f>IF(U74=0,NA(),-'Drilling Spec'!$C$26/2)</f>
        <v>#N/A</v>
      </c>
      <c r="AL74" t="e">
        <f>IF(Z74=0,NA(),-'Drilling Spec'!$C$26*3/2)</f>
        <v>#N/A</v>
      </c>
      <c r="AM74" t="e">
        <f>IF(AA74=0,NA(),-'Drilling Spec'!$C$26*3/2)</f>
        <v>#N/A</v>
      </c>
    </row>
    <row r="75" spans="2:39" x14ac:dyDescent="0.35">
      <c r="B75" s="2">
        <f t="shared" si="30"/>
        <v>46043</v>
      </c>
      <c r="C75" t="str">
        <f t="shared" si="18"/>
        <v>Wed</v>
      </c>
      <c r="D75" s="10"/>
      <c r="E75" s="10"/>
      <c r="F75" s="4">
        <f t="shared" si="19"/>
        <v>0</v>
      </c>
      <c r="G75" s="4">
        <f t="shared" si="20"/>
        <v>816</v>
      </c>
      <c r="H75" s="4">
        <f t="shared" si="21"/>
        <v>0</v>
      </c>
      <c r="I75" s="15">
        <f>(SQRT(4*J74*J74*V*V + 'Drilling Spec'!$C$42*J74 + W*('Drilling Spec'!$C$43 + 2*l*V*(s*W + 2*V*H75/(1+e)) + 'Drilling Spec'!$C$44)) - 'Drilling Spec'!$C$45)/(2*V)</f>
        <v>723.9710585126478</v>
      </c>
      <c r="J75" s="16">
        <f>IF(AND(OR(J74=0,J74=""),G75=0),IF(G76=0,"",'Drilling Spec'!$C$26),I75)</f>
        <v>723.9710585126478</v>
      </c>
      <c r="K75" s="16">
        <f>MAX(0,J75-'Drilling Spec'!$C$30)</f>
        <v>643.9710585126478</v>
      </c>
      <c r="L75" s="18">
        <f>IFERROR(K75/'Drilling Spec'!$C$31,0)</f>
        <v>42.931403900843186</v>
      </c>
      <c r="M75" s="21">
        <f t="shared" si="22"/>
        <v>0</v>
      </c>
      <c r="N75" s="4">
        <f t="shared" si="29"/>
        <v>144</v>
      </c>
      <c r="O75" s="21">
        <f t="shared" si="23"/>
        <v>0</v>
      </c>
      <c r="P75" s="18">
        <f>(SQRT(4*P74*P74*vB*vB + 'Drilling Spec'!$C$48*P74 + WB*('Drilling Spec'!$C$49 + 2*lB*vB*(sB*WB + 2*vB*O75/(1+eB)) + 'Drilling Spec'!$C$50)) - 'Drilling Spec'!$C$51)/(2*vB)</f>
        <v>759.86189926823249</v>
      </c>
      <c r="Q75" s="18">
        <f>IF(AND(OR(R74=0,R74=""),N75=0),IF(N76=0,"",'Drilling Spec'!$C$30),P75)</f>
        <v>759.86189926823249</v>
      </c>
      <c r="S75">
        <f t="shared" ref="S75:S112" si="32">S74+U74+T75</f>
        <v>46</v>
      </c>
      <c r="T75" s="10"/>
      <c r="U75">
        <f>IF('Baseline 1 - Perfect, 24hr'!L76&gt;'Baseline 1 - Perfect, 24hr'!S75,'Drilling Spec'!$C$36,)</f>
        <v>0</v>
      </c>
      <c r="W75" s="17">
        <f>(J75-'Drilling Spec'!$C$26)/'Drilling Spec'!$C$38</f>
        <v>108.99517641877463</v>
      </c>
      <c r="X75" s="17">
        <f t="shared" si="24"/>
        <v>0</v>
      </c>
      <c r="Y75" s="17">
        <f t="shared" si="25"/>
        <v>8.9951764187746335</v>
      </c>
      <c r="Z75" s="10"/>
      <c r="AA75">
        <f>IF(Y75&lt;'Drilling Spec'!$C$39,,'Drilling Spec'!$C$39)</f>
        <v>0</v>
      </c>
      <c r="AD75" s="16">
        <f t="shared" si="26"/>
        <v>-723.9710585126478</v>
      </c>
      <c r="AE75" s="16">
        <f t="shared" si="27"/>
        <v>-759.86189926823249</v>
      </c>
      <c r="AF75">
        <f>-'Drilling Spec'!$C$29</f>
        <v>-720</v>
      </c>
      <c r="AG75">
        <f>-'Drilling Spec'!$C$27</f>
        <v>-624</v>
      </c>
      <c r="AH75">
        <f>-'Drilling Spec'!$C$28</f>
        <v>-688</v>
      </c>
      <c r="AI75" t="e">
        <f t="shared" si="28"/>
        <v>#N/A</v>
      </c>
      <c r="AJ75" t="e">
        <f>IF(T75=0,NA(),-'Drilling Spec'!$C$26/2)</f>
        <v>#N/A</v>
      </c>
      <c r="AK75" t="e">
        <f>IF(U75=0,NA(),-'Drilling Spec'!$C$26/2)</f>
        <v>#N/A</v>
      </c>
      <c r="AL75" t="e">
        <f>IF(Z75=0,NA(),-'Drilling Spec'!$C$26*3/2)</f>
        <v>#N/A</v>
      </c>
      <c r="AM75" t="e">
        <f>IF(AA75=0,NA(),-'Drilling Spec'!$C$26*3/2)</f>
        <v>#N/A</v>
      </c>
    </row>
    <row r="76" spans="2:39" x14ac:dyDescent="0.35">
      <c r="B76" s="2">
        <f t="shared" si="30"/>
        <v>46044</v>
      </c>
      <c r="C76" t="str">
        <f t="shared" si="18"/>
        <v>Thu</v>
      </c>
      <c r="D76" s="10"/>
      <c r="E76" s="10"/>
      <c r="F76" s="4">
        <f t="shared" si="19"/>
        <v>0</v>
      </c>
      <c r="G76" s="4">
        <f t="shared" si="20"/>
        <v>816</v>
      </c>
      <c r="H76" s="4">
        <f t="shared" si="21"/>
        <v>0</v>
      </c>
      <c r="I76" s="15">
        <f>(SQRT(4*J75*J75*V*V + 'Drilling Spec'!$C$42*J75 + W*('Drilling Spec'!$C$43 + 2*l*V*(s*W + 2*V*H76/(1+e)) + 'Drilling Spec'!$C$44)) - 'Drilling Spec'!$C$45)/(2*V)</f>
        <v>723.9710585126478</v>
      </c>
      <c r="J76" s="16">
        <f>IF(AND(OR(J75=0,J75=""),G76=0),IF(G77=0,"",'Drilling Spec'!$C$26),I76)</f>
        <v>723.9710585126478</v>
      </c>
      <c r="K76" s="16">
        <f>MAX(0,J76-'Drilling Spec'!$C$30)</f>
        <v>643.9710585126478</v>
      </c>
      <c r="L76" s="18">
        <f>IFERROR(K76/'Drilling Spec'!$C$31,0)</f>
        <v>42.931403900843186</v>
      </c>
      <c r="M76" s="21">
        <f t="shared" si="22"/>
        <v>0</v>
      </c>
      <c r="N76" s="4">
        <f t="shared" si="29"/>
        <v>144</v>
      </c>
      <c r="O76" s="21">
        <f t="shared" si="23"/>
        <v>0</v>
      </c>
      <c r="P76" s="18">
        <f>(SQRT(4*P75*P75*vB*vB + 'Drilling Spec'!$C$48*P75 + WB*('Drilling Spec'!$C$49 + 2*lB*vB*(sB*WB + 2*vB*O76/(1+eB)) + 'Drilling Spec'!$C$50)) - 'Drilling Spec'!$C$51)/(2*vB)</f>
        <v>759.86189926823249</v>
      </c>
      <c r="Q76" s="18">
        <f>IF(AND(OR(R75=0,R75=""),N76=0),IF(N77=0,"",'Drilling Spec'!$C$30),P76)</f>
        <v>759.86189926823249</v>
      </c>
      <c r="S76">
        <f t="shared" si="32"/>
        <v>46</v>
      </c>
      <c r="T76" s="10"/>
      <c r="U76">
        <f>IF('Baseline 1 - Perfect, 24hr'!L77&gt;'Baseline 1 - Perfect, 24hr'!S76,'Drilling Spec'!$C$36,)</f>
        <v>0</v>
      </c>
      <c r="W76" s="17">
        <f>(J76-'Drilling Spec'!$C$26)/'Drilling Spec'!$C$38</f>
        <v>108.99517641877463</v>
      </c>
      <c r="X76" s="17">
        <f t="shared" si="24"/>
        <v>0</v>
      </c>
      <c r="Y76" s="17">
        <f t="shared" si="25"/>
        <v>8.9951764187746335</v>
      </c>
      <c r="Z76" s="10"/>
      <c r="AA76">
        <f>IF(Y76&lt;'Drilling Spec'!$C$39,,'Drilling Spec'!$C$39)</f>
        <v>0</v>
      </c>
      <c r="AD76" s="16">
        <f t="shared" si="26"/>
        <v>-723.9710585126478</v>
      </c>
      <c r="AE76" s="16">
        <f t="shared" si="27"/>
        <v>-759.86189926823249</v>
      </c>
      <c r="AF76">
        <f>-'Drilling Spec'!$C$29</f>
        <v>-720</v>
      </c>
      <c r="AG76">
        <f>-'Drilling Spec'!$C$27</f>
        <v>-624</v>
      </c>
      <c r="AH76">
        <f>-'Drilling Spec'!$C$28</f>
        <v>-688</v>
      </c>
      <c r="AI76" t="e">
        <f t="shared" si="28"/>
        <v>#N/A</v>
      </c>
      <c r="AJ76" t="e">
        <f>IF(T76=0,NA(),-'Drilling Spec'!$C$26/2)</f>
        <v>#N/A</v>
      </c>
      <c r="AK76" t="e">
        <f>IF(U76=0,NA(),-'Drilling Spec'!$C$26/2)</f>
        <v>#N/A</v>
      </c>
      <c r="AL76" t="e">
        <f>IF(Z76=0,NA(),-'Drilling Spec'!$C$26*3/2)</f>
        <v>#N/A</v>
      </c>
      <c r="AM76" t="e">
        <f>IF(AA76=0,NA(),-'Drilling Spec'!$C$26*3/2)</f>
        <v>#N/A</v>
      </c>
    </row>
    <row r="77" spans="2:39" x14ac:dyDescent="0.35">
      <c r="B77" s="2">
        <f t="shared" si="30"/>
        <v>46045</v>
      </c>
      <c r="C77" t="str">
        <f t="shared" si="18"/>
        <v>Fri</v>
      </c>
      <c r="D77" s="10"/>
      <c r="E77" s="10"/>
      <c r="F77" s="4">
        <f t="shared" si="19"/>
        <v>0</v>
      </c>
      <c r="G77" s="4">
        <f t="shared" si="20"/>
        <v>816</v>
      </c>
      <c r="H77" s="4">
        <f t="shared" si="21"/>
        <v>0</v>
      </c>
      <c r="I77" s="15">
        <f>(SQRT(4*J76*J76*V*V + 'Drilling Spec'!$C$42*J76 + W*('Drilling Spec'!$C$43 + 2*l*V*(s*W + 2*V*H77/(1+e)) + 'Drilling Spec'!$C$44)) - 'Drilling Spec'!$C$45)/(2*V)</f>
        <v>723.9710585126478</v>
      </c>
      <c r="J77" s="16">
        <f>IF(AND(OR(J76=0,J76=""),G77=0),IF(G78=0,"",'Drilling Spec'!$C$26),I77)</f>
        <v>723.9710585126478</v>
      </c>
      <c r="K77" s="16">
        <f>MAX(0,J77-'Drilling Spec'!$C$30)</f>
        <v>643.9710585126478</v>
      </c>
      <c r="L77" s="18">
        <f>IFERROR(K77/'Drilling Spec'!$C$31,0)</f>
        <v>42.931403900843186</v>
      </c>
      <c r="M77" s="21">
        <f t="shared" si="22"/>
        <v>0</v>
      </c>
      <c r="N77" s="4">
        <f t="shared" si="29"/>
        <v>144</v>
      </c>
      <c r="O77" s="21">
        <f t="shared" si="23"/>
        <v>0</v>
      </c>
      <c r="P77" s="18">
        <f>(SQRT(4*P76*P76*vB*vB + 'Drilling Spec'!$C$48*P76 + WB*('Drilling Spec'!$C$49 + 2*lB*vB*(sB*WB + 2*vB*O77/(1+eB)) + 'Drilling Spec'!$C$50)) - 'Drilling Spec'!$C$51)/(2*vB)</f>
        <v>759.86189926823249</v>
      </c>
      <c r="Q77" s="18">
        <f>IF(AND(OR(R76=0,R76=""),N77=0),IF(N78=0,"",'Drilling Spec'!$C$30),P77)</f>
        <v>759.86189926823249</v>
      </c>
      <c r="S77">
        <f t="shared" si="32"/>
        <v>46</v>
      </c>
      <c r="T77" s="10"/>
      <c r="U77">
        <f>IF('Baseline 1 - Perfect, 24hr'!L78&gt;'Baseline 1 - Perfect, 24hr'!S77,'Drilling Spec'!$C$36,)</f>
        <v>0</v>
      </c>
      <c r="W77" s="17">
        <f>(J77-'Drilling Spec'!$C$26)/'Drilling Spec'!$C$38</f>
        <v>108.99517641877463</v>
      </c>
      <c r="X77" s="17">
        <f t="shared" si="24"/>
        <v>0</v>
      </c>
      <c r="Y77" s="17">
        <f t="shared" si="25"/>
        <v>8.9951764187746335</v>
      </c>
      <c r="Z77" s="10"/>
      <c r="AA77">
        <f>IF(Y77&lt;'Drilling Spec'!$C$39,,'Drilling Spec'!$C$39)</f>
        <v>0</v>
      </c>
      <c r="AD77" s="16">
        <f t="shared" si="26"/>
        <v>-723.9710585126478</v>
      </c>
      <c r="AE77" s="16">
        <f t="shared" si="27"/>
        <v>-759.86189926823249</v>
      </c>
      <c r="AF77">
        <f>-'Drilling Spec'!$C$29</f>
        <v>-720</v>
      </c>
      <c r="AG77">
        <f>-'Drilling Spec'!$C$27</f>
        <v>-624</v>
      </c>
      <c r="AH77">
        <f>-'Drilling Spec'!$C$28</f>
        <v>-688</v>
      </c>
      <c r="AI77" t="e">
        <f t="shared" si="28"/>
        <v>#N/A</v>
      </c>
      <c r="AJ77" t="e">
        <f>IF(T77=0,NA(),-'Drilling Spec'!$C$26/2)</f>
        <v>#N/A</v>
      </c>
      <c r="AK77" t="e">
        <f>IF(U77=0,NA(),-'Drilling Spec'!$C$26/2)</f>
        <v>#N/A</v>
      </c>
      <c r="AL77" t="e">
        <f>IF(Z77=0,NA(),-'Drilling Spec'!$C$26*3/2)</f>
        <v>#N/A</v>
      </c>
      <c r="AM77" t="e">
        <f>IF(AA77=0,NA(),-'Drilling Spec'!$C$26*3/2)</f>
        <v>#N/A</v>
      </c>
    </row>
    <row r="78" spans="2:39" x14ac:dyDescent="0.35">
      <c r="B78" s="2">
        <f t="shared" si="30"/>
        <v>46046</v>
      </c>
      <c r="C78" t="str">
        <f t="shared" si="18"/>
        <v>Sat</v>
      </c>
      <c r="D78" s="10"/>
      <c r="E78" s="10"/>
      <c r="F78" s="4">
        <f t="shared" si="19"/>
        <v>0</v>
      </c>
      <c r="G78" s="4">
        <f t="shared" si="20"/>
        <v>816</v>
      </c>
      <c r="H78" s="4">
        <f t="shared" si="21"/>
        <v>0</v>
      </c>
      <c r="I78" s="15">
        <f>(SQRT(4*J77*J77*V*V + 'Drilling Spec'!$C$42*J77 + W*('Drilling Spec'!$C$43 + 2*l*V*(s*W + 2*V*H78/(1+e)) + 'Drilling Spec'!$C$44)) - 'Drilling Spec'!$C$45)/(2*V)</f>
        <v>723.9710585126478</v>
      </c>
      <c r="J78" s="16">
        <f>IF(AND(OR(J77=0,J77=""),G78=0),IF(G79=0,"",'Drilling Spec'!$C$26),I78)</f>
        <v>723.9710585126478</v>
      </c>
      <c r="K78" s="16">
        <f>MAX(0,J78-'Drilling Spec'!$C$30)</f>
        <v>643.9710585126478</v>
      </c>
      <c r="L78" s="18">
        <f>IFERROR(K78/'Drilling Spec'!$C$31,0)</f>
        <v>42.931403900843186</v>
      </c>
      <c r="M78" s="21">
        <f t="shared" si="22"/>
        <v>0</v>
      </c>
      <c r="N78" s="4">
        <f t="shared" si="29"/>
        <v>144</v>
      </c>
      <c r="O78" s="21">
        <f t="shared" si="23"/>
        <v>0</v>
      </c>
      <c r="P78" s="18">
        <f>(SQRT(4*P77*P77*vB*vB + 'Drilling Spec'!$C$48*P77 + WB*('Drilling Spec'!$C$49 + 2*lB*vB*(sB*WB + 2*vB*O78/(1+eB)) + 'Drilling Spec'!$C$50)) - 'Drilling Spec'!$C$51)/(2*vB)</f>
        <v>759.86189926823249</v>
      </c>
      <c r="Q78" s="18">
        <f>IF(AND(OR(R77=0,R77=""),N78=0),IF(N79=0,"",'Drilling Spec'!$C$30),P78)</f>
        <v>759.86189926823249</v>
      </c>
      <c r="S78">
        <f t="shared" si="32"/>
        <v>46</v>
      </c>
      <c r="T78" s="10"/>
      <c r="U78">
        <f>IF('Baseline 1 - Perfect, 24hr'!L79&gt;'Baseline 1 - Perfect, 24hr'!S78,'Drilling Spec'!$C$36,)</f>
        <v>0</v>
      </c>
      <c r="W78" s="17">
        <f>(J78-'Drilling Spec'!$C$26)/'Drilling Spec'!$C$38</f>
        <v>108.99517641877463</v>
      </c>
      <c r="X78" s="17">
        <f t="shared" si="24"/>
        <v>0</v>
      </c>
      <c r="Y78" s="17">
        <f t="shared" si="25"/>
        <v>8.9951764187746335</v>
      </c>
      <c r="Z78" s="10"/>
      <c r="AA78">
        <f>IF(Y78&lt;'Drilling Spec'!$C$39,,'Drilling Spec'!$C$39)</f>
        <v>0</v>
      </c>
      <c r="AD78" s="16">
        <f t="shared" si="26"/>
        <v>-723.9710585126478</v>
      </c>
      <c r="AE78" s="16">
        <f t="shared" si="27"/>
        <v>-759.86189926823249</v>
      </c>
      <c r="AF78">
        <f>-'Drilling Spec'!$C$29</f>
        <v>-720</v>
      </c>
      <c r="AG78">
        <f>-'Drilling Spec'!$C$27</f>
        <v>-624</v>
      </c>
      <c r="AH78">
        <f>-'Drilling Spec'!$C$28</f>
        <v>-688</v>
      </c>
      <c r="AI78" t="e">
        <f t="shared" si="28"/>
        <v>#N/A</v>
      </c>
      <c r="AJ78" t="e">
        <f>IF(T78=0,NA(),-'Drilling Spec'!$C$26/2)</f>
        <v>#N/A</v>
      </c>
      <c r="AK78" t="e">
        <f>IF(U78=0,NA(),-'Drilling Spec'!$C$26/2)</f>
        <v>#N/A</v>
      </c>
      <c r="AL78" t="e">
        <f>IF(Z78=0,NA(),-'Drilling Spec'!$C$26*3/2)</f>
        <v>#N/A</v>
      </c>
      <c r="AM78" t="e">
        <f>IF(AA78=0,NA(),-'Drilling Spec'!$C$26*3/2)</f>
        <v>#N/A</v>
      </c>
    </row>
    <row r="79" spans="2:39" x14ac:dyDescent="0.35">
      <c r="B79" s="2">
        <f t="shared" si="30"/>
        <v>46047</v>
      </c>
      <c r="C79" t="str">
        <f t="shared" si="18"/>
        <v>Sun</v>
      </c>
      <c r="D79" s="10"/>
      <c r="E79" s="10"/>
      <c r="F79" s="4">
        <f t="shared" si="19"/>
        <v>0</v>
      </c>
      <c r="G79" s="4">
        <f t="shared" si="20"/>
        <v>816</v>
      </c>
      <c r="H79" s="4">
        <f t="shared" si="21"/>
        <v>0</v>
      </c>
      <c r="I79" s="15">
        <f>(SQRT(4*J78*J78*V*V + 'Drilling Spec'!$C$42*J78 + W*('Drilling Spec'!$C$43 + 2*l*V*(s*W + 2*V*H79/(1+e)) + 'Drilling Spec'!$C$44)) - 'Drilling Spec'!$C$45)/(2*V)</f>
        <v>723.9710585126478</v>
      </c>
      <c r="J79" s="16">
        <f>IF(AND(OR(J78=0,J78=""),G79=0),IF(G80=0,"",'Drilling Spec'!$C$26),I79)</f>
        <v>723.9710585126478</v>
      </c>
      <c r="K79" s="16">
        <f>MAX(0,J79-'Drilling Spec'!$C$30)</f>
        <v>643.9710585126478</v>
      </c>
      <c r="L79" s="18">
        <f>IFERROR(K79/'Drilling Spec'!$C$31,0)</f>
        <v>42.931403900843186</v>
      </c>
      <c r="M79" s="21">
        <f t="shared" si="22"/>
        <v>0</v>
      </c>
      <c r="N79" s="4">
        <f t="shared" si="29"/>
        <v>144</v>
      </c>
      <c r="O79" s="21">
        <f t="shared" si="23"/>
        <v>0</v>
      </c>
      <c r="P79" s="18">
        <f>(SQRT(4*P78*P78*vB*vB + 'Drilling Spec'!$C$48*P78 + WB*('Drilling Spec'!$C$49 + 2*lB*vB*(sB*WB + 2*vB*O79/(1+eB)) + 'Drilling Spec'!$C$50)) - 'Drilling Spec'!$C$51)/(2*vB)</f>
        <v>759.86189926823249</v>
      </c>
      <c r="Q79" s="18">
        <f>IF(AND(OR(R78=0,R78=""),N79=0),IF(N80=0,"",'Drilling Spec'!$C$30),P79)</f>
        <v>759.86189926823249</v>
      </c>
      <c r="S79">
        <f t="shared" si="32"/>
        <v>46</v>
      </c>
      <c r="T79" s="10"/>
      <c r="U79">
        <f>IF('Baseline 1 - Perfect, 24hr'!L80&gt;'Baseline 1 - Perfect, 24hr'!S79,'Drilling Spec'!$C$36,)</f>
        <v>0</v>
      </c>
      <c r="W79" s="17">
        <f>(J79-'Drilling Spec'!$C$26)/'Drilling Spec'!$C$38</f>
        <v>108.99517641877463</v>
      </c>
      <c r="X79" s="17">
        <f t="shared" si="24"/>
        <v>0</v>
      </c>
      <c r="Y79" s="17">
        <f t="shared" si="25"/>
        <v>8.9951764187746335</v>
      </c>
      <c r="Z79" s="10"/>
      <c r="AA79">
        <f>IF(Y79&lt;'Drilling Spec'!$C$39,,'Drilling Spec'!$C$39)</f>
        <v>0</v>
      </c>
      <c r="AD79" s="16">
        <f t="shared" si="26"/>
        <v>-723.9710585126478</v>
      </c>
      <c r="AE79" s="16">
        <f t="shared" si="27"/>
        <v>-759.86189926823249</v>
      </c>
      <c r="AF79">
        <f>-'Drilling Spec'!$C$29</f>
        <v>-720</v>
      </c>
      <c r="AG79">
        <f>-'Drilling Spec'!$C$27</f>
        <v>-624</v>
      </c>
      <c r="AH79">
        <f>-'Drilling Spec'!$C$28</f>
        <v>-688</v>
      </c>
      <c r="AI79" t="e">
        <f t="shared" si="28"/>
        <v>#N/A</v>
      </c>
      <c r="AJ79" t="e">
        <f>IF(T79=0,NA(),-'Drilling Spec'!$C$26/2)</f>
        <v>#N/A</v>
      </c>
      <c r="AK79" t="e">
        <f>IF(U79=0,NA(),-'Drilling Spec'!$C$26/2)</f>
        <v>#N/A</v>
      </c>
      <c r="AL79" t="e">
        <f>IF(Z79=0,NA(),-'Drilling Spec'!$C$26*3/2)</f>
        <v>#N/A</v>
      </c>
      <c r="AM79" t="e">
        <f>IF(AA79=0,NA(),-'Drilling Spec'!$C$26*3/2)</f>
        <v>#N/A</v>
      </c>
    </row>
    <row r="80" spans="2:39" x14ac:dyDescent="0.35">
      <c r="B80" s="2">
        <f t="shared" si="30"/>
        <v>46048</v>
      </c>
      <c r="C80" t="str">
        <f t="shared" si="18"/>
        <v>Mon</v>
      </c>
      <c r="D80" s="10"/>
      <c r="E80" s="10"/>
      <c r="F80" s="4">
        <f t="shared" si="19"/>
        <v>0</v>
      </c>
      <c r="G80" s="4">
        <f t="shared" si="20"/>
        <v>816</v>
      </c>
      <c r="H80" s="4">
        <f t="shared" si="21"/>
        <v>0</v>
      </c>
      <c r="I80" s="15">
        <f>(SQRT(4*J79*J79*V*V + 'Drilling Spec'!$C$42*J79 + W*('Drilling Spec'!$C$43 + 2*l*V*(s*W + 2*V*H80/(1+e)) + 'Drilling Spec'!$C$44)) - 'Drilling Spec'!$C$45)/(2*V)</f>
        <v>723.9710585126478</v>
      </c>
      <c r="J80" s="16">
        <f>IF(AND(OR(J79=0,J79=""),G80=0),IF(G81=0,"",'Drilling Spec'!$C$26),I80)</f>
        <v>723.9710585126478</v>
      </c>
      <c r="K80" s="16">
        <f>MAX(0,J80-'Drilling Spec'!$C$30)</f>
        <v>643.9710585126478</v>
      </c>
      <c r="L80" s="18">
        <f>IFERROR(K80/'Drilling Spec'!$C$31,0)</f>
        <v>42.931403900843186</v>
      </c>
      <c r="M80" s="21">
        <f t="shared" si="22"/>
        <v>0</v>
      </c>
      <c r="N80" s="4">
        <f t="shared" si="29"/>
        <v>144</v>
      </c>
      <c r="O80" s="21">
        <f t="shared" si="23"/>
        <v>0</v>
      </c>
      <c r="P80" s="18">
        <f>(SQRT(4*P79*P79*vB*vB + 'Drilling Spec'!$C$48*P79 + WB*('Drilling Spec'!$C$49 + 2*lB*vB*(sB*WB + 2*vB*O80/(1+eB)) + 'Drilling Spec'!$C$50)) - 'Drilling Spec'!$C$51)/(2*vB)</f>
        <v>759.86189926823249</v>
      </c>
      <c r="Q80" s="18">
        <f>IF(AND(OR(R79=0,R79=""),N80=0),IF(N81=0,"",'Drilling Spec'!$C$30),P80)</f>
        <v>759.86189926823249</v>
      </c>
      <c r="S80">
        <f t="shared" si="32"/>
        <v>46</v>
      </c>
      <c r="T80" s="10"/>
      <c r="U80">
        <f>IF('Baseline 1 - Perfect, 24hr'!L81&gt;'Baseline 1 - Perfect, 24hr'!S80,'Drilling Spec'!$C$36,)</f>
        <v>0</v>
      </c>
      <c r="W80" s="17">
        <f>(J80-'Drilling Spec'!$C$26)/'Drilling Spec'!$C$38</f>
        <v>108.99517641877463</v>
      </c>
      <c r="X80" s="17">
        <f t="shared" si="24"/>
        <v>0</v>
      </c>
      <c r="Y80" s="17">
        <f t="shared" si="25"/>
        <v>8.9951764187746335</v>
      </c>
      <c r="Z80" s="10"/>
      <c r="AA80">
        <f>IF(Y80&lt;'Drilling Spec'!$C$39,,'Drilling Spec'!$C$39)</f>
        <v>0</v>
      </c>
      <c r="AD80" s="16">
        <f t="shared" si="26"/>
        <v>-723.9710585126478</v>
      </c>
      <c r="AE80" s="16">
        <f t="shared" si="27"/>
        <v>-759.86189926823249</v>
      </c>
      <c r="AF80">
        <f>-'Drilling Spec'!$C$29</f>
        <v>-720</v>
      </c>
      <c r="AG80">
        <f>-'Drilling Spec'!$C$27</f>
        <v>-624</v>
      </c>
      <c r="AH80">
        <f>-'Drilling Spec'!$C$28</f>
        <v>-688</v>
      </c>
      <c r="AI80" t="e">
        <f t="shared" si="28"/>
        <v>#N/A</v>
      </c>
      <c r="AJ80" t="e">
        <f>IF(T80=0,NA(),-'Drilling Spec'!$C$26/2)</f>
        <v>#N/A</v>
      </c>
      <c r="AK80" t="e">
        <f>IF(U80=0,NA(),-'Drilling Spec'!$C$26/2)</f>
        <v>#N/A</v>
      </c>
      <c r="AL80" t="e">
        <f>IF(Z80=0,NA(),-'Drilling Spec'!$C$26*3/2)</f>
        <v>#N/A</v>
      </c>
      <c r="AM80" t="e">
        <f>IF(AA80=0,NA(),-'Drilling Spec'!$C$26*3/2)</f>
        <v>#N/A</v>
      </c>
    </row>
    <row r="81" spans="2:39" x14ac:dyDescent="0.35">
      <c r="B81" s="2">
        <f t="shared" si="30"/>
        <v>46049</v>
      </c>
      <c r="C81" t="str">
        <f t="shared" si="18"/>
        <v>Tue</v>
      </c>
      <c r="D81" s="10"/>
      <c r="E81" s="10"/>
      <c r="F81" s="4">
        <f t="shared" si="19"/>
        <v>0</v>
      </c>
      <c r="G81" s="4">
        <f t="shared" si="20"/>
        <v>816</v>
      </c>
      <c r="H81" s="4">
        <f t="shared" si="21"/>
        <v>0</v>
      </c>
      <c r="I81" s="15">
        <f>(SQRT(4*J80*J80*V*V + 'Drilling Spec'!$C$42*J80 + W*('Drilling Spec'!$C$43 + 2*l*V*(s*W + 2*V*H81/(1+e)) + 'Drilling Spec'!$C$44)) - 'Drilling Spec'!$C$45)/(2*V)</f>
        <v>723.9710585126478</v>
      </c>
      <c r="J81" s="16">
        <f>IF(AND(OR(J80=0,J80=""),G81=0),IF(G82=0,"",'Drilling Spec'!$C$26),I81)</f>
        <v>723.9710585126478</v>
      </c>
      <c r="K81" s="16">
        <f>MAX(0,J81-'Drilling Spec'!$C$30)</f>
        <v>643.9710585126478</v>
      </c>
      <c r="L81" s="18">
        <f>IFERROR(K81/'Drilling Spec'!$C$31,0)</f>
        <v>42.931403900843186</v>
      </c>
      <c r="M81" s="21">
        <f t="shared" si="22"/>
        <v>0</v>
      </c>
      <c r="N81" s="4">
        <f t="shared" si="29"/>
        <v>144</v>
      </c>
      <c r="O81" s="21">
        <f t="shared" si="23"/>
        <v>0</v>
      </c>
      <c r="P81" s="18">
        <f>(SQRT(4*P80*P80*vB*vB + 'Drilling Spec'!$C$48*P80 + WB*('Drilling Spec'!$C$49 + 2*lB*vB*(sB*WB + 2*vB*O81/(1+eB)) + 'Drilling Spec'!$C$50)) - 'Drilling Spec'!$C$51)/(2*vB)</f>
        <v>759.86189926823249</v>
      </c>
      <c r="Q81" s="18">
        <f>IF(AND(OR(R80=0,R80=""),N81=0),IF(N82=0,"",'Drilling Spec'!$C$30),P81)</f>
        <v>759.86189926823249</v>
      </c>
      <c r="S81">
        <f t="shared" si="32"/>
        <v>46</v>
      </c>
      <c r="T81" s="10"/>
      <c r="U81">
        <f>IF('Baseline 1 - Perfect, 24hr'!L82&gt;'Baseline 1 - Perfect, 24hr'!S81,'Drilling Spec'!$C$36,)</f>
        <v>0</v>
      </c>
      <c r="W81" s="17">
        <f>(J81-'Drilling Spec'!$C$26)/'Drilling Spec'!$C$38</f>
        <v>108.99517641877463</v>
      </c>
      <c r="X81" s="17">
        <f t="shared" si="24"/>
        <v>0</v>
      </c>
      <c r="Y81" s="17">
        <f t="shared" si="25"/>
        <v>8.9951764187746335</v>
      </c>
      <c r="Z81" s="10"/>
      <c r="AA81">
        <f>IF(Y81&lt;'Drilling Spec'!$C$39,,'Drilling Spec'!$C$39)</f>
        <v>0</v>
      </c>
      <c r="AD81" s="16">
        <f t="shared" si="26"/>
        <v>-723.9710585126478</v>
      </c>
      <c r="AE81" s="16">
        <f t="shared" si="27"/>
        <v>-759.86189926823249</v>
      </c>
      <c r="AF81">
        <f>-'Drilling Spec'!$C$29</f>
        <v>-720</v>
      </c>
      <c r="AG81">
        <f>-'Drilling Spec'!$C$27</f>
        <v>-624</v>
      </c>
      <c r="AH81">
        <f>-'Drilling Spec'!$C$28</f>
        <v>-688</v>
      </c>
      <c r="AI81" t="e">
        <f t="shared" si="28"/>
        <v>#N/A</v>
      </c>
      <c r="AJ81" t="e">
        <f>IF(T81=0,NA(),-'Drilling Spec'!$C$26/2)</f>
        <v>#N/A</v>
      </c>
      <c r="AK81" t="e">
        <f>IF(U81=0,NA(),-'Drilling Spec'!$C$26/2)</f>
        <v>#N/A</v>
      </c>
      <c r="AL81" t="e">
        <f>IF(Z81=0,NA(),-'Drilling Spec'!$C$26*3/2)</f>
        <v>#N/A</v>
      </c>
      <c r="AM81" t="e">
        <f>IF(AA81=0,NA(),-'Drilling Spec'!$C$26*3/2)</f>
        <v>#N/A</v>
      </c>
    </row>
    <row r="82" spans="2:39" x14ac:dyDescent="0.35">
      <c r="B82" s="2">
        <f t="shared" si="30"/>
        <v>46050</v>
      </c>
      <c r="C82" t="str">
        <f t="shared" si="18"/>
        <v>Wed</v>
      </c>
      <c r="D82" s="10"/>
      <c r="E82" s="10"/>
      <c r="F82" s="4">
        <f t="shared" si="19"/>
        <v>0</v>
      </c>
      <c r="G82" s="4">
        <f t="shared" si="20"/>
        <v>816</v>
      </c>
      <c r="H82" s="4">
        <f t="shared" si="21"/>
        <v>0</v>
      </c>
      <c r="I82" s="15">
        <f>(SQRT(4*J81*J81*V*V + 'Drilling Spec'!$C$42*J81 + W*('Drilling Spec'!$C$43 + 2*l*V*(s*W + 2*V*H82/(1+e)) + 'Drilling Spec'!$C$44)) - 'Drilling Spec'!$C$45)/(2*V)</f>
        <v>723.9710585126478</v>
      </c>
      <c r="J82" s="16">
        <f>IF(AND(OR(J81=0,J81=""),G82=0),IF(G83=0,"",'Drilling Spec'!$C$26),I82)</f>
        <v>723.9710585126478</v>
      </c>
      <c r="K82" s="16">
        <f>MAX(0,J82-'Drilling Spec'!$C$30)</f>
        <v>643.9710585126478</v>
      </c>
      <c r="L82" s="18">
        <f>IFERROR(K82/'Drilling Spec'!$C$31,0)</f>
        <v>42.931403900843186</v>
      </c>
      <c r="M82" s="21">
        <f t="shared" si="22"/>
        <v>0</v>
      </c>
      <c r="N82" s="4">
        <f t="shared" si="29"/>
        <v>144</v>
      </c>
      <c r="O82" s="21">
        <f t="shared" si="23"/>
        <v>0</v>
      </c>
      <c r="P82" s="18">
        <f>(SQRT(4*P81*P81*vB*vB + 'Drilling Spec'!$C$48*P81 + WB*('Drilling Spec'!$C$49 + 2*lB*vB*(sB*WB + 2*vB*O82/(1+eB)) + 'Drilling Spec'!$C$50)) - 'Drilling Spec'!$C$51)/(2*vB)</f>
        <v>759.86189926823249</v>
      </c>
      <c r="Q82" s="18">
        <f>IF(AND(OR(R81=0,R81=""),N82=0),IF(N83=0,"",'Drilling Spec'!$C$30),P82)</f>
        <v>759.86189926823249</v>
      </c>
      <c r="S82">
        <f t="shared" si="32"/>
        <v>46</v>
      </c>
      <c r="T82" s="10"/>
      <c r="U82">
        <f>IF('Baseline 1 - Perfect, 24hr'!L83&gt;'Baseline 1 - Perfect, 24hr'!S82,'Drilling Spec'!$C$36,)</f>
        <v>0</v>
      </c>
      <c r="W82" s="17">
        <f>(J82-'Drilling Spec'!$C$26)/'Drilling Spec'!$C$38</f>
        <v>108.99517641877463</v>
      </c>
      <c r="X82" s="17">
        <f t="shared" si="24"/>
        <v>0</v>
      </c>
      <c r="Y82" s="17">
        <f t="shared" si="25"/>
        <v>8.9951764187746335</v>
      </c>
      <c r="Z82" s="10"/>
      <c r="AA82">
        <f>IF(Y82&lt;'Drilling Spec'!$C$39,,'Drilling Spec'!$C$39)</f>
        <v>0</v>
      </c>
      <c r="AD82" s="16">
        <f t="shared" si="26"/>
        <v>-723.9710585126478</v>
      </c>
      <c r="AE82" s="16">
        <f t="shared" si="27"/>
        <v>-759.86189926823249</v>
      </c>
      <c r="AF82">
        <f>-'Drilling Spec'!$C$29</f>
        <v>-720</v>
      </c>
      <c r="AG82">
        <f>-'Drilling Spec'!$C$27</f>
        <v>-624</v>
      </c>
      <c r="AH82">
        <f>-'Drilling Spec'!$C$28</f>
        <v>-688</v>
      </c>
      <c r="AI82" t="e">
        <f t="shared" si="28"/>
        <v>#N/A</v>
      </c>
      <c r="AJ82" t="e">
        <f>IF(T82=0,NA(),-'Drilling Spec'!$C$26/2)</f>
        <v>#N/A</v>
      </c>
      <c r="AK82" t="e">
        <f>IF(U82=0,NA(),-'Drilling Spec'!$C$26/2)</f>
        <v>#N/A</v>
      </c>
      <c r="AL82" t="e">
        <f>IF(Z82=0,NA(),-'Drilling Spec'!$C$26*3/2)</f>
        <v>#N/A</v>
      </c>
      <c r="AM82" t="e">
        <f>IF(AA82=0,NA(),-'Drilling Spec'!$C$26*3/2)</f>
        <v>#N/A</v>
      </c>
    </row>
    <row r="83" spans="2:39" x14ac:dyDescent="0.35">
      <c r="B83" s="2">
        <f t="shared" si="30"/>
        <v>46051</v>
      </c>
      <c r="C83" t="str">
        <f t="shared" si="18"/>
        <v>Thu</v>
      </c>
      <c r="D83" s="10"/>
      <c r="E83" s="10"/>
      <c r="F83" s="4">
        <f t="shared" si="19"/>
        <v>0</v>
      </c>
      <c r="G83" s="4">
        <f t="shared" si="20"/>
        <v>816</v>
      </c>
      <c r="H83" s="4">
        <f t="shared" si="21"/>
        <v>0</v>
      </c>
      <c r="I83" s="15">
        <f>(SQRT(4*J82*J82*V*V + 'Drilling Spec'!$C$42*J82 + W*('Drilling Spec'!$C$43 + 2*l*V*(s*W + 2*V*H83/(1+e)) + 'Drilling Spec'!$C$44)) - 'Drilling Spec'!$C$45)/(2*V)</f>
        <v>723.9710585126478</v>
      </c>
      <c r="J83" s="16">
        <f>IF(AND(OR(J82=0,J82=""),G83=0),IF(G84=0,"",'Drilling Spec'!$C$26),I83)</f>
        <v>723.9710585126478</v>
      </c>
      <c r="K83" s="16">
        <f>MAX(0,J83-'Drilling Spec'!$C$30)</f>
        <v>643.9710585126478</v>
      </c>
      <c r="L83" s="18">
        <f>IFERROR(K83/'Drilling Spec'!$C$31,0)</f>
        <v>42.931403900843186</v>
      </c>
      <c r="M83" s="21">
        <f t="shared" si="22"/>
        <v>0</v>
      </c>
      <c r="N83" s="4">
        <f t="shared" si="29"/>
        <v>144</v>
      </c>
      <c r="O83" s="21">
        <f t="shared" si="23"/>
        <v>0</v>
      </c>
      <c r="P83" s="18">
        <f>(SQRT(4*P82*P82*vB*vB + 'Drilling Spec'!$C$48*P82 + WB*('Drilling Spec'!$C$49 + 2*lB*vB*(sB*WB + 2*vB*O83/(1+eB)) + 'Drilling Spec'!$C$50)) - 'Drilling Spec'!$C$51)/(2*vB)</f>
        <v>759.86189926823249</v>
      </c>
      <c r="Q83" s="18">
        <f>IF(AND(OR(R82=0,R82=""),N83=0),IF(N84=0,"",'Drilling Spec'!$C$30),P83)</f>
        <v>759.86189926823249</v>
      </c>
      <c r="S83">
        <f t="shared" si="32"/>
        <v>46</v>
      </c>
      <c r="T83" s="10"/>
      <c r="U83">
        <f>IF('Baseline 1 - Perfect, 24hr'!L84&gt;'Baseline 1 - Perfect, 24hr'!S83,'Drilling Spec'!$C$36,)</f>
        <v>0</v>
      </c>
      <c r="W83" s="17">
        <f>(J83-'Drilling Spec'!$C$26)/'Drilling Spec'!$C$38</f>
        <v>108.99517641877463</v>
      </c>
      <c r="X83" s="17">
        <f t="shared" si="24"/>
        <v>0</v>
      </c>
      <c r="Y83" s="17">
        <f t="shared" si="25"/>
        <v>8.9951764187746335</v>
      </c>
      <c r="Z83" s="10"/>
      <c r="AA83">
        <f>IF(Y83&lt;'Drilling Spec'!$C$39,,'Drilling Spec'!$C$39)</f>
        <v>0</v>
      </c>
      <c r="AD83" s="16">
        <f t="shared" si="26"/>
        <v>-723.9710585126478</v>
      </c>
      <c r="AE83" s="16">
        <f t="shared" si="27"/>
        <v>-759.86189926823249</v>
      </c>
      <c r="AF83">
        <f>-'Drilling Spec'!$C$29</f>
        <v>-720</v>
      </c>
      <c r="AG83">
        <f>-'Drilling Spec'!$C$27</f>
        <v>-624</v>
      </c>
      <c r="AH83">
        <f>-'Drilling Spec'!$C$28</f>
        <v>-688</v>
      </c>
      <c r="AI83" t="e">
        <f t="shared" si="28"/>
        <v>#N/A</v>
      </c>
      <c r="AJ83" t="e">
        <f>IF(T83=0,NA(),-'Drilling Spec'!$C$26/2)</f>
        <v>#N/A</v>
      </c>
      <c r="AK83" t="e">
        <f>IF(U83=0,NA(),-'Drilling Spec'!$C$26/2)</f>
        <v>#N/A</v>
      </c>
      <c r="AL83" t="e">
        <f>IF(Z83=0,NA(),-'Drilling Spec'!$C$26*3/2)</f>
        <v>#N/A</v>
      </c>
      <c r="AM83" t="e">
        <f>IF(AA83=0,NA(),-'Drilling Spec'!$C$26*3/2)</f>
        <v>#N/A</v>
      </c>
    </row>
    <row r="84" spans="2:39" x14ac:dyDescent="0.35">
      <c r="B84" s="2">
        <f t="shared" si="30"/>
        <v>46052</v>
      </c>
      <c r="C84" t="str">
        <f t="shared" si="18"/>
        <v>Fri</v>
      </c>
      <c r="D84" s="10"/>
      <c r="E84" s="10"/>
      <c r="F84" s="4">
        <f t="shared" si="19"/>
        <v>0</v>
      </c>
      <c r="G84" s="4">
        <f t="shared" si="20"/>
        <v>816</v>
      </c>
      <c r="H84" s="4">
        <f t="shared" si="21"/>
        <v>0</v>
      </c>
      <c r="I84" s="15">
        <f>(SQRT(4*J83*J83*V*V + 'Drilling Spec'!$C$42*J83 + W*('Drilling Spec'!$C$43 + 2*l*V*(s*W + 2*V*H84/(1+e)) + 'Drilling Spec'!$C$44)) - 'Drilling Spec'!$C$45)/(2*V)</f>
        <v>723.9710585126478</v>
      </c>
      <c r="J84" s="16">
        <f>IF(AND(OR(J83=0,J83=""),G84=0),IF(G85=0,"",'Drilling Spec'!$C$26),I84)</f>
        <v>723.9710585126478</v>
      </c>
      <c r="K84" s="16">
        <f>MAX(0,J84-'Drilling Spec'!$C$30)</f>
        <v>643.9710585126478</v>
      </c>
      <c r="L84" s="18">
        <f>IFERROR(K84/'Drilling Spec'!$C$31,0)</f>
        <v>42.931403900843186</v>
      </c>
      <c r="M84" s="21">
        <f t="shared" si="22"/>
        <v>0</v>
      </c>
      <c r="N84" s="4">
        <f t="shared" si="29"/>
        <v>144</v>
      </c>
      <c r="O84" s="21">
        <f t="shared" si="23"/>
        <v>0</v>
      </c>
      <c r="P84" s="18">
        <f>(SQRT(4*P83*P83*vB*vB + 'Drilling Spec'!$C$48*P83 + WB*('Drilling Spec'!$C$49 + 2*lB*vB*(sB*WB + 2*vB*O84/(1+eB)) + 'Drilling Spec'!$C$50)) - 'Drilling Spec'!$C$51)/(2*vB)</f>
        <v>759.86189926823249</v>
      </c>
      <c r="Q84" s="18">
        <f>IF(AND(OR(R83=0,R83=""),N84=0),IF(N85=0,"",'Drilling Spec'!$C$30),P84)</f>
        <v>759.86189926823249</v>
      </c>
      <c r="S84">
        <f t="shared" si="32"/>
        <v>46</v>
      </c>
      <c r="T84" s="10"/>
      <c r="U84">
        <f>IF('Baseline 1 - Perfect, 24hr'!L85&gt;'Baseline 1 - Perfect, 24hr'!S84,'Drilling Spec'!$C$36,)</f>
        <v>0</v>
      </c>
      <c r="W84" s="17">
        <f>(J84-'Drilling Spec'!$C$26)/'Drilling Spec'!$C$38</f>
        <v>108.99517641877463</v>
      </c>
      <c r="X84" s="17">
        <f t="shared" si="24"/>
        <v>0</v>
      </c>
      <c r="Y84" s="17">
        <f t="shared" si="25"/>
        <v>8.9951764187746335</v>
      </c>
      <c r="Z84" s="10"/>
      <c r="AA84">
        <f>IF(Y84&lt;'Drilling Spec'!$C$39,,'Drilling Spec'!$C$39)</f>
        <v>0</v>
      </c>
      <c r="AD84" s="16">
        <f t="shared" si="26"/>
        <v>-723.9710585126478</v>
      </c>
      <c r="AE84" s="16">
        <f t="shared" si="27"/>
        <v>-759.86189926823249</v>
      </c>
      <c r="AF84">
        <f>-'Drilling Spec'!$C$29</f>
        <v>-720</v>
      </c>
      <c r="AG84">
        <f>-'Drilling Spec'!$C$27</f>
        <v>-624</v>
      </c>
      <c r="AH84">
        <f>-'Drilling Spec'!$C$28</f>
        <v>-688</v>
      </c>
      <c r="AI84" t="e">
        <f t="shared" si="28"/>
        <v>#N/A</v>
      </c>
      <c r="AJ84" t="e">
        <f>IF(T84=0,NA(),-'Drilling Spec'!$C$26/2)</f>
        <v>#N/A</v>
      </c>
      <c r="AK84" t="e">
        <f>IF(U84=0,NA(),-'Drilling Spec'!$C$26/2)</f>
        <v>#N/A</v>
      </c>
      <c r="AL84" t="e">
        <f>IF(Z84=0,NA(),-'Drilling Spec'!$C$26*3/2)</f>
        <v>#N/A</v>
      </c>
      <c r="AM84" t="e">
        <f>IF(AA84=0,NA(),-'Drilling Spec'!$C$26*3/2)</f>
        <v>#N/A</v>
      </c>
    </row>
    <row r="85" spans="2:39" x14ac:dyDescent="0.35">
      <c r="B85" s="2">
        <f>B84+1</f>
        <v>46053</v>
      </c>
      <c r="C85" t="str">
        <f t="shared" si="18"/>
        <v>Sat</v>
      </c>
      <c r="D85" s="10"/>
      <c r="E85" s="10"/>
      <c r="F85" s="4">
        <f t="shared" si="19"/>
        <v>0</v>
      </c>
      <c r="G85" s="4">
        <f t="shared" si="20"/>
        <v>816</v>
      </c>
      <c r="H85" s="4">
        <f t="shared" si="21"/>
        <v>0</v>
      </c>
      <c r="I85" s="15">
        <f>(SQRT(4*J84*J84*V*V + 'Drilling Spec'!$C$42*J84 + W*('Drilling Spec'!$C$43 + 2*l*V*(s*W + 2*V*H85/(1+e)) + 'Drilling Spec'!$C$44)) - 'Drilling Spec'!$C$45)/(2*V)</f>
        <v>723.9710585126478</v>
      </c>
      <c r="J85" s="16">
        <f>IF(AND(OR(J84=0,J84=""),G85=0),IF(G86=0,"",'Drilling Spec'!$C$26),I85)</f>
        <v>723.9710585126478</v>
      </c>
      <c r="K85" s="16">
        <f>MAX(0,J85-'Drilling Spec'!$C$30)</f>
        <v>643.9710585126478</v>
      </c>
      <c r="L85" s="18">
        <f>IFERROR(K85/'Drilling Spec'!$C$31,0)</f>
        <v>42.931403900843186</v>
      </c>
      <c r="M85" s="21">
        <f t="shared" si="22"/>
        <v>0</v>
      </c>
      <c r="N85" s="4">
        <f t="shared" si="29"/>
        <v>144</v>
      </c>
      <c r="O85" s="21">
        <f t="shared" si="23"/>
        <v>0</v>
      </c>
      <c r="P85" s="18">
        <f>(SQRT(4*P84*P84*vB*vB + 'Drilling Spec'!$C$48*P84 + WB*('Drilling Spec'!$C$49 + 2*lB*vB*(sB*WB + 2*vB*O85/(1+eB)) + 'Drilling Spec'!$C$50)) - 'Drilling Spec'!$C$51)/(2*vB)</f>
        <v>759.86189926823249</v>
      </c>
      <c r="Q85" s="18">
        <f>IF(AND(OR(R84=0,R84=""),N85=0),IF(N86=0,"",'Drilling Spec'!$C$30),P85)</f>
        <v>759.86189926823249</v>
      </c>
      <c r="S85">
        <f t="shared" si="32"/>
        <v>46</v>
      </c>
      <c r="T85" s="10"/>
      <c r="U85">
        <f>IF('Baseline 1 - Perfect, 24hr'!L86&gt;'Baseline 1 - Perfect, 24hr'!S85,'Drilling Spec'!$C$36,)</f>
        <v>0</v>
      </c>
      <c r="W85" s="17">
        <f>(J85-'Drilling Spec'!$C$26)/'Drilling Spec'!$C$38</f>
        <v>108.99517641877463</v>
      </c>
      <c r="X85" s="17">
        <f t="shared" si="24"/>
        <v>0</v>
      </c>
      <c r="Y85" s="17">
        <f t="shared" si="25"/>
        <v>8.9951764187746335</v>
      </c>
      <c r="Z85" s="10"/>
      <c r="AA85">
        <f>IF(Y85&lt;'Drilling Spec'!$C$39,,'Drilling Spec'!$C$39)</f>
        <v>0</v>
      </c>
      <c r="AD85" s="16">
        <f t="shared" si="26"/>
        <v>-723.9710585126478</v>
      </c>
      <c r="AE85" s="16">
        <f t="shared" si="27"/>
        <v>-759.86189926823249</v>
      </c>
      <c r="AF85">
        <f>-'Drilling Spec'!$C$29</f>
        <v>-720</v>
      </c>
      <c r="AG85">
        <f>-'Drilling Spec'!$C$27</f>
        <v>-624</v>
      </c>
      <c r="AH85">
        <f>-'Drilling Spec'!$C$28</f>
        <v>-688</v>
      </c>
      <c r="AI85" t="e">
        <f t="shared" si="28"/>
        <v>#N/A</v>
      </c>
      <c r="AJ85" t="e">
        <f>IF(T85=0,NA(),-'Drilling Spec'!$C$26/2)</f>
        <v>#N/A</v>
      </c>
      <c r="AK85" t="e">
        <f>IF(U85=0,NA(),-'Drilling Spec'!$C$26/2)</f>
        <v>#N/A</v>
      </c>
      <c r="AL85" t="e">
        <f>IF(Z85=0,NA(),-'Drilling Spec'!$C$26*3/2)</f>
        <v>#N/A</v>
      </c>
      <c r="AM85" t="e">
        <f>IF(AA85=0,NA(),-'Drilling Spec'!$C$26*3/2)</f>
        <v>#N/A</v>
      </c>
    </row>
    <row r="86" spans="2:39" x14ac:dyDescent="0.35">
      <c r="B86" s="2">
        <f t="shared" ref="B86" si="33">B85+1</f>
        <v>46054</v>
      </c>
      <c r="C86" t="str">
        <f t="shared" si="18"/>
        <v>Sun</v>
      </c>
      <c r="D86" s="10"/>
      <c r="E86" s="10"/>
      <c r="F86" s="4">
        <f t="shared" si="19"/>
        <v>0</v>
      </c>
      <c r="G86" s="4">
        <f t="shared" si="20"/>
        <v>816</v>
      </c>
      <c r="H86" s="4">
        <f t="shared" si="21"/>
        <v>0</v>
      </c>
      <c r="I86" s="15">
        <f>(SQRT(4*J85*J85*V*V + 'Drilling Spec'!$C$42*J85 + W*('Drilling Spec'!$C$43 + 2*l*V*(s*W + 2*V*H86/(1+e)) + 'Drilling Spec'!$C$44)) - 'Drilling Spec'!$C$45)/(2*V)</f>
        <v>723.9710585126478</v>
      </c>
      <c r="J86" s="16">
        <f>IF(AND(OR(J85=0,J85=""),G86=0),IF(G87=0,"",'Drilling Spec'!$C$26),I86)</f>
        <v>723.9710585126478</v>
      </c>
      <c r="K86" s="16">
        <f>MAX(0,J86-'Drilling Spec'!$C$30)</f>
        <v>643.9710585126478</v>
      </c>
      <c r="L86" s="18">
        <f>IFERROR(K86/'Drilling Spec'!$C$31,0)</f>
        <v>42.931403900843186</v>
      </c>
      <c r="M86" s="21">
        <f t="shared" si="22"/>
        <v>0</v>
      </c>
      <c r="N86" s="4">
        <f t="shared" si="29"/>
        <v>144</v>
      </c>
      <c r="O86" s="21">
        <f t="shared" si="23"/>
        <v>0</v>
      </c>
      <c r="P86" s="18">
        <f>(SQRT(4*P85*P85*vB*vB + 'Drilling Spec'!$C$48*P85 + WB*('Drilling Spec'!$C$49 + 2*lB*vB*(sB*WB + 2*vB*O86/(1+eB)) + 'Drilling Spec'!$C$50)) - 'Drilling Spec'!$C$51)/(2*vB)</f>
        <v>759.86189926823249</v>
      </c>
      <c r="Q86" s="18">
        <f>IF(AND(OR(R85=0,R85=""),N86=0),IF(N87=0,"",'Drilling Spec'!$C$30),P86)</f>
        <v>759.86189926823249</v>
      </c>
      <c r="S86">
        <f t="shared" si="32"/>
        <v>46</v>
      </c>
      <c r="T86" s="10"/>
      <c r="U86">
        <f>IF('Baseline 1 - Perfect, 24hr'!L87&gt;'Baseline 1 - Perfect, 24hr'!S86,'Drilling Spec'!$C$36,)</f>
        <v>0</v>
      </c>
      <c r="W86" s="17">
        <f>(J86-'Drilling Spec'!$C$26)/'Drilling Spec'!$C$38</f>
        <v>108.99517641877463</v>
      </c>
      <c r="X86" s="17">
        <f t="shared" si="24"/>
        <v>0</v>
      </c>
      <c r="Y86" s="17">
        <f t="shared" si="25"/>
        <v>8.9951764187746335</v>
      </c>
      <c r="Z86" s="10"/>
      <c r="AA86">
        <f>IF(Y86&lt;'Drilling Spec'!$C$39,,'Drilling Spec'!$C$39)</f>
        <v>0</v>
      </c>
      <c r="AD86" s="16">
        <f t="shared" si="26"/>
        <v>-723.9710585126478</v>
      </c>
      <c r="AE86" s="16">
        <f t="shared" si="27"/>
        <v>-759.86189926823249</v>
      </c>
      <c r="AF86">
        <f>-'Drilling Spec'!$C$29</f>
        <v>-720</v>
      </c>
      <c r="AG86">
        <f>-'Drilling Spec'!$C$27</f>
        <v>-624</v>
      </c>
      <c r="AH86">
        <f>-'Drilling Spec'!$C$28</f>
        <v>-688</v>
      </c>
      <c r="AI86" t="e">
        <f t="shared" si="28"/>
        <v>#N/A</v>
      </c>
      <c r="AJ86" t="e">
        <f>IF(T86=0,NA(),-'Drilling Spec'!$C$26/2)</f>
        <v>#N/A</v>
      </c>
      <c r="AK86" t="e">
        <f>IF(U86=0,NA(),-'Drilling Spec'!$C$26/2)</f>
        <v>#N/A</v>
      </c>
      <c r="AL86" t="e">
        <f>IF(Z86=0,NA(),-'Drilling Spec'!$C$26*3/2)</f>
        <v>#N/A</v>
      </c>
      <c r="AM86" t="e">
        <f>IF(AA86=0,NA(),-'Drilling Spec'!$C$26*3/2)</f>
        <v>#N/A</v>
      </c>
    </row>
    <row r="87" spans="2:39" x14ac:dyDescent="0.35">
      <c r="B87" s="2">
        <f>B86+1</f>
        <v>46055</v>
      </c>
      <c r="C87" t="str">
        <f t="shared" si="18"/>
        <v>Mon</v>
      </c>
      <c r="D87" s="10"/>
      <c r="E87" s="10"/>
      <c r="F87" s="4">
        <f t="shared" si="19"/>
        <v>0</v>
      </c>
      <c r="G87" s="4">
        <f t="shared" si="20"/>
        <v>816</v>
      </c>
      <c r="H87" s="4">
        <f t="shared" si="21"/>
        <v>0</v>
      </c>
      <c r="I87" s="15">
        <f>(SQRT(4*J86*J86*V*V + 'Drilling Spec'!$C$42*J86 + W*('Drilling Spec'!$C$43 + 2*l*V*(s*W + 2*V*H87/(1+e)) + 'Drilling Spec'!$C$44)) - 'Drilling Spec'!$C$45)/(2*V)</f>
        <v>723.9710585126478</v>
      </c>
      <c r="J87" s="16">
        <f>IF(AND(OR(J86=0,J86=""),G87=0),IF(G88=0,"",'Drilling Spec'!$C$26),I87)</f>
        <v>723.9710585126478</v>
      </c>
      <c r="K87" s="16">
        <f>MAX(0,J87-'Drilling Spec'!$C$30)</f>
        <v>643.9710585126478</v>
      </c>
      <c r="L87" s="18">
        <f>IFERROR(K87/'Drilling Spec'!$C$31,0)</f>
        <v>42.931403900843186</v>
      </c>
      <c r="M87" s="21">
        <f t="shared" si="22"/>
        <v>0</v>
      </c>
      <c r="N87" s="4">
        <f t="shared" si="29"/>
        <v>144</v>
      </c>
      <c r="O87" s="21">
        <f t="shared" si="23"/>
        <v>0</v>
      </c>
      <c r="P87" s="18">
        <f>(SQRT(4*P86*P86*vB*vB + 'Drilling Spec'!$C$48*P86 + WB*('Drilling Spec'!$C$49 + 2*lB*vB*(sB*WB + 2*vB*O87/(1+eB)) + 'Drilling Spec'!$C$50)) - 'Drilling Spec'!$C$51)/(2*vB)</f>
        <v>759.86189926823249</v>
      </c>
      <c r="Q87" s="18">
        <f>IF(AND(OR(R86=0,R86=""),N87=0),IF(N88=0,"",'Drilling Spec'!$C$30),P87)</f>
        <v>759.86189926823249</v>
      </c>
      <c r="S87">
        <f t="shared" si="32"/>
        <v>46</v>
      </c>
      <c r="T87" s="10"/>
      <c r="U87">
        <f>IF('Baseline 1 - Perfect, 24hr'!L88&gt;'Baseline 1 - Perfect, 24hr'!S87,'Drilling Spec'!$C$36,)</f>
        <v>0</v>
      </c>
      <c r="W87" s="17">
        <f>(J87-'Drilling Spec'!$C$26)/'Drilling Spec'!$C$38</f>
        <v>108.99517641877463</v>
      </c>
      <c r="X87" s="17">
        <f t="shared" si="24"/>
        <v>0</v>
      </c>
      <c r="Y87" s="17">
        <f t="shared" si="25"/>
        <v>8.9951764187746335</v>
      </c>
      <c r="Z87" s="10"/>
      <c r="AA87">
        <f>IF(Y87&lt;'Drilling Spec'!$C$39,,'Drilling Spec'!$C$39)</f>
        <v>0</v>
      </c>
      <c r="AD87" s="16">
        <f t="shared" si="26"/>
        <v>-723.9710585126478</v>
      </c>
      <c r="AE87" s="16">
        <f t="shared" si="27"/>
        <v>-759.86189926823249</v>
      </c>
      <c r="AF87">
        <f>-'Drilling Spec'!$C$29</f>
        <v>-720</v>
      </c>
      <c r="AG87">
        <f>-'Drilling Spec'!$C$27</f>
        <v>-624</v>
      </c>
      <c r="AH87">
        <f>-'Drilling Spec'!$C$28</f>
        <v>-688</v>
      </c>
      <c r="AI87" t="e">
        <f t="shared" si="28"/>
        <v>#N/A</v>
      </c>
      <c r="AJ87" t="e">
        <f>IF(T87=0,NA(),-'Drilling Spec'!$C$26/2)</f>
        <v>#N/A</v>
      </c>
      <c r="AK87" t="e">
        <f>IF(U87=0,NA(),-'Drilling Spec'!$C$26/2)</f>
        <v>#N/A</v>
      </c>
      <c r="AL87" t="e">
        <f>IF(Z87=0,NA(),-'Drilling Spec'!$C$26*3/2)</f>
        <v>#N/A</v>
      </c>
      <c r="AM87" t="e">
        <f>IF(AA87=0,NA(),-'Drilling Spec'!$C$26*3/2)</f>
        <v>#N/A</v>
      </c>
    </row>
    <row r="88" spans="2:39" x14ac:dyDescent="0.35">
      <c r="B88" s="2">
        <f t="shared" ref="B88:B112" si="34">B87+1</f>
        <v>46056</v>
      </c>
      <c r="C88" t="str">
        <f t="shared" si="18"/>
        <v>Tue</v>
      </c>
      <c r="D88" s="10"/>
      <c r="E88" s="10"/>
      <c r="F88" s="4">
        <f t="shared" si="19"/>
        <v>0</v>
      </c>
      <c r="G88" s="4">
        <f t="shared" ref="G88:G112" si="35">(G87+F88)</f>
        <v>816</v>
      </c>
      <c r="H88" s="4">
        <f t="shared" si="21"/>
        <v>0</v>
      </c>
      <c r="I88" s="15">
        <f>(SQRT(4*J87*J87*V*V + 'Drilling Spec'!$C$42*J87 + W*('Drilling Spec'!$C$43 + 2*l*V*(s*W + 2*V*H88/(1+e)) + 'Drilling Spec'!$C$44)) - 'Drilling Spec'!$C$45)/(2*V)</f>
        <v>723.9710585126478</v>
      </c>
      <c r="J88" s="16">
        <f>IF(AND(OR(J87=0,J87=""),G88=0),IF(G89=0,"",'Drilling Spec'!$C$26),I88)</f>
        <v>723.9710585126478</v>
      </c>
      <c r="K88" s="16">
        <f>MAX(0,J88-'Drilling Spec'!$C$30)</f>
        <v>643.9710585126478</v>
      </c>
      <c r="L88" s="18">
        <f>IFERROR(K88/'Drilling Spec'!$C$31,0)</f>
        <v>42.931403900843186</v>
      </c>
      <c r="M88" s="21">
        <f t="shared" ref="M88:M112" si="36">IF(D88="Bailing",E88,0)</f>
        <v>0</v>
      </c>
      <c r="N88" s="4">
        <f t="shared" si="29"/>
        <v>144</v>
      </c>
      <c r="O88" s="21">
        <f t="shared" si="23"/>
        <v>0</v>
      </c>
      <c r="P88" s="18">
        <f>(SQRT(4*P87*P87*vB*vB + 'Drilling Spec'!$C$48*P87 + WB*('Drilling Spec'!$C$49 + 2*lB*vB*(sB*WB + 2*vB*O88/(1+eB)) + 'Drilling Spec'!$C$50)) - 'Drilling Spec'!$C$51)/(2*vB)</f>
        <v>759.86189926823249</v>
      </c>
      <c r="Q88" s="18">
        <f>IF(AND(OR(R87=0,R87=""),N88=0),IF(N89=0,"",'Drilling Spec'!$C$30),P88)</f>
        <v>759.86189926823249</v>
      </c>
      <c r="S88">
        <f t="shared" si="32"/>
        <v>46</v>
      </c>
      <c r="T88" s="10"/>
      <c r="U88">
        <f>IF('Baseline 1 - Perfect, 24hr'!L89&gt;'Baseline 1 - Perfect, 24hr'!S88,'Drilling Spec'!$C$36,)</f>
        <v>0</v>
      </c>
      <c r="W88" s="17">
        <f>(J88-'Drilling Spec'!$C$26)/'Drilling Spec'!$C$38</f>
        <v>108.99517641877463</v>
      </c>
      <c r="X88" s="17">
        <f t="shared" si="24"/>
        <v>0</v>
      </c>
      <c r="Y88" s="17">
        <f t="shared" si="25"/>
        <v>8.9951764187746335</v>
      </c>
      <c r="Z88" s="10"/>
      <c r="AA88">
        <f>IF(Y88&lt;'Drilling Spec'!$C$39,,'Drilling Spec'!$C$39)</f>
        <v>0</v>
      </c>
      <c r="AD88" s="16">
        <f t="shared" ref="AD88:AD112" si="37">IFERROR(-J88,NA())</f>
        <v>-723.9710585126478</v>
      </c>
      <c r="AE88" s="16">
        <f t="shared" si="27"/>
        <v>-759.86189926823249</v>
      </c>
      <c r="AF88">
        <f>-'Drilling Spec'!$C$29</f>
        <v>-720</v>
      </c>
      <c r="AG88">
        <f>-'Drilling Spec'!$C$27</f>
        <v>-624</v>
      </c>
      <c r="AH88">
        <f>-'Drilling Spec'!$C$28</f>
        <v>-688</v>
      </c>
      <c r="AI88" t="e">
        <f t="shared" si="28"/>
        <v>#N/A</v>
      </c>
      <c r="AJ88" t="e">
        <f>IF(T88=0,NA(),-'Drilling Spec'!$C$26/2)</f>
        <v>#N/A</v>
      </c>
      <c r="AK88" t="e">
        <f>IF(U88=0,NA(),-'Drilling Spec'!$C$26/2)</f>
        <v>#N/A</v>
      </c>
      <c r="AL88" t="e">
        <f>IF(Z88=0,NA(),-'Drilling Spec'!$C$26*3/2)</f>
        <v>#N/A</v>
      </c>
      <c r="AM88" t="e">
        <f>IF(AA88=0,NA(),-'Drilling Spec'!$C$26*3/2)</f>
        <v>#N/A</v>
      </c>
    </row>
    <row r="89" spans="2:39" x14ac:dyDescent="0.35">
      <c r="B89" s="2">
        <f t="shared" si="34"/>
        <v>46057</v>
      </c>
      <c r="C89" t="str">
        <f t="shared" si="18"/>
        <v>Wed</v>
      </c>
      <c r="D89" s="10"/>
      <c r="E89" s="10"/>
      <c r="F89" s="4">
        <f t="shared" si="19"/>
        <v>0</v>
      </c>
      <c r="G89" s="4">
        <f t="shared" si="35"/>
        <v>816</v>
      </c>
      <c r="H89" s="4">
        <f t="shared" si="21"/>
        <v>0</v>
      </c>
      <c r="I89" s="15">
        <f>(SQRT(4*J88*J88*V*V + 'Drilling Spec'!$C$42*J88 + W*('Drilling Spec'!$C$43 + 2*l*V*(s*W + 2*V*H89/(1+e)) + 'Drilling Spec'!$C$44)) - 'Drilling Spec'!$C$45)/(2*V)</f>
        <v>723.9710585126478</v>
      </c>
      <c r="J89" s="16">
        <f>IF(AND(OR(J88=0,J88=""),G89=0),IF(G90=0,"",'Drilling Spec'!$C$26),I89)</f>
        <v>723.9710585126478</v>
      </c>
      <c r="K89" s="16">
        <f>MAX(0,J89-'Drilling Spec'!$C$30)</f>
        <v>643.9710585126478</v>
      </c>
      <c r="L89" s="18">
        <f>IFERROR(K89/'Drilling Spec'!$C$31,0)</f>
        <v>42.931403900843186</v>
      </c>
      <c r="M89" s="21">
        <f t="shared" si="36"/>
        <v>0</v>
      </c>
      <c r="N89" s="4">
        <f t="shared" si="29"/>
        <v>144</v>
      </c>
      <c r="O89" s="21">
        <f t="shared" si="23"/>
        <v>0</v>
      </c>
      <c r="P89" s="18">
        <f>(SQRT(4*P88*P88*vB*vB + 'Drilling Spec'!$C$48*P88 + WB*('Drilling Spec'!$C$49 + 2*lB*vB*(sB*WB + 2*vB*O89/(1+eB)) + 'Drilling Spec'!$C$50)) - 'Drilling Spec'!$C$51)/(2*vB)</f>
        <v>759.86189926823249</v>
      </c>
      <c r="Q89" s="18">
        <f>IF(AND(OR(R88=0,R88=""),N89=0),IF(N90=0,"",'Drilling Spec'!$C$30),P89)</f>
        <v>759.86189926823249</v>
      </c>
      <c r="S89">
        <f t="shared" si="32"/>
        <v>46</v>
      </c>
      <c r="T89" s="10"/>
      <c r="U89">
        <f>IF('Baseline 1 - Perfect, 24hr'!L90&gt;'Baseline 1 - Perfect, 24hr'!S89,'Drilling Spec'!$C$36,)</f>
        <v>0</v>
      </c>
      <c r="W89" s="17">
        <f>(J89-'Drilling Spec'!$C$26)/'Drilling Spec'!$C$38</f>
        <v>108.99517641877463</v>
      </c>
      <c r="X89" s="17">
        <f t="shared" si="24"/>
        <v>0</v>
      </c>
      <c r="Y89" s="17">
        <f t="shared" si="25"/>
        <v>8.9951764187746335</v>
      </c>
      <c r="Z89" s="10"/>
      <c r="AA89">
        <f>IF(Y89&lt;'Drilling Spec'!$C$39,,'Drilling Spec'!$C$39)</f>
        <v>0</v>
      </c>
      <c r="AD89" s="16">
        <f t="shared" si="37"/>
        <v>-723.9710585126478</v>
      </c>
      <c r="AE89" s="16">
        <f t="shared" si="27"/>
        <v>-759.86189926823249</v>
      </c>
      <c r="AF89">
        <f>-'Drilling Spec'!$C$29</f>
        <v>-720</v>
      </c>
      <c r="AG89">
        <f>-'Drilling Spec'!$C$27</f>
        <v>-624</v>
      </c>
      <c r="AH89">
        <f>-'Drilling Spec'!$C$28</f>
        <v>-688</v>
      </c>
      <c r="AI89" t="e">
        <f t="shared" si="28"/>
        <v>#N/A</v>
      </c>
      <c r="AJ89" t="e">
        <f>IF(T89=0,NA(),-'Drilling Spec'!$C$26/2)</f>
        <v>#N/A</v>
      </c>
      <c r="AK89" t="e">
        <f>IF(U89=0,NA(),-'Drilling Spec'!$C$26/2)</f>
        <v>#N/A</v>
      </c>
      <c r="AL89" t="e">
        <f>IF(Z89=0,NA(),-'Drilling Spec'!$C$26*3/2)</f>
        <v>#N/A</v>
      </c>
      <c r="AM89" t="e">
        <f>IF(AA89=0,NA(),-'Drilling Spec'!$C$26*3/2)</f>
        <v>#N/A</v>
      </c>
    </row>
    <row r="90" spans="2:39" x14ac:dyDescent="0.35">
      <c r="B90" s="2">
        <f t="shared" si="34"/>
        <v>46058</v>
      </c>
      <c r="C90" t="str">
        <f t="shared" si="18"/>
        <v>Thu</v>
      </c>
      <c r="D90" s="10"/>
      <c r="E90" s="10"/>
      <c r="F90" s="4">
        <f t="shared" si="19"/>
        <v>0</v>
      </c>
      <c r="G90" s="4">
        <f t="shared" si="35"/>
        <v>816</v>
      </c>
      <c r="H90" s="4">
        <f t="shared" si="21"/>
        <v>0</v>
      </c>
      <c r="I90" s="15">
        <f>(SQRT(4*J89*J89*V*V + 'Drilling Spec'!$C$42*J89 + W*('Drilling Spec'!$C$43 + 2*l*V*(s*W + 2*V*H90/(1+e)) + 'Drilling Spec'!$C$44)) - 'Drilling Spec'!$C$45)/(2*V)</f>
        <v>723.9710585126478</v>
      </c>
      <c r="J90" s="16">
        <f>IF(AND(OR(J89=0,J89=""),G90=0),IF(G91=0,"",'Drilling Spec'!$C$26),I90)</f>
        <v>723.9710585126478</v>
      </c>
      <c r="K90" s="16">
        <f>MAX(0,J90-'Drilling Spec'!$C$30)</f>
        <v>643.9710585126478</v>
      </c>
      <c r="L90" s="18">
        <f>IFERROR(K90/'Drilling Spec'!$C$31,0)</f>
        <v>42.931403900843186</v>
      </c>
      <c r="M90" s="21">
        <f t="shared" si="36"/>
        <v>0</v>
      </c>
      <c r="N90" s="4">
        <f t="shared" si="29"/>
        <v>144</v>
      </c>
      <c r="O90" s="21">
        <f t="shared" si="23"/>
        <v>0</v>
      </c>
      <c r="P90" s="18">
        <f>(SQRT(4*P89*P89*vB*vB + 'Drilling Spec'!$C$48*P89 + WB*('Drilling Spec'!$C$49 + 2*lB*vB*(sB*WB + 2*vB*O90/(1+eB)) + 'Drilling Spec'!$C$50)) - 'Drilling Spec'!$C$51)/(2*vB)</f>
        <v>759.86189926823249</v>
      </c>
      <c r="Q90" s="18">
        <f>IF(AND(OR(R89=0,R89=""),N90=0),IF(N91=0,"",'Drilling Spec'!$C$30),P90)</f>
        <v>759.86189926823249</v>
      </c>
      <c r="S90">
        <f t="shared" si="32"/>
        <v>46</v>
      </c>
      <c r="T90" s="10"/>
      <c r="U90">
        <f>IF('Baseline 1 - Perfect, 24hr'!L91&gt;'Baseline 1 - Perfect, 24hr'!S90,'Drilling Spec'!$C$36,)</f>
        <v>0</v>
      </c>
      <c r="W90" s="17">
        <f>(J90-'Drilling Spec'!$C$26)/'Drilling Spec'!$C$38</f>
        <v>108.99517641877463</v>
      </c>
      <c r="X90" s="17">
        <f t="shared" si="24"/>
        <v>0</v>
      </c>
      <c r="Y90" s="17">
        <f t="shared" si="25"/>
        <v>8.9951764187746335</v>
      </c>
      <c r="Z90" s="10"/>
      <c r="AA90">
        <f>IF(Y90&lt;'Drilling Spec'!$C$39,,'Drilling Spec'!$C$39)</f>
        <v>0</v>
      </c>
      <c r="AD90" s="16">
        <f t="shared" si="37"/>
        <v>-723.9710585126478</v>
      </c>
      <c r="AE90" s="16">
        <f t="shared" si="27"/>
        <v>-759.86189926823249</v>
      </c>
      <c r="AF90">
        <f>-'Drilling Spec'!$C$29</f>
        <v>-720</v>
      </c>
      <c r="AG90">
        <f>-'Drilling Spec'!$C$27</f>
        <v>-624</v>
      </c>
      <c r="AH90">
        <f>-'Drilling Spec'!$C$28</f>
        <v>-688</v>
      </c>
      <c r="AI90" t="e">
        <f t="shared" si="28"/>
        <v>#N/A</v>
      </c>
      <c r="AJ90" t="e">
        <f>IF(T90=0,NA(),-'Drilling Spec'!$C$26/2)</f>
        <v>#N/A</v>
      </c>
      <c r="AK90" t="e">
        <f>IF(U90=0,NA(),-'Drilling Spec'!$C$26/2)</f>
        <v>#N/A</v>
      </c>
      <c r="AL90" t="e">
        <f>IF(Z90=0,NA(),-'Drilling Spec'!$C$26*3/2)</f>
        <v>#N/A</v>
      </c>
      <c r="AM90" t="e">
        <f>IF(AA90=0,NA(),-'Drilling Spec'!$C$26*3/2)</f>
        <v>#N/A</v>
      </c>
    </row>
    <row r="91" spans="2:39" x14ac:dyDescent="0.35">
      <c r="B91" s="2">
        <f t="shared" si="34"/>
        <v>46059</v>
      </c>
      <c r="C91" t="str">
        <f t="shared" si="18"/>
        <v>Fri</v>
      </c>
      <c r="D91" s="10"/>
      <c r="E91" s="10"/>
      <c r="F91" s="4">
        <f t="shared" si="19"/>
        <v>0</v>
      </c>
      <c r="G91" s="4">
        <f t="shared" si="35"/>
        <v>816</v>
      </c>
      <c r="H91" s="4">
        <f t="shared" si="21"/>
        <v>0</v>
      </c>
      <c r="I91" s="15">
        <f>(SQRT(4*J90*J90*V*V + 'Drilling Spec'!$C$42*J90 + W*('Drilling Spec'!$C$43 + 2*l*V*(s*W + 2*V*H91/(1+e)) + 'Drilling Spec'!$C$44)) - 'Drilling Spec'!$C$45)/(2*V)</f>
        <v>723.9710585126478</v>
      </c>
      <c r="J91" s="16">
        <f>IF(AND(OR(J90=0,J90=""),G91=0),IF(G92=0,"",'Drilling Spec'!$C$26),I91)</f>
        <v>723.9710585126478</v>
      </c>
      <c r="K91" s="16">
        <f>MAX(0,J91-'Drilling Spec'!$C$30)</f>
        <v>643.9710585126478</v>
      </c>
      <c r="L91" s="18">
        <f>IFERROR(K91/'Drilling Spec'!$C$31,0)</f>
        <v>42.931403900843186</v>
      </c>
      <c r="M91" s="21">
        <f t="shared" si="36"/>
        <v>0</v>
      </c>
      <c r="N91" s="4">
        <f t="shared" si="29"/>
        <v>144</v>
      </c>
      <c r="O91" s="21">
        <f t="shared" si="23"/>
        <v>0</v>
      </c>
      <c r="P91" s="18">
        <f>(SQRT(4*P90*P90*vB*vB + 'Drilling Spec'!$C$48*P90 + WB*('Drilling Spec'!$C$49 + 2*lB*vB*(sB*WB + 2*vB*O91/(1+eB)) + 'Drilling Spec'!$C$50)) - 'Drilling Spec'!$C$51)/(2*vB)</f>
        <v>759.86189926823249</v>
      </c>
      <c r="Q91" s="18">
        <f>IF(AND(OR(R90=0,R90=""),N91=0),IF(N92=0,"",'Drilling Spec'!$C$30),P91)</f>
        <v>759.86189926823249</v>
      </c>
      <c r="S91">
        <f t="shared" si="32"/>
        <v>46</v>
      </c>
      <c r="T91" s="10"/>
      <c r="U91">
        <f>IF('Baseline 1 - Perfect, 24hr'!L92&gt;'Baseline 1 - Perfect, 24hr'!S91,'Drilling Spec'!$C$36,)</f>
        <v>0</v>
      </c>
      <c r="W91" s="17">
        <f>(J91-'Drilling Spec'!$C$26)/'Drilling Spec'!$C$38</f>
        <v>108.99517641877463</v>
      </c>
      <c r="X91" s="17">
        <f t="shared" si="24"/>
        <v>0</v>
      </c>
      <c r="Y91" s="17">
        <f t="shared" si="25"/>
        <v>8.9951764187746335</v>
      </c>
      <c r="Z91" s="10"/>
      <c r="AA91">
        <f>IF(Y91&lt;'Drilling Spec'!$C$39,,'Drilling Spec'!$C$39)</f>
        <v>0</v>
      </c>
      <c r="AD91" s="16">
        <f t="shared" si="37"/>
        <v>-723.9710585126478</v>
      </c>
      <c r="AE91" s="16">
        <f t="shared" si="27"/>
        <v>-759.86189926823249</v>
      </c>
      <c r="AF91">
        <f>-'Drilling Spec'!$C$29</f>
        <v>-720</v>
      </c>
      <c r="AG91">
        <f>-'Drilling Spec'!$C$27</f>
        <v>-624</v>
      </c>
      <c r="AH91">
        <f>-'Drilling Spec'!$C$28</f>
        <v>-688</v>
      </c>
      <c r="AI91" t="e">
        <f t="shared" si="28"/>
        <v>#N/A</v>
      </c>
      <c r="AJ91" t="e">
        <f>IF(T91=0,NA(),-'Drilling Spec'!$C$26/2)</f>
        <v>#N/A</v>
      </c>
      <c r="AK91" t="e">
        <f>IF(U91=0,NA(),-'Drilling Spec'!$C$26/2)</f>
        <v>#N/A</v>
      </c>
      <c r="AL91" t="e">
        <f>IF(Z91=0,NA(),-'Drilling Spec'!$C$26*3/2)</f>
        <v>#N/A</v>
      </c>
      <c r="AM91" t="e">
        <f>IF(AA91=0,NA(),-'Drilling Spec'!$C$26*3/2)</f>
        <v>#N/A</v>
      </c>
    </row>
    <row r="92" spans="2:39" x14ac:dyDescent="0.35">
      <c r="B92" s="2">
        <f t="shared" si="34"/>
        <v>46060</v>
      </c>
      <c r="C92" t="str">
        <f t="shared" si="18"/>
        <v>Sat</v>
      </c>
      <c r="D92" s="10"/>
      <c r="E92" s="10"/>
      <c r="F92" s="4">
        <f t="shared" si="19"/>
        <v>0</v>
      </c>
      <c r="G92" s="4">
        <f t="shared" si="35"/>
        <v>816</v>
      </c>
      <c r="H92" s="4">
        <f t="shared" si="21"/>
        <v>0</v>
      </c>
      <c r="I92" s="15">
        <f>(SQRT(4*J91*J91*V*V + 'Drilling Spec'!$C$42*J91 + W*('Drilling Spec'!$C$43 + 2*l*V*(s*W + 2*V*H92/(1+e)) + 'Drilling Spec'!$C$44)) - 'Drilling Spec'!$C$45)/(2*V)</f>
        <v>723.9710585126478</v>
      </c>
      <c r="J92" s="16">
        <f>IF(AND(OR(J91=0,J91=""),G92=0),IF(G93=0,"",'Drilling Spec'!$C$26),I92)</f>
        <v>723.9710585126478</v>
      </c>
      <c r="K92" s="16">
        <f>MAX(0,J92-'Drilling Spec'!$C$30)</f>
        <v>643.9710585126478</v>
      </c>
      <c r="L92" s="18">
        <f>IFERROR(K92/'Drilling Spec'!$C$31,0)</f>
        <v>42.931403900843186</v>
      </c>
      <c r="M92" s="21">
        <f t="shared" si="36"/>
        <v>0</v>
      </c>
      <c r="N92" s="4">
        <f t="shared" si="29"/>
        <v>144</v>
      </c>
      <c r="O92" s="21">
        <f t="shared" si="23"/>
        <v>0</v>
      </c>
      <c r="P92" s="18">
        <f>(SQRT(4*P91*P91*vB*vB + 'Drilling Spec'!$C$48*P91 + WB*('Drilling Spec'!$C$49 + 2*lB*vB*(sB*WB + 2*vB*O92/(1+eB)) + 'Drilling Spec'!$C$50)) - 'Drilling Spec'!$C$51)/(2*vB)</f>
        <v>759.86189926823249</v>
      </c>
      <c r="Q92" s="18">
        <f>IF(AND(OR(R91=0,R91=""),N92=0),IF(N93=0,"",'Drilling Spec'!$C$30),P92)</f>
        <v>759.86189926823249</v>
      </c>
      <c r="S92">
        <f t="shared" si="32"/>
        <v>46</v>
      </c>
      <c r="T92" s="10"/>
      <c r="U92">
        <f>IF('Baseline 1 - Perfect, 24hr'!L93&gt;'Baseline 1 - Perfect, 24hr'!S92,'Drilling Spec'!$C$36,)</f>
        <v>0</v>
      </c>
      <c r="W92" s="17">
        <f>(J92-'Drilling Spec'!$C$26)/'Drilling Spec'!$C$38</f>
        <v>108.99517641877463</v>
      </c>
      <c r="X92" s="17">
        <f t="shared" si="24"/>
        <v>0</v>
      </c>
      <c r="Y92" s="17">
        <f t="shared" si="25"/>
        <v>8.9951764187746335</v>
      </c>
      <c r="Z92" s="10"/>
      <c r="AA92">
        <f>IF(Y92&lt;'Drilling Spec'!$C$39,,'Drilling Spec'!$C$39)</f>
        <v>0</v>
      </c>
      <c r="AD92" s="16">
        <f t="shared" si="37"/>
        <v>-723.9710585126478</v>
      </c>
      <c r="AE92" s="16">
        <f t="shared" si="27"/>
        <v>-759.86189926823249</v>
      </c>
      <c r="AF92">
        <f>-'Drilling Spec'!$C$29</f>
        <v>-720</v>
      </c>
      <c r="AG92">
        <f>-'Drilling Spec'!$C$27</f>
        <v>-624</v>
      </c>
      <c r="AH92">
        <f>-'Drilling Spec'!$C$28</f>
        <v>-688</v>
      </c>
      <c r="AI92" t="e">
        <f t="shared" si="28"/>
        <v>#N/A</v>
      </c>
      <c r="AJ92" t="e">
        <f>IF(T92=0,NA(),-'Drilling Spec'!$C$26/2)</f>
        <v>#N/A</v>
      </c>
      <c r="AK92" t="e">
        <f>IF(U92=0,NA(),-'Drilling Spec'!$C$26/2)</f>
        <v>#N/A</v>
      </c>
      <c r="AL92" t="e">
        <f>IF(Z92=0,NA(),-'Drilling Spec'!$C$26*3/2)</f>
        <v>#N/A</v>
      </c>
      <c r="AM92" t="e">
        <f>IF(AA92=0,NA(),-'Drilling Spec'!$C$26*3/2)</f>
        <v>#N/A</v>
      </c>
    </row>
    <row r="93" spans="2:39" x14ac:dyDescent="0.35">
      <c r="B93" s="2">
        <f t="shared" si="34"/>
        <v>46061</v>
      </c>
      <c r="C93" t="str">
        <f t="shared" si="18"/>
        <v>Sun</v>
      </c>
      <c r="D93" s="10"/>
      <c r="E93" s="10"/>
      <c r="F93" s="4">
        <f t="shared" si="19"/>
        <v>0</v>
      </c>
      <c r="G93" s="4">
        <f t="shared" si="35"/>
        <v>816</v>
      </c>
      <c r="H93" s="4">
        <f t="shared" si="21"/>
        <v>0</v>
      </c>
      <c r="I93" s="15">
        <f>(SQRT(4*J92*J92*V*V + 'Drilling Spec'!$C$42*J92 + W*('Drilling Spec'!$C$43 + 2*l*V*(s*W + 2*V*H93/(1+e)) + 'Drilling Spec'!$C$44)) - 'Drilling Spec'!$C$45)/(2*V)</f>
        <v>723.9710585126478</v>
      </c>
      <c r="J93" s="16">
        <f>IF(AND(OR(J92=0,J92=""),G93=0),IF(G94=0,"",'Drilling Spec'!$C$26),I93)</f>
        <v>723.9710585126478</v>
      </c>
      <c r="K93" s="16">
        <f>MAX(0,J93-'Drilling Spec'!$C$30)</f>
        <v>643.9710585126478</v>
      </c>
      <c r="L93" s="18">
        <f>IFERROR(K93/'Drilling Spec'!$C$31,0)</f>
        <v>42.931403900843186</v>
      </c>
      <c r="M93" s="21">
        <f t="shared" si="36"/>
        <v>0</v>
      </c>
      <c r="N93" s="4">
        <f t="shared" si="29"/>
        <v>144</v>
      </c>
      <c r="O93" s="21">
        <f t="shared" si="23"/>
        <v>0</v>
      </c>
      <c r="P93" s="18">
        <f>(SQRT(4*P92*P92*vB*vB + 'Drilling Spec'!$C$48*P92 + WB*('Drilling Spec'!$C$49 + 2*lB*vB*(sB*WB + 2*vB*O93/(1+eB)) + 'Drilling Spec'!$C$50)) - 'Drilling Spec'!$C$51)/(2*vB)</f>
        <v>759.86189926823249</v>
      </c>
      <c r="Q93" s="18">
        <f>IF(AND(OR(R92=0,R92=""),N93=0),IF(N94=0,"",'Drilling Spec'!$C$30),P93)</f>
        <v>759.86189926823249</v>
      </c>
      <c r="S93">
        <f t="shared" si="32"/>
        <v>46</v>
      </c>
      <c r="T93" s="10"/>
      <c r="U93">
        <f>IF('Baseline 1 - Perfect, 24hr'!L94&gt;'Baseline 1 - Perfect, 24hr'!S93,'Drilling Spec'!$C$36,)</f>
        <v>0</v>
      </c>
      <c r="W93" s="17">
        <f>(J93-'Drilling Spec'!$C$26)/'Drilling Spec'!$C$38</f>
        <v>108.99517641877463</v>
      </c>
      <c r="X93" s="17">
        <f t="shared" si="24"/>
        <v>0</v>
      </c>
      <c r="Y93" s="17">
        <f t="shared" si="25"/>
        <v>8.9951764187746335</v>
      </c>
      <c r="Z93" s="10"/>
      <c r="AA93">
        <f>IF(Y93&lt;'Drilling Spec'!$C$39,,'Drilling Spec'!$C$39)</f>
        <v>0</v>
      </c>
      <c r="AD93" s="16">
        <f t="shared" si="37"/>
        <v>-723.9710585126478</v>
      </c>
      <c r="AE93" s="16">
        <f t="shared" si="27"/>
        <v>-759.86189926823249</v>
      </c>
      <c r="AF93">
        <f>-'Drilling Spec'!$C$29</f>
        <v>-720</v>
      </c>
      <c r="AG93">
        <f>-'Drilling Spec'!$C$27</f>
        <v>-624</v>
      </c>
      <c r="AH93">
        <f>-'Drilling Spec'!$C$28</f>
        <v>-688</v>
      </c>
      <c r="AI93" t="e">
        <f t="shared" si="28"/>
        <v>#N/A</v>
      </c>
      <c r="AJ93" t="e">
        <f>IF(T93=0,NA(),-'Drilling Spec'!$C$26/2)</f>
        <v>#N/A</v>
      </c>
      <c r="AK93" t="e">
        <f>IF(U93=0,NA(),-'Drilling Spec'!$C$26/2)</f>
        <v>#N/A</v>
      </c>
      <c r="AL93" t="e">
        <f>IF(Z93=0,NA(),-'Drilling Spec'!$C$26*3/2)</f>
        <v>#N/A</v>
      </c>
      <c r="AM93" t="e">
        <f>IF(AA93=0,NA(),-'Drilling Spec'!$C$26*3/2)</f>
        <v>#N/A</v>
      </c>
    </row>
    <row r="94" spans="2:39" x14ac:dyDescent="0.35">
      <c r="B94" s="2">
        <f t="shared" si="34"/>
        <v>46062</v>
      </c>
      <c r="C94" t="str">
        <f t="shared" si="18"/>
        <v>Mon</v>
      </c>
      <c r="D94" s="10"/>
      <c r="E94" s="10"/>
      <c r="F94" s="4">
        <f t="shared" si="19"/>
        <v>0</v>
      </c>
      <c r="G94" s="4">
        <f t="shared" si="35"/>
        <v>816</v>
      </c>
      <c r="H94" s="4">
        <f t="shared" si="21"/>
        <v>0</v>
      </c>
      <c r="I94" s="15">
        <f>(SQRT(4*J93*J93*V*V + 'Drilling Spec'!$C$42*J93 + W*('Drilling Spec'!$C$43 + 2*l*V*(s*W + 2*V*H94/(1+e)) + 'Drilling Spec'!$C$44)) - 'Drilling Spec'!$C$45)/(2*V)</f>
        <v>723.9710585126478</v>
      </c>
      <c r="J94" s="16">
        <f>IF(AND(OR(J93=0,J93=""),G94=0),IF(G95=0,"",'Drilling Spec'!$C$26),I94)</f>
        <v>723.9710585126478</v>
      </c>
      <c r="K94" s="16">
        <f>MAX(0,J94-'Drilling Spec'!$C$30)</f>
        <v>643.9710585126478</v>
      </c>
      <c r="L94" s="18">
        <f>IFERROR(K94/'Drilling Spec'!$C$31,0)</f>
        <v>42.931403900843186</v>
      </c>
      <c r="M94" s="21">
        <f t="shared" si="36"/>
        <v>0</v>
      </c>
      <c r="N94" s="4">
        <f t="shared" si="29"/>
        <v>144</v>
      </c>
      <c r="O94" s="21">
        <f t="shared" si="23"/>
        <v>0</v>
      </c>
      <c r="P94" s="18">
        <f>(SQRT(4*P93*P93*vB*vB + 'Drilling Spec'!$C$48*P93 + WB*('Drilling Spec'!$C$49 + 2*lB*vB*(sB*WB + 2*vB*O94/(1+eB)) + 'Drilling Spec'!$C$50)) - 'Drilling Spec'!$C$51)/(2*vB)</f>
        <v>759.86189926823249</v>
      </c>
      <c r="Q94" s="18">
        <f>IF(AND(OR(R93=0,R93=""),N94=0),IF(N95=0,"",'Drilling Spec'!$C$30),P94)</f>
        <v>759.86189926823249</v>
      </c>
      <c r="S94">
        <f t="shared" si="32"/>
        <v>46</v>
      </c>
      <c r="T94" s="10"/>
      <c r="U94">
        <f>IF('Baseline 1 - Perfect, 24hr'!L95&gt;'Baseline 1 - Perfect, 24hr'!S94,'Drilling Spec'!$C$36,)</f>
        <v>0</v>
      </c>
      <c r="W94" s="17">
        <f>(J94-'Drilling Spec'!$C$26)/'Drilling Spec'!$C$38</f>
        <v>108.99517641877463</v>
      </c>
      <c r="X94" s="17">
        <f t="shared" si="24"/>
        <v>0</v>
      </c>
      <c r="Y94" s="17">
        <f t="shared" si="25"/>
        <v>8.9951764187746335</v>
      </c>
      <c r="Z94" s="10"/>
      <c r="AA94">
        <f>IF(Y94&lt;'Drilling Spec'!$C$39,,'Drilling Spec'!$C$39)</f>
        <v>0</v>
      </c>
      <c r="AD94" s="16">
        <f t="shared" si="37"/>
        <v>-723.9710585126478</v>
      </c>
      <c r="AE94" s="16">
        <f t="shared" si="27"/>
        <v>-759.86189926823249</v>
      </c>
      <c r="AF94">
        <f>-'Drilling Spec'!$C$29</f>
        <v>-720</v>
      </c>
      <c r="AG94">
        <f>-'Drilling Spec'!$C$27</f>
        <v>-624</v>
      </c>
      <c r="AH94">
        <f>-'Drilling Spec'!$C$28</f>
        <v>-688</v>
      </c>
      <c r="AI94" t="e">
        <f t="shared" si="28"/>
        <v>#N/A</v>
      </c>
      <c r="AJ94" t="e">
        <f>IF(T94=0,NA(),-'Drilling Spec'!$C$26/2)</f>
        <v>#N/A</v>
      </c>
      <c r="AK94" t="e">
        <f>IF(U94=0,NA(),-'Drilling Spec'!$C$26/2)</f>
        <v>#N/A</v>
      </c>
      <c r="AL94" t="e">
        <f>IF(Z94=0,NA(),-'Drilling Spec'!$C$26*3/2)</f>
        <v>#N/A</v>
      </c>
      <c r="AM94" t="e">
        <f>IF(AA94=0,NA(),-'Drilling Spec'!$C$26*3/2)</f>
        <v>#N/A</v>
      </c>
    </row>
    <row r="95" spans="2:39" x14ac:dyDescent="0.35">
      <c r="B95" s="2">
        <f t="shared" si="34"/>
        <v>46063</v>
      </c>
      <c r="C95" t="str">
        <f t="shared" si="18"/>
        <v>Tue</v>
      </c>
      <c r="D95" s="10"/>
      <c r="E95" s="10"/>
      <c r="F95" s="4">
        <f t="shared" si="19"/>
        <v>0</v>
      </c>
      <c r="G95" s="4">
        <f t="shared" si="35"/>
        <v>816</v>
      </c>
      <c r="H95" s="4">
        <f t="shared" si="21"/>
        <v>0</v>
      </c>
      <c r="I95" s="15">
        <f>(SQRT(4*J94*J94*V*V + 'Drilling Spec'!$C$42*J94 + W*('Drilling Spec'!$C$43 + 2*l*V*(s*W + 2*V*H95/(1+e)) + 'Drilling Spec'!$C$44)) - 'Drilling Spec'!$C$45)/(2*V)</f>
        <v>723.9710585126478</v>
      </c>
      <c r="J95" s="16">
        <f>IF(AND(OR(J94=0,J94=""),G95=0),IF(G96=0,"",'Drilling Spec'!$C$26),I95)</f>
        <v>723.9710585126478</v>
      </c>
      <c r="K95" s="16">
        <f>MAX(0,J95-'Drilling Spec'!$C$30)</f>
        <v>643.9710585126478</v>
      </c>
      <c r="L95" s="18">
        <f>IFERROR(K95/'Drilling Spec'!$C$31,0)</f>
        <v>42.931403900843186</v>
      </c>
      <c r="M95" s="21">
        <f t="shared" si="36"/>
        <v>0</v>
      </c>
      <c r="N95" s="4">
        <f t="shared" si="29"/>
        <v>144</v>
      </c>
      <c r="O95" s="21">
        <f t="shared" si="23"/>
        <v>0</v>
      </c>
      <c r="P95" s="18">
        <f>(SQRT(4*P94*P94*vB*vB + 'Drilling Spec'!$C$48*P94 + WB*('Drilling Spec'!$C$49 + 2*lB*vB*(sB*WB + 2*vB*O95/(1+eB)) + 'Drilling Spec'!$C$50)) - 'Drilling Spec'!$C$51)/(2*vB)</f>
        <v>759.86189926823249</v>
      </c>
      <c r="Q95" s="18">
        <f>IF(AND(OR(R94=0,R94=""),N95=0),IF(N96=0,"",'Drilling Spec'!$C$30),P95)</f>
        <v>759.86189926823249</v>
      </c>
      <c r="S95">
        <f t="shared" si="32"/>
        <v>46</v>
      </c>
      <c r="T95" s="10"/>
      <c r="U95">
        <f>IF('Baseline 1 - Perfect, 24hr'!L96&gt;'Baseline 1 - Perfect, 24hr'!S95,'Drilling Spec'!$C$36,)</f>
        <v>0</v>
      </c>
      <c r="W95" s="17">
        <f>(J95-'Drilling Spec'!$C$26)/'Drilling Spec'!$C$38</f>
        <v>108.99517641877463</v>
      </c>
      <c r="X95" s="17">
        <f t="shared" si="24"/>
        <v>0</v>
      </c>
      <c r="Y95" s="17">
        <f t="shared" si="25"/>
        <v>8.9951764187746335</v>
      </c>
      <c r="Z95" s="10"/>
      <c r="AA95">
        <f>IF(Y95&lt;'Drilling Spec'!$C$39,,'Drilling Spec'!$C$39)</f>
        <v>0</v>
      </c>
      <c r="AD95" s="16">
        <f t="shared" si="37"/>
        <v>-723.9710585126478</v>
      </c>
      <c r="AE95" s="16">
        <f t="shared" si="27"/>
        <v>-759.86189926823249</v>
      </c>
      <c r="AF95">
        <f>-'Drilling Spec'!$C$29</f>
        <v>-720</v>
      </c>
      <c r="AG95">
        <f>-'Drilling Spec'!$C$27</f>
        <v>-624</v>
      </c>
      <c r="AH95">
        <f>-'Drilling Spec'!$C$28</f>
        <v>-688</v>
      </c>
      <c r="AI95" t="e">
        <f t="shared" si="28"/>
        <v>#N/A</v>
      </c>
      <c r="AJ95" t="e">
        <f>IF(T95=0,NA(),-'Drilling Spec'!$C$26/2)</f>
        <v>#N/A</v>
      </c>
      <c r="AK95" t="e">
        <f>IF(U95=0,NA(),-'Drilling Spec'!$C$26/2)</f>
        <v>#N/A</v>
      </c>
      <c r="AL95" t="e">
        <f>IF(Z95=0,NA(),-'Drilling Spec'!$C$26*3/2)</f>
        <v>#N/A</v>
      </c>
      <c r="AM95" t="e">
        <f>IF(AA95=0,NA(),-'Drilling Spec'!$C$26*3/2)</f>
        <v>#N/A</v>
      </c>
    </row>
    <row r="96" spans="2:39" x14ac:dyDescent="0.35">
      <c r="B96" s="2">
        <f t="shared" si="34"/>
        <v>46064</v>
      </c>
      <c r="C96" t="str">
        <f t="shared" si="18"/>
        <v>Wed</v>
      </c>
      <c r="D96" s="10"/>
      <c r="E96" s="10"/>
      <c r="F96" s="4">
        <f t="shared" si="19"/>
        <v>0</v>
      </c>
      <c r="G96" s="4">
        <f t="shared" si="35"/>
        <v>816</v>
      </c>
      <c r="H96" s="4">
        <f t="shared" si="21"/>
        <v>0</v>
      </c>
      <c r="I96" s="15">
        <f>(SQRT(4*J95*J95*V*V + 'Drilling Spec'!$C$42*J95 + W*('Drilling Spec'!$C$43 + 2*l*V*(s*W + 2*V*H96/(1+e)) + 'Drilling Spec'!$C$44)) - 'Drilling Spec'!$C$45)/(2*V)</f>
        <v>723.9710585126478</v>
      </c>
      <c r="J96" s="16">
        <f>IF(AND(OR(J95=0,J95=""),G96=0),IF(G97=0,"",'Drilling Spec'!$C$26),I96)</f>
        <v>723.9710585126478</v>
      </c>
      <c r="K96" s="16">
        <f>MAX(0,J96-'Drilling Spec'!$C$30)</f>
        <v>643.9710585126478</v>
      </c>
      <c r="L96" s="18">
        <f>IFERROR(K96/'Drilling Spec'!$C$31,0)</f>
        <v>42.931403900843186</v>
      </c>
      <c r="M96" s="21">
        <f t="shared" si="36"/>
        <v>0</v>
      </c>
      <c r="N96" s="4">
        <f t="shared" si="29"/>
        <v>144</v>
      </c>
      <c r="O96" s="21">
        <f t="shared" si="23"/>
        <v>0</v>
      </c>
      <c r="P96" s="18">
        <f>(SQRT(4*P95*P95*vB*vB + 'Drilling Spec'!$C$48*P95 + WB*('Drilling Spec'!$C$49 + 2*lB*vB*(sB*WB + 2*vB*O96/(1+eB)) + 'Drilling Spec'!$C$50)) - 'Drilling Spec'!$C$51)/(2*vB)</f>
        <v>759.86189926823249</v>
      </c>
      <c r="Q96" s="18">
        <f>IF(AND(OR(R95=0,R95=""),N96=0),IF(N97=0,"",'Drilling Spec'!$C$30),P96)</f>
        <v>759.86189926823249</v>
      </c>
      <c r="S96">
        <f t="shared" si="32"/>
        <v>46</v>
      </c>
      <c r="T96" s="10"/>
      <c r="U96">
        <f>IF('Baseline 1 - Perfect, 24hr'!L97&gt;'Baseline 1 - Perfect, 24hr'!S96,'Drilling Spec'!$C$36,)</f>
        <v>0</v>
      </c>
      <c r="W96" s="17">
        <f>(J96-'Drilling Spec'!$C$26)/'Drilling Spec'!$C$38</f>
        <v>108.99517641877463</v>
      </c>
      <c r="X96" s="17">
        <f t="shared" si="24"/>
        <v>0</v>
      </c>
      <c r="Y96" s="17">
        <f t="shared" si="25"/>
        <v>8.9951764187746335</v>
      </c>
      <c r="Z96" s="10"/>
      <c r="AA96">
        <f>IF(Y96&lt;'Drilling Spec'!$C$39,,'Drilling Spec'!$C$39)</f>
        <v>0</v>
      </c>
      <c r="AD96" s="16">
        <f t="shared" si="37"/>
        <v>-723.9710585126478</v>
      </c>
      <c r="AE96" s="16">
        <f t="shared" si="27"/>
        <v>-759.86189926823249</v>
      </c>
      <c r="AF96">
        <f>-'Drilling Spec'!$C$29</f>
        <v>-720</v>
      </c>
      <c r="AG96">
        <f>-'Drilling Spec'!$C$27</f>
        <v>-624</v>
      </c>
      <c r="AH96">
        <f>-'Drilling Spec'!$C$28</f>
        <v>-688</v>
      </c>
      <c r="AI96" t="e">
        <f t="shared" si="28"/>
        <v>#N/A</v>
      </c>
      <c r="AJ96" t="e">
        <f>IF(T96=0,NA(),-'Drilling Spec'!$C$26/2)</f>
        <v>#N/A</v>
      </c>
      <c r="AK96" t="e">
        <f>IF(U96=0,NA(),-'Drilling Spec'!$C$26/2)</f>
        <v>#N/A</v>
      </c>
      <c r="AL96" t="e">
        <f>IF(Z96=0,NA(),-'Drilling Spec'!$C$26*3/2)</f>
        <v>#N/A</v>
      </c>
      <c r="AM96" t="e">
        <f>IF(AA96=0,NA(),-'Drilling Spec'!$C$26*3/2)</f>
        <v>#N/A</v>
      </c>
    </row>
    <row r="97" spans="2:39" x14ac:dyDescent="0.35">
      <c r="B97" s="2">
        <f t="shared" si="34"/>
        <v>46065</v>
      </c>
      <c r="C97" t="str">
        <f t="shared" si="18"/>
        <v>Thu</v>
      </c>
      <c r="D97" s="10"/>
      <c r="E97" s="10"/>
      <c r="F97" s="4">
        <f t="shared" si="19"/>
        <v>0</v>
      </c>
      <c r="G97" s="4">
        <f t="shared" si="35"/>
        <v>816</v>
      </c>
      <c r="H97" s="4">
        <f t="shared" si="21"/>
        <v>0</v>
      </c>
      <c r="I97" s="15">
        <f>(SQRT(4*J96*J96*V*V + 'Drilling Spec'!$C$42*J96 + W*('Drilling Spec'!$C$43 + 2*l*V*(s*W + 2*V*H97/(1+e)) + 'Drilling Spec'!$C$44)) - 'Drilling Spec'!$C$45)/(2*V)</f>
        <v>723.9710585126478</v>
      </c>
      <c r="J97" s="16">
        <f>IF(AND(OR(J96=0,J96=""),G97=0),IF(G98=0,"",'Drilling Spec'!$C$26),I97)</f>
        <v>723.9710585126478</v>
      </c>
      <c r="K97" s="16">
        <f>MAX(0,J97-'Drilling Spec'!$C$30)</f>
        <v>643.9710585126478</v>
      </c>
      <c r="L97" s="18">
        <f>IFERROR(K97/'Drilling Spec'!$C$31,0)</f>
        <v>42.931403900843186</v>
      </c>
      <c r="M97" s="21">
        <f t="shared" si="36"/>
        <v>0</v>
      </c>
      <c r="N97" s="4">
        <f t="shared" si="29"/>
        <v>144</v>
      </c>
      <c r="O97" s="21">
        <f t="shared" si="23"/>
        <v>0</v>
      </c>
      <c r="P97" s="18">
        <f>(SQRT(4*P96*P96*vB*vB + 'Drilling Spec'!$C$48*P96 + WB*('Drilling Spec'!$C$49 + 2*lB*vB*(sB*WB + 2*vB*O97/(1+eB)) + 'Drilling Spec'!$C$50)) - 'Drilling Spec'!$C$51)/(2*vB)</f>
        <v>759.86189926823249</v>
      </c>
      <c r="Q97" s="18">
        <f>IF(AND(OR(R96=0,R96=""),N97=0),IF(N98=0,"",'Drilling Spec'!$C$30),P97)</f>
        <v>759.86189926823249</v>
      </c>
      <c r="S97">
        <f t="shared" si="32"/>
        <v>46</v>
      </c>
      <c r="T97" s="10"/>
      <c r="U97">
        <f>IF('Baseline 1 - Perfect, 24hr'!L98&gt;'Baseline 1 - Perfect, 24hr'!S97,'Drilling Spec'!$C$36,)</f>
        <v>0</v>
      </c>
      <c r="W97" s="17">
        <f>(J97-'Drilling Spec'!$C$26)/'Drilling Spec'!$C$38</f>
        <v>108.99517641877463</v>
      </c>
      <c r="X97" s="17">
        <f t="shared" si="24"/>
        <v>0</v>
      </c>
      <c r="Y97" s="17">
        <f t="shared" si="25"/>
        <v>8.9951764187746335</v>
      </c>
      <c r="Z97" s="10"/>
      <c r="AA97">
        <f>IF(Y97&lt;'Drilling Spec'!$C$39,,'Drilling Spec'!$C$39)</f>
        <v>0</v>
      </c>
      <c r="AD97" s="16">
        <f t="shared" si="37"/>
        <v>-723.9710585126478</v>
      </c>
      <c r="AE97" s="16">
        <f t="shared" si="27"/>
        <v>-759.86189926823249</v>
      </c>
      <c r="AF97">
        <f>-'Drilling Spec'!$C$29</f>
        <v>-720</v>
      </c>
      <c r="AG97">
        <f>-'Drilling Spec'!$C$27</f>
        <v>-624</v>
      </c>
      <c r="AH97">
        <f>-'Drilling Spec'!$C$28</f>
        <v>-688</v>
      </c>
      <c r="AI97" t="e">
        <f t="shared" si="28"/>
        <v>#N/A</v>
      </c>
      <c r="AJ97" t="e">
        <f>IF(T97=0,NA(),-'Drilling Spec'!$C$26/2)</f>
        <v>#N/A</v>
      </c>
      <c r="AK97" t="e">
        <f>IF(U97=0,NA(),-'Drilling Spec'!$C$26/2)</f>
        <v>#N/A</v>
      </c>
      <c r="AL97" t="e">
        <f>IF(Z97=0,NA(),-'Drilling Spec'!$C$26*3/2)</f>
        <v>#N/A</v>
      </c>
      <c r="AM97" t="e">
        <f>IF(AA97=0,NA(),-'Drilling Spec'!$C$26*3/2)</f>
        <v>#N/A</v>
      </c>
    </row>
    <row r="98" spans="2:39" x14ac:dyDescent="0.35">
      <c r="B98" s="2">
        <f t="shared" si="34"/>
        <v>46066</v>
      </c>
      <c r="C98" t="str">
        <f t="shared" si="18"/>
        <v>Fri</v>
      </c>
      <c r="D98" s="10"/>
      <c r="E98" s="10"/>
      <c r="F98" s="4">
        <f t="shared" si="19"/>
        <v>0</v>
      </c>
      <c r="G98" s="4">
        <f t="shared" si="35"/>
        <v>816</v>
      </c>
      <c r="H98" s="4">
        <f t="shared" si="21"/>
        <v>0</v>
      </c>
      <c r="I98" s="15">
        <f>(SQRT(4*J97*J97*V*V + 'Drilling Spec'!$C$42*J97 + W*('Drilling Spec'!$C$43 + 2*l*V*(s*W + 2*V*H98/(1+e)) + 'Drilling Spec'!$C$44)) - 'Drilling Spec'!$C$45)/(2*V)</f>
        <v>723.9710585126478</v>
      </c>
      <c r="J98" s="16">
        <f>IF(AND(OR(J97=0,J97=""),G98=0),IF(G99=0,"",'Drilling Spec'!$C$26),I98)</f>
        <v>723.9710585126478</v>
      </c>
      <c r="K98" s="16">
        <f>MAX(0,J98-'Drilling Spec'!$C$30)</f>
        <v>643.9710585126478</v>
      </c>
      <c r="L98" s="18">
        <f>IFERROR(K98/'Drilling Spec'!$C$31,0)</f>
        <v>42.931403900843186</v>
      </c>
      <c r="M98" s="21">
        <f t="shared" si="36"/>
        <v>0</v>
      </c>
      <c r="N98" s="4">
        <f t="shared" si="29"/>
        <v>144</v>
      </c>
      <c r="O98" s="21">
        <f t="shared" si="23"/>
        <v>0</v>
      </c>
      <c r="P98" s="18">
        <f>(SQRT(4*P97*P97*vB*vB + 'Drilling Spec'!$C$48*P97 + WB*('Drilling Spec'!$C$49 + 2*lB*vB*(sB*WB + 2*vB*O98/(1+eB)) + 'Drilling Spec'!$C$50)) - 'Drilling Spec'!$C$51)/(2*vB)</f>
        <v>759.86189926823249</v>
      </c>
      <c r="Q98" s="18">
        <f>IF(AND(OR(R97=0,R97=""),N98=0),IF(N99=0,"",'Drilling Spec'!$C$30),P98)</f>
        <v>759.86189926823249</v>
      </c>
      <c r="S98">
        <f t="shared" si="32"/>
        <v>46</v>
      </c>
      <c r="T98" s="10"/>
      <c r="U98">
        <f>IF('Baseline 1 - Perfect, 24hr'!L99&gt;'Baseline 1 - Perfect, 24hr'!S98,'Drilling Spec'!$C$36,)</f>
        <v>0</v>
      </c>
      <c r="W98" s="17">
        <f>(J98-'Drilling Spec'!$C$26)/'Drilling Spec'!$C$38</f>
        <v>108.99517641877463</v>
      </c>
      <c r="X98" s="17">
        <f t="shared" si="24"/>
        <v>0</v>
      </c>
      <c r="Y98" s="17">
        <f t="shared" si="25"/>
        <v>8.9951764187746335</v>
      </c>
      <c r="Z98" s="10"/>
      <c r="AA98">
        <f>IF(Y98&lt;'Drilling Spec'!$C$39,,'Drilling Spec'!$C$39)</f>
        <v>0</v>
      </c>
      <c r="AD98" s="16">
        <f t="shared" si="37"/>
        <v>-723.9710585126478</v>
      </c>
      <c r="AE98" s="16">
        <f t="shared" si="27"/>
        <v>-759.86189926823249</v>
      </c>
      <c r="AF98">
        <f>-'Drilling Spec'!$C$29</f>
        <v>-720</v>
      </c>
      <c r="AG98">
        <f>-'Drilling Spec'!$C$27</f>
        <v>-624</v>
      </c>
      <c r="AH98">
        <f>-'Drilling Spec'!$C$28</f>
        <v>-688</v>
      </c>
      <c r="AI98" t="e">
        <f t="shared" si="28"/>
        <v>#N/A</v>
      </c>
      <c r="AJ98" t="e">
        <f>IF(T98=0,NA(),-'Drilling Spec'!$C$26/2)</f>
        <v>#N/A</v>
      </c>
      <c r="AK98" t="e">
        <f>IF(U98=0,NA(),-'Drilling Spec'!$C$26/2)</f>
        <v>#N/A</v>
      </c>
      <c r="AL98" t="e">
        <f>IF(Z98=0,NA(),-'Drilling Spec'!$C$26*3/2)</f>
        <v>#N/A</v>
      </c>
      <c r="AM98" t="e">
        <f>IF(AA98=0,NA(),-'Drilling Spec'!$C$26*3/2)</f>
        <v>#N/A</v>
      </c>
    </row>
    <row r="99" spans="2:39" x14ac:dyDescent="0.35">
      <c r="B99" s="2">
        <f t="shared" si="34"/>
        <v>46067</v>
      </c>
      <c r="C99" t="str">
        <f t="shared" si="18"/>
        <v>Sat</v>
      </c>
      <c r="D99" s="10"/>
      <c r="E99" s="10"/>
      <c r="F99" s="4">
        <f t="shared" si="19"/>
        <v>0</v>
      </c>
      <c r="G99" s="4">
        <f t="shared" si="35"/>
        <v>816</v>
      </c>
      <c r="H99" s="4">
        <f t="shared" si="21"/>
        <v>0</v>
      </c>
      <c r="I99" s="15">
        <f>(SQRT(4*J98*J98*V*V + 'Drilling Spec'!$C$42*J98 + W*('Drilling Spec'!$C$43 + 2*l*V*(s*W + 2*V*H99/(1+e)) + 'Drilling Spec'!$C$44)) - 'Drilling Spec'!$C$45)/(2*V)</f>
        <v>723.9710585126478</v>
      </c>
      <c r="J99" s="16">
        <f>IF(AND(OR(J98=0,J98=""),G99=0),IF(G100=0,"",'Drilling Spec'!$C$26),I99)</f>
        <v>723.9710585126478</v>
      </c>
      <c r="K99" s="16">
        <f>MAX(0,J99-'Drilling Spec'!$C$30)</f>
        <v>643.9710585126478</v>
      </c>
      <c r="L99" s="18">
        <f>IFERROR(K99/'Drilling Spec'!$C$31,0)</f>
        <v>42.931403900843186</v>
      </c>
      <c r="M99" s="21">
        <f t="shared" si="36"/>
        <v>0</v>
      </c>
      <c r="N99" s="4">
        <f t="shared" si="29"/>
        <v>144</v>
      </c>
      <c r="O99" s="21">
        <f t="shared" si="23"/>
        <v>0</v>
      </c>
      <c r="P99" s="18">
        <f>(SQRT(4*P98*P98*vB*vB + 'Drilling Spec'!$C$48*P98 + WB*('Drilling Spec'!$C$49 + 2*lB*vB*(sB*WB + 2*vB*O99/(1+eB)) + 'Drilling Spec'!$C$50)) - 'Drilling Spec'!$C$51)/(2*vB)</f>
        <v>759.86189926823249</v>
      </c>
      <c r="Q99" s="18">
        <f>IF(AND(OR(R98=0,R98=""),N99=0),IF(N100=0,"",'Drilling Spec'!$C$30),P99)</f>
        <v>759.86189926823249</v>
      </c>
      <c r="S99">
        <f t="shared" si="32"/>
        <v>46</v>
      </c>
      <c r="T99" s="10"/>
      <c r="U99">
        <f>IF('Baseline 1 - Perfect, 24hr'!L100&gt;'Baseline 1 - Perfect, 24hr'!S99,'Drilling Spec'!$C$36,)</f>
        <v>0</v>
      </c>
      <c r="W99" s="17">
        <f>(J99-'Drilling Spec'!$C$26)/'Drilling Spec'!$C$38</f>
        <v>108.99517641877463</v>
      </c>
      <c r="X99" s="17">
        <f t="shared" si="24"/>
        <v>0</v>
      </c>
      <c r="Y99" s="17">
        <f t="shared" ref="Y99:Y112" si="38">Y98+X99-Z99-AA98</f>
        <v>8.9951764187746335</v>
      </c>
      <c r="Z99" s="10"/>
      <c r="AA99">
        <f>IF(Y99&lt;'Drilling Spec'!$C$39,,'Drilling Spec'!$C$39)</f>
        <v>0</v>
      </c>
      <c r="AD99" s="16">
        <f t="shared" si="37"/>
        <v>-723.9710585126478</v>
      </c>
      <c r="AE99" s="16">
        <f t="shared" si="27"/>
        <v>-759.86189926823249</v>
      </c>
      <c r="AF99">
        <f>-'Drilling Spec'!$C$29</f>
        <v>-720</v>
      </c>
      <c r="AG99">
        <f>-'Drilling Spec'!$C$27</f>
        <v>-624</v>
      </c>
      <c r="AH99">
        <f>-'Drilling Spec'!$C$28</f>
        <v>-688</v>
      </c>
      <c r="AI99" t="e">
        <f t="shared" si="28"/>
        <v>#N/A</v>
      </c>
      <c r="AJ99" t="e">
        <f>IF(T99=0,NA(),-'Drilling Spec'!$C$26/2)</f>
        <v>#N/A</v>
      </c>
      <c r="AK99" t="e">
        <f>IF(U99=0,NA(),-'Drilling Spec'!$C$26/2)</f>
        <v>#N/A</v>
      </c>
      <c r="AL99" t="e">
        <f>IF(Z99=0,NA(),-'Drilling Spec'!$C$26*3/2)</f>
        <v>#N/A</v>
      </c>
      <c r="AM99" t="e">
        <f>IF(AA99=0,NA(),-'Drilling Spec'!$C$26*3/2)</f>
        <v>#N/A</v>
      </c>
    </row>
    <row r="100" spans="2:39" x14ac:dyDescent="0.35">
      <c r="B100" s="2">
        <f t="shared" si="34"/>
        <v>46068</v>
      </c>
      <c r="C100" t="str">
        <f t="shared" si="18"/>
        <v>Sun</v>
      </c>
      <c r="D100" s="10"/>
      <c r="E100" s="10"/>
      <c r="F100" s="4">
        <f t="shared" si="19"/>
        <v>0</v>
      </c>
      <c r="G100" s="4">
        <f t="shared" si="35"/>
        <v>816</v>
      </c>
      <c r="H100" s="4">
        <f t="shared" si="21"/>
        <v>0</v>
      </c>
      <c r="I100" s="15">
        <f>(SQRT(4*J99*J99*V*V + 'Drilling Spec'!$C$42*J99 + W*('Drilling Spec'!$C$43 + 2*l*V*(s*W + 2*V*H100/(1+e)) + 'Drilling Spec'!$C$44)) - 'Drilling Spec'!$C$45)/(2*V)</f>
        <v>723.9710585126478</v>
      </c>
      <c r="J100" s="16">
        <f>IF(AND(OR(J99=0,J99=""),G100=0),IF(G101=0,"",'Drilling Spec'!$C$26),I100)</f>
        <v>723.9710585126478</v>
      </c>
      <c r="K100" s="16">
        <f>MAX(0,J100-'Drilling Spec'!$C$30)</f>
        <v>643.9710585126478</v>
      </c>
      <c r="L100" s="18">
        <f>IFERROR(K100/'Drilling Spec'!$C$31,0)</f>
        <v>42.931403900843186</v>
      </c>
      <c r="M100" s="21">
        <f t="shared" si="36"/>
        <v>0</v>
      </c>
      <c r="N100" s="4">
        <f t="shared" si="29"/>
        <v>144</v>
      </c>
      <c r="O100" s="21">
        <f t="shared" si="23"/>
        <v>0</v>
      </c>
      <c r="P100" s="18">
        <f>(SQRT(4*P99*P99*vB*vB + 'Drilling Spec'!$C$48*P99 + WB*('Drilling Spec'!$C$49 + 2*lB*vB*(sB*WB + 2*vB*O100/(1+eB)) + 'Drilling Spec'!$C$50)) - 'Drilling Spec'!$C$51)/(2*vB)</f>
        <v>759.86189926823249</v>
      </c>
      <c r="Q100" s="18">
        <f>IF(AND(OR(R99=0,R99=""),N100=0),IF(N101=0,"",'Drilling Spec'!$C$30),P100)</f>
        <v>759.86189926823249</v>
      </c>
      <c r="S100">
        <f t="shared" si="32"/>
        <v>46</v>
      </c>
      <c r="T100" s="10"/>
      <c r="U100">
        <f>IF('Baseline 1 - Perfect, 24hr'!L101&gt;'Baseline 1 - Perfect, 24hr'!S100,'Drilling Spec'!$C$36,)</f>
        <v>0</v>
      </c>
      <c r="W100" s="17">
        <f>(J100-'Drilling Spec'!$C$26)/'Drilling Spec'!$C$38</f>
        <v>108.99517641877463</v>
      </c>
      <c r="X100" s="17">
        <f t="shared" si="24"/>
        <v>0</v>
      </c>
      <c r="Y100" s="17">
        <f t="shared" si="38"/>
        <v>8.9951764187746335</v>
      </c>
      <c r="Z100" s="10"/>
      <c r="AA100">
        <f>IF(Y100&lt;'Drilling Spec'!$C$39,,'Drilling Spec'!$C$39)</f>
        <v>0</v>
      </c>
      <c r="AD100" s="16">
        <f t="shared" si="37"/>
        <v>-723.9710585126478</v>
      </c>
      <c r="AE100" s="16">
        <f t="shared" si="27"/>
        <v>-759.86189926823249</v>
      </c>
      <c r="AF100">
        <f>-'Drilling Spec'!$C$29</f>
        <v>-720</v>
      </c>
      <c r="AG100">
        <f>-'Drilling Spec'!$C$27</f>
        <v>-624</v>
      </c>
      <c r="AH100">
        <f>-'Drilling Spec'!$C$28</f>
        <v>-688</v>
      </c>
      <c r="AI100" t="e">
        <f t="shared" si="28"/>
        <v>#N/A</v>
      </c>
      <c r="AJ100" t="e">
        <f>IF(T100=0,NA(),-'Drilling Spec'!$C$26/2)</f>
        <v>#N/A</v>
      </c>
      <c r="AK100" t="e">
        <f>IF(U100=0,NA(),-'Drilling Spec'!$C$26/2)</f>
        <v>#N/A</v>
      </c>
      <c r="AL100" t="e">
        <f>IF(Z100=0,NA(),-'Drilling Spec'!$C$26*3/2)</f>
        <v>#N/A</v>
      </c>
      <c r="AM100" t="e">
        <f>IF(AA100=0,NA(),-'Drilling Spec'!$C$26*3/2)</f>
        <v>#N/A</v>
      </c>
    </row>
    <row r="101" spans="2:39" x14ac:dyDescent="0.35">
      <c r="B101" s="2">
        <f t="shared" si="34"/>
        <v>46069</v>
      </c>
      <c r="C101" t="str">
        <f t="shared" si="18"/>
        <v>Mon</v>
      </c>
      <c r="D101" s="10"/>
      <c r="E101" s="10"/>
      <c r="F101" s="4">
        <f t="shared" si="19"/>
        <v>0</v>
      </c>
      <c r="G101" s="4">
        <f t="shared" si="35"/>
        <v>816</v>
      </c>
      <c r="H101" s="4">
        <f t="shared" si="21"/>
        <v>0</v>
      </c>
      <c r="I101" s="15">
        <f>(SQRT(4*J100*J100*V*V + 'Drilling Spec'!$C$42*J100 + W*('Drilling Spec'!$C$43 + 2*l*V*(s*W + 2*V*H101/(1+e)) + 'Drilling Spec'!$C$44)) - 'Drilling Spec'!$C$45)/(2*V)</f>
        <v>723.9710585126478</v>
      </c>
      <c r="J101" s="16">
        <f>IF(AND(OR(J100=0,J100=""),G101=0),IF(G102=0,"",'Drilling Spec'!$C$26),I101)</f>
        <v>723.9710585126478</v>
      </c>
      <c r="K101" s="16">
        <f>MAX(0,J101-'Drilling Spec'!$C$30)</f>
        <v>643.9710585126478</v>
      </c>
      <c r="L101" s="18">
        <f>IFERROR(K101/'Drilling Spec'!$C$31,0)</f>
        <v>42.931403900843186</v>
      </c>
      <c r="M101" s="21">
        <f t="shared" si="36"/>
        <v>0</v>
      </c>
      <c r="N101" s="4">
        <f t="shared" si="29"/>
        <v>144</v>
      </c>
      <c r="O101" s="21">
        <f t="shared" si="23"/>
        <v>0</v>
      </c>
      <c r="P101" s="18">
        <f>(SQRT(4*P100*P100*vB*vB + 'Drilling Spec'!$C$48*P100 + WB*('Drilling Spec'!$C$49 + 2*lB*vB*(sB*WB + 2*vB*O101/(1+eB)) + 'Drilling Spec'!$C$50)) - 'Drilling Spec'!$C$51)/(2*vB)</f>
        <v>759.86189926823249</v>
      </c>
      <c r="Q101" s="18">
        <f>IF(AND(OR(R100=0,R100=""),N101=0),IF(N102=0,"",'Drilling Spec'!$C$30),P101)</f>
        <v>759.86189926823249</v>
      </c>
      <c r="S101">
        <f t="shared" si="32"/>
        <v>46</v>
      </c>
      <c r="T101" s="10"/>
      <c r="U101">
        <f>IF('Baseline 1 - Perfect, 24hr'!L102&gt;'Baseline 1 - Perfect, 24hr'!S101,'Drilling Spec'!$C$36,)</f>
        <v>0</v>
      </c>
      <c r="W101" s="17">
        <f>(J101-'Drilling Spec'!$C$26)/'Drilling Spec'!$C$38</f>
        <v>108.99517641877463</v>
      </c>
      <c r="X101" s="17">
        <f t="shared" si="24"/>
        <v>0</v>
      </c>
      <c r="Y101" s="17">
        <f t="shared" si="38"/>
        <v>8.9951764187746335</v>
      </c>
      <c r="Z101" s="10"/>
      <c r="AA101">
        <f>IF(Y101&lt;'Drilling Spec'!$C$39,,'Drilling Spec'!$C$39)</f>
        <v>0</v>
      </c>
      <c r="AD101" s="16">
        <f t="shared" si="37"/>
        <v>-723.9710585126478</v>
      </c>
      <c r="AE101" s="16">
        <f t="shared" si="27"/>
        <v>-759.86189926823249</v>
      </c>
      <c r="AF101">
        <f>-'Drilling Spec'!$C$29</f>
        <v>-720</v>
      </c>
      <c r="AG101">
        <f>-'Drilling Spec'!$C$27</f>
        <v>-624</v>
      </c>
      <c r="AH101">
        <f>-'Drilling Spec'!$C$28</f>
        <v>-688</v>
      </c>
      <c r="AI101" t="e">
        <f t="shared" si="28"/>
        <v>#N/A</v>
      </c>
      <c r="AJ101" t="e">
        <f>IF(T101=0,NA(),-'Drilling Spec'!$C$26/2)</f>
        <v>#N/A</v>
      </c>
      <c r="AK101" t="e">
        <f>IF(U101=0,NA(),-'Drilling Spec'!$C$26/2)</f>
        <v>#N/A</v>
      </c>
      <c r="AL101" t="e">
        <f>IF(Z101=0,NA(),-'Drilling Spec'!$C$26*3/2)</f>
        <v>#N/A</v>
      </c>
      <c r="AM101" t="e">
        <f>IF(AA101=0,NA(),-'Drilling Spec'!$C$26*3/2)</f>
        <v>#N/A</v>
      </c>
    </row>
    <row r="102" spans="2:39" x14ac:dyDescent="0.35">
      <c r="B102" s="2">
        <f t="shared" si="34"/>
        <v>46070</v>
      </c>
      <c r="C102" t="str">
        <f t="shared" si="18"/>
        <v>Tue</v>
      </c>
      <c r="D102" s="10"/>
      <c r="E102" s="10"/>
      <c r="F102" s="4">
        <f t="shared" si="19"/>
        <v>0</v>
      </c>
      <c r="G102" s="4">
        <f t="shared" si="35"/>
        <v>816</v>
      </c>
      <c r="H102" s="4">
        <f t="shared" si="21"/>
        <v>0</v>
      </c>
      <c r="I102" s="15">
        <f>(SQRT(4*J101*J101*V*V + 'Drilling Spec'!$C$42*J101 + W*('Drilling Spec'!$C$43 + 2*l*V*(s*W + 2*V*H102/(1+e)) + 'Drilling Spec'!$C$44)) - 'Drilling Spec'!$C$45)/(2*V)</f>
        <v>723.9710585126478</v>
      </c>
      <c r="J102" s="16">
        <f>IF(AND(OR(J101=0,J101=""),G102=0),IF(G103=0,"",'Drilling Spec'!$C$26),I102)</f>
        <v>723.9710585126478</v>
      </c>
      <c r="K102" s="16">
        <f>MAX(0,J102-'Drilling Spec'!$C$30)</f>
        <v>643.9710585126478</v>
      </c>
      <c r="L102" s="18">
        <f>IFERROR(K102/'Drilling Spec'!$C$31,0)</f>
        <v>42.931403900843186</v>
      </c>
      <c r="M102" s="21">
        <f t="shared" si="36"/>
        <v>0</v>
      </c>
      <c r="N102" s="4">
        <f t="shared" si="29"/>
        <v>144</v>
      </c>
      <c r="O102" s="21">
        <f t="shared" si="23"/>
        <v>0</v>
      </c>
      <c r="P102" s="18">
        <f>(SQRT(4*P101*P101*vB*vB + 'Drilling Spec'!$C$48*P101 + WB*('Drilling Spec'!$C$49 + 2*lB*vB*(sB*WB + 2*vB*O102/(1+eB)) + 'Drilling Spec'!$C$50)) - 'Drilling Spec'!$C$51)/(2*vB)</f>
        <v>759.86189926823249</v>
      </c>
      <c r="Q102" s="18">
        <f>IF(AND(OR(R101=0,R101=""),N102=0),IF(N103=0,"",'Drilling Spec'!$C$30),P102)</f>
        <v>759.86189926823249</v>
      </c>
      <c r="S102">
        <f t="shared" si="32"/>
        <v>46</v>
      </c>
      <c r="T102" s="10"/>
      <c r="U102">
        <f>IF('Baseline 1 - Perfect, 24hr'!L103&gt;'Baseline 1 - Perfect, 24hr'!S102,'Drilling Spec'!$C$36,)</f>
        <v>0</v>
      </c>
      <c r="W102" s="17">
        <f>(J102-'Drilling Spec'!$C$26)/'Drilling Spec'!$C$38</f>
        <v>108.99517641877463</v>
      </c>
      <c r="X102" s="17">
        <f t="shared" si="24"/>
        <v>0</v>
      </c>
      <c r="Y102" s="17">
        <f t="shared" si="38"/>
        <v>8.9951764187746335</v>
      </c>
      <c r="Z102" s="10"/>
      <c r="AA102">
        <f>IF(Y102&lt;'Drilling Spec'!$C$39,,'Drilling Spec'!$C$39)</f>
        <v>0</v>
      </c>
      <c r="AD102" s="16">
        <f t="shared" si="37"/>
        <v>-723.9710585126478</v>
      </c>
      <c r="AE102" s="16">
        <f t="shared" si="27"/>
        <v>-759.86189926823249</v>
      </c>
      <c r="AF102">
        <f>-'Drilling Spec'!$C$29</f>
        <v>-720</v>
      </c>
      <c r="AG102">
        <f>-'Drilling Spec'!$C$27</f>
        <v>-624</v>
      </c>
      <c r="AH102">
        <f>-'Drilling Spec'!$C$28</f>
        <v>-688</v>
      </c>
      <c r="AI102" t="e">
        <f t="shared" si="28"/>
        <v>#N/A</v>
      </c>
      <c r="AJ102" t="e">
        <f>IF(T102=0,NA(),-'Drilling Spec'!$C$26/2)</f>
        <v>#N/A</v>
      </c>
      <c r="AK102" t="e">
        <f>IF(U102=0,NA(),-'Drilling Spec'!$C$26/2)</f>
        <v>#N/A</v>
      </c>
      <c r="AL102" t="e">
        <f>IF(Z102=0,NA(),-'Drilling Spec'!$C$26*3/2)</f>
        <v>#N/A</v>
      </c>
      <c r="AM102" t="e">
        <f>IF(AA102=0,NA(),-'Drilling Spec'!$C$26*3/2)</f>
        <v>#N/A</v>
      </c>
    </row>
    <row r="103" spans="2:39" x14ac:dyDescent="0.35">
      <c r="B103" s="2">
        <f t="shared" si="34"/>
        <v>46071</v>
      </c>
      <c r="C103" t="str">
        <f t="shared" si="18"/>
        <v>Wed</v>
      </c>
      <c r="D103" s="10"/>
      <c r="E103" s="10"/>
      <c r="F103" s="4">
        <f t="shared" si="19"/>
        <v>0</v>
      </c>
      <c r="G103" s="4">
        <f t="shared" si="35"/>
        <v>816</v>
      </c>
      <c r="H103" s="4">
        <f t="shared" si="21"/>
        <v>0</v>
      </c>
      <c r="I103" s="15">
        <f>(SQRT(4*J102*J102*V*V + 'Drilling Spec'!$C$42*J102 + W*('Drilling Spec'!$C$43 + 2*l*V*(s*W + 2*V*H103/(1+e)) + 'Drilling Spec'!$C$44)) - 'Drilling Spec'!$C$45)/(2*V)</f>
        <v>723.9710585126478</v>
      </c>
      <c r="J103" s="16">
        <f>IF(AND(OR(J102=0,J102=""),G103=0),IF(G104=0,"",'Drilling Spec'!$C$26),I103)</f>
        <v>723.9710585126478</v>
      </c>
      <c r="K103" s="16">
        <f>MAX(0,J103-'Drilling Spec'!$C$30)</f>
        <v>643.9710585126478</v>
      </c>
      <c r="L103" s="18">
        <f>IFERROR(K103/'Drilling Spec'!$C$31,0)</f>
        <v>42.931403900843186</v>
      </c>
      <c r="M103" s="21">
        <f t="shared" si="36"/>
        <v>0</v>
      </c>
      <c r="N103" s="4">
        <f t="shared" si="29"/>
        <v>144</v>
      </c>
      <c r="O103" s="21">
        <f t="shared" si="23"/>
        <v>0</v>
      </c>
      <c r="P103" s="18">
        <f>(SQRT(4*P102*P102*vB*vB + 'Drilling Spec'!$C$48*P102 + WB*('Drilling Spec'!$C$49 + 2*lB*vB*(sB*WB + 2*vB*O103/(1+eB)) + 'Drilling Spec'!$C$50)) - 'Drilling Spec'!$C$51)/(2*vB)</f>
        <v>759.86189926823249</v>
      </c>
      <c r="Q103" s="18">
        <f>IF(AND(OR(R102=0,R102=""),N103=0),IF(N104=0,"",'Drilling Spec'!$C$30),P103)</f>
        <v>759.86189926823249</v>
      </c>
      <c r="S103">
        <f t="shared" si="32"/>
        <v>46</v>
      </c>
      <c r="T103" s="10"/>
      <c r="U103">
        <f>IF('Baseline 1 - Perfect, 24hr'!L104&gt;'Baseline 1 - Perfect, 24hr'!S103,'Drilling Spec'!$C$36,)</f>
        <v>0</v>
      </c>
      <c r="W103" s="17">
        <f>(J103-'Drilling Spec'!$C$26)/'Drilling Spec'!$C$38</f>
        <v>108.99517641877463</v>
      </c>
      <c r="X103" s="17">
        <f t="shared" si="24"/>
        <v>0</v>
      </c>
      <c r="Y103" s="17">
        <f t="shared" si="38"/>
        <v>8.9951764187746335</v>
      </c>
      <c r="Z103" s="10"/>
      <c r="AA103">
        <f>IF(Y103&lt;'Drilling Spec'!$C$39,,'Drilling Spec'!$C$39)</f>
        <v>0</v>
      </c>
      <c r="AD103" s="16">
        <f t="shared" si="37"/>
        <v>-723.9710585126478</v>
      </c>
      <c r="AE103" s="16">
        <f t="shared" si="27"/>
        <v>-759.86189926823249</v>
      </c>
      <c r="AF103">
        <f>-'Drilling Spec'!$C$29</f>
        <v>-720</v>
      </c>
      <c r="AG103">
        <f>-'Drilling Spec'!$C$27</f>
        <v>-624</v>
      </c>
      <c r="AH103">
        <f>-'Drilling Spec'!$C$28</f>
        <v>-688</v>
      </c>
      <c r="AI103" t="e">
        <f t="shared" si="28"/>
        <v>#N/A</v>
      </c>
      <c r="AJ103" t="e">
        <f>IF(T103=0,NA(),-'Drilling Spec'!$C$26/2)</f>
        <v>#N/A</v>
      </c>
      <c r="AK103" t="e">
        <f>IF(U103=0,NA(),-'Drilling Spec'!$C$26/2)</f>
        <v>#N/A</v>
      </c>
      <c r="AL103" t="e">
        <f>IF(Z103=0,NA(),-'Drilling Spec'!$C$26*3/2)</f>
        <v>#N/A</v>
      </c>
      <c r="AM103" t="e">
        <f>IF(AA103=0,NA(),-'Drilling Spec'!$C$26*3/2)</f>
        <v>#N/A</v>
      </c>
    </row>
    <row r="104" spans="2:39" x14ac:dyDescent="0.35">
      <c r="B104" s="2">
        <f t="shared" si="34"/>
        <v>46072</v>
      </c>
      <c r="C104" t="str">
        <f t="shared" si="18"/>
        <v>Thu</v>
      </c>
      <c r="D104" s="10"/>
      <c r="E104" s="10"/>
      <c r="F104" s="4">
        <f t="shared" si="19"/>
        <v>0</v>
      </c>
      <c r="G104" s="4">
        <f t="shared" si="35"/>
        <v>816</v>
      </c>
      <c r="H104" s="4">
        <f t="shared" si="21"/>
        <v>0</v>
      </c>
      <c r="I104" s="15">
        <f>(SQRT(4*J103*J103*V*V + 'Drilling Spec'!$C$42*J103 + W*('Drilling Spec'!$C$43 + 2*l*V*(s*W + 2*V*H104/(1+e)) + 'Drilling Spec'!$C$44)) - 'Drilling Spec'!$C$45)/(2*V)</f>
        <v>723.9710585126478</v>
      </c>
      <c r="J104" s="16">
        <f>IF(AND(OR(J103=0,J103=""),G104=0),IF(G105=0,"",'Drilling Spec'!$C$26),I104)</f>
        <v>723.9710585126478</v>
      </c>
      <c r="K104" s="16">
        <f>MAX(0,J104-'Drilling Spec'!$C$30)</f>
        <v>643.9710585126478</v>
      </c>
      <c r="L104" s="18">
        <f>IFERROR(K104/'Drilling Spec'!$C$31,0)</f>
        <v>42.931403900843186</v>
      </c>
      <c r="M104" s="21">
        <f t="shared" si="36"/>
        <v>0</v>
      </c>
      <c r="N104" s="4">
        <f t="shared" si="29"/>
        <v>144</v>
      </c>
      <c r="O104" s="21">
        <f t="shared" si="23"/>
        <v>0</v>
      </c>
      <c r="P104" s="18">
        <f>(SQRT(4*P103*P103*vB*vB + 'Drilling Spec'!$C$48*P103 + WB*('Drilling Spec'!$C$49 + 2*lB*vB*(sB*WB + 2*vB*O104/(1+eB)) + 'Drilling Spec'!$C$50)) - 'Drilling Spec'!$C$51)/(2*vB)</f>
        <v>759.86189926823249</v>
      </c>
      <c r="Q104" s="18">
        <f>IF(AND(OR(R103=0,R103=""),N104=0),IF(N105=0,"",'Drilling Spec'!$C$30),P104)</f>
        <v>759.86189926823249</v>
      </c>
      <c r="S104">
        <f t="shared" si="32"/>
        <v>46</v>
      </c>
      <c r="T104" s="10"/>
      <c r="U104">
        <f>IF('Baseline 1 - Perfect, 24hr'!L105&gt;'Baseline 1 - Perfect, 24hr'!S104,'Drilling Spec'!$C$36,)</f>
        <v>0</v>
      </c>
      <c r="W104" s="17">
        <f>(J104-'Drilling Spec'!$C$26)/'Drilling Spec'!$C$38</f>
        <v>108.99517641877463</v>
      </c>
      <c r="X104" s="17">
        <f t="shared" si="24"/>
        <v>0</v>
      </c>
      <c r="Y104" s="17">
        <f t="shared" si="38"/>
        <v>8.9951764187746335</v>
      </c>
      <c r="Z104" s="10"/>
      <c r="AA104">
        <f>IF(Y104&lt;'Drilling Spec'!$C$39,,'Drilling Spec'!$C$39)</f>
        <v>0</v>
      </c>
      <c r="AD104" s="16">
        <f t="shared" si="37"/>
        <v>-723.9710585126478</v>
      </c>
      <c r="AE104" s="16">
        <f t="shared" si="27"/>
        <v>-759.86189926823249</v>
      </c>
      <c r="AF104">
        <f>-'Drilling Spec'!$C$29</f>
        <v>-720</v>
      </c>
      <c r="AG104">
        <f>-'Drilling Spec'!$C$27</f>
        <v>-624</v>
      </c>
      <c r="AH104">
        <f>-'Drilling Spec'!$C$28</f>
        <v>-688</v>
      </c>
      <c r="AI104" t="e">
        <f t="shared" si="28"/>
        <v>#N/A</v>
      </c>
      <c r="AJ104" t="e">
        <f>IF(T104=0,NA(),-'Drilling Spec'!$C$26/2)</f>
        <v>#N/A</v>
      </c>
      <c r="AK104" t="e">
        <f>IF(U104=0,NA(),-'Drilling Spec'!$C$26/2)</f>
        <v>#N/A</v>
      </c>
      <c r="AL104" t="e">
        <f>IF(Z104=0,NA(),-'Drilling Spec'!$C$26*3/2)</f>
        <v>#N/A</v>
      </c>
      <c r="AM104" t="e">
        <f>IF(AA104=0,NA(),-'Drilling Spec'!$C$26*3/2)</f>
        <v>#N/A</v>
      </c>
    </row>
    <row r="105" spans="2:39" x14ac:dyDescent="0.35">
      <c r="B105" s="2">
        <f t="shared" si="34"/>
        <v>46073</v>
      </c>
      <c r="C105" t="str">
        <f t="shared" si="18"/>
        <v>Fri</v>
      </c>
      <c r="D105" s="10"/>
      <c r="E105" s="10"/>
      <c r="F105" s="4">
        <f t="shared" si="19"/>
        <v>0</v>
      </c>
      <c r="G105" s="4">
        <f t="shared" si="35"/>
        <v>816</v>
      </c>
      <c r="H105" s="4">
        <f t="shared" si="21"/>
        <v>0</v>
      </c>
      <c r="I105" s="15">
        <f>(SQRT(4*J104*J104*V*V + 'Drilling Spec'!$C$42*J104 + W*('Drilling Spec'!$C$43 + 2*l*V*(s*W + 2*V*H105/(1+e)) + 'Drilling Spec'!$C$44)) - 'Drilling Spec'!$C$45)/(2*V)</f>
        <v>723.9710585126478</v>
      </c>
      <c r="J105" s="16">
        <f>IF(AND(OR(J104=0,J104=""),G105=0),IF(G106=0,"",'Drilling Spec'!$C$26),I105)</f>
        <v>723.9710585126478</v>
      </c>
      <c r="K105" s="16">
        <f>MAX(0,J105-'Drilling Spec'!$C$30)</f>
        <v>643.9710585126478</v>
      </c>
      <c r="L105" s="18">
        <f>IFERROR(K105/'Drilling Spec'!$C$31,0)</f>
        <v>42.931403900843186</v>
      </c>
      <c r="M105" s="21">
        <f t="shared" si="36"/>
        <v>0</v>
      </c>
      <c r="N105" s="4">
        <f t="shared" si="29"/>
        <v>144</v>
      </c>
      <c r="O105" s="21">
        <f t="shared" si="23"/>
        <v>0</v>
      </c>
      <c r="P105" s="18">
        <f>(SQRT(4*P104*P104*vB*vB + 'Drilling Spec'!$C$48*P104 + WB*('Drilling Spec'!$C$49 + 2*lB*vB*(sB*WB + 2*vB*O105/(1+eB)) + 'Drilling Spec'!$C$50)) - 'Drilling Spec'!$C$51)/(2*vB)</f>
        <v>759.86189926823249</v>
      </c>
      <c r="Q105" s="18">
        <f>IF(AND(OR(R104=0,R104=""),N105=0),IF(N106=0,"",'Drilling Spec'!$C$30),P105)</f>
        <v>759.86189926823249</v>
      </c>
      <c r="S105">
        <f t="shared" si="32"/>
        <v>46</v>
      </c>
      <c r="T105" s="10"/>
      <c r="U105">
        <f>IF('Baseline 1 - Perfect, 24hr'!L106&gt;'Baseline 1 - Perfect, 24hr'!S105,'Drilling Spec'!$C$36,)</f>
        <v>0</v>
      </c>
      <c r="W105" s="17">
        <f>(J105-'Drilling Spec'!$C$26)/'Drilling Spec'!$C$38</f>
        <v>108.99517641877463</v>
      </c>
      <c r="X105" s="17">
        <f t="shared" si="24"/>
        <v>0</v>
      </c>
      <c r="Y105" s="17">
        <f t="shared" si="38"/>
        <v>8.9951764187746335</v>
      </c>
      <c r="Z105" s="10"/>
      <c r="AA105">
        <f>IF(Y105&lt;'Drilling Spec'!$C$39,,'Drilling Spec'!$C$39)</f>
        <v>0</v>
      </c>
      <c r="AD105" s="16">
        <f t="shared" si="37"/>
        <v>-723.9710585126478</v>
      </c>
      <c r="AE105" s="16">
        <f t="shared" si="27"/>
        <v>-759.86189926823249</v>
      </c>
      <c r="AF105">
        <f>-'Drilling Spec'!$C$29</f>
        <v>-720</v>
      </c>
      <c r="AG105">
        <f>-'Drilling Spec'!$C$27</f>
        <v>-624</v>
      </c>
      <c r="AH105">
        <f>-'Drilling Spec'!$C$28</f>
        <v>-688</v>
      </c>
      <c r="AI105" t="e">
        <f t="shared" si="28"/>
        <v>#N/A</v>
      </c>
      <c r="AJ105" t="e">
        <f>IF(T105=0,NA(),-'Drilling Spec'!$C$26/2)</f>
        <v>#N/A</v>
      </c>
      <c r="AK105" t="e">
        <f>IF(U105=0,NA(),-'Drilling Spec'!$C$26/2)</f>
        <v>#N/A</v>
      </c>
      <c r="AL105" t="e">
        <f>IF(Z105=0,NA(),-'Drilling Spec'!$C$26*3/2)</f>
        <v>#N/A</v>
      </c>
      <c r="AM105" t="e">
        <f>IF(AA105=0,NA(),-'Drilling Spec'!$C$26*3/2)</f>
        <v>#N/A</v>
      </c>
    </row>
    <row r="106" spans="2:39" x14ac:dyDescent="0.35">
      <c r="B106" s="2">
        <f t="shared" si="34"/>
        <v>46074</v>
      </c>
      <c r="C106" t="str">
        <f t="shared" si="18"/>
        <v>Sat</v>
      </c>
      <c r="D106" s="10"/>
      <c r="E106" s="10"/>
      <c r="F106" s="4">
        <f t="shared" si="19"/>
        <v>0</v>
      </c>
      <c r="G106" s="4">
        <f t="shared" si="35"/>
        <v>816</v>
      </c>
      <c r="H106" s="4">
        <f t="shared" si="21"/>
        <v>0</v>
      </c>
      <c r="I106" s="15">
        <f>(SQRT(4*J105*J105*V*V + 'Drilling Spec'!$C$42*J105 + W*('Drilling Spec'!$C$43 + 2*l*V*(s*W + 2*V*H106/(1+e)) + 'Drilling Spec'!$C$44)) - 'Drilling Spec'!$C$45)/(2*V)</f>
        <v>723.9710585126478</v>
      </c>
      <c r="J106" s="16">
        <f>IF(AND(OR(J105=0,J105=""),G106=0),IF(G107=0,"",'Drilling Spec'!$C$26),I106)</f>
        <v>723.9710585126478</v>
      </c>
      <c r="K106" s="16">
        <f>MAX(0,J106-'Drilling Spec'!$C$30)</f>
        <v>643.9710585126478</v>
      </c>
      <c r="L106" s="18">
        <f>IFERROR(K106/'Drilling Spec'!$C$31,0)</f>
        <v>42.931403900843186</v>
      </c>
      <c r="M106" s="21">
        <f t="shared" si="36"/>
        <v>0</v>
      </c>
      <c r="N106" s="4">
        <f t="shared" si="29"/>
        <v>144</v>
      </c>
      <c r="O106" s="21">
        <f t="shared" si="23"/>
        <v>0</v>
      </c>
      <c r="P106" s="18">
        <f>(SQRT(4*P105*P105*vB*vB + 'Drilling Spec'!$C$48*P105 + WB*('Drilling Spec'!$C$49 + 2*lB*vB*(sB*WB + 2*vB*O106/(1+eB)) + 'Drilling Spec'!$C$50)) - 'Drilling Spec'!$C$51)/(2*vB)</f>
        <v>759.86189926823249</v>
      </c>
      <c r="Q106" s="18">
        <f>IF(AND(OR(R105=0,R105=""),N106=0),IF(N107=0,"",'Drilling Spec'!$C$30),P106)</f>
        <v>759.86189926823249</v>
      </c>
      <c r="S106">
        <f t="shared" si="32"/>
        <v>46</v>
      </c>
      <c r="T106" s="10"/>
      <c r="U106">
        <f>IF('Baseline 1 - Perfect, 24hr'!L107&gt;'Baseline 1 - Perfect, 24hr'!S106,'Drilling Spec'!$C$36,)</f>
        <v>0</v>
      </c>
      <c r="W106" s="17">
        <f>(J106-'Drilling Spec'!$C$26)/'Drilling Spec'!$C$38</f>
        <v>108.99517641877463</v>
      </c>
      <c r="X106" s="17">
        <f t="shared" si="24"/>
        <v>0</v>
      </c>
      <c r="Y106" s="17">
        <f t="shared" si="38"/>
        <v>8.9951764187746335</v>
      </c>
      <c r="Z106" s="10"/>
      <c r="AA106">
        <f>IF(Y106&lt;'Drilling Spec'!$C$39,,'Drilling Spec'!$C$39)</f>
        <v>0</v>
      </c>
      <c r="AD106" s="16">
        <f t="shared" si="37"/>
        <v>-723.9710585126478</v>
      </c>
      <c r="AE106" s="16">
        <f t="shared" si="27"/>
        <v>-759.86189926823249</v>
      </c>
      <c r="AF106">
        <f>-'Drilling Spec'!$C$29</f>
        <v>-720</v>
      </c>
      <c r="AG106">
        <f>-'Drilling Spec'!$C$27</f>
        <v>-624</v>
      </c>
      <c r="AH106">
        <f>-'Drilling Spec'!$C$28</f>
        <v>-688</v>
      </c>
      <c r="AI106" t="e">
        <f t="shared" si="28"/>
        <v>#N/A</v>
      </c>
      <c r="AJ106" t="e">
        <f>IF(T106=0,NA(),-'Drilling Spec'!$C$26/2)</f>
        <v>#N/A</v>
      </c>
      <c r="AK106" t="e">
        <f>IF(U106=0,NA(),-'Drilling Spec'!$C$26/2)</f>
        <v>#N/A</v>
      </c>
      <c r="AL106" t="e">
        <f>IF(Z106=0,NA(),-'Drilling Spec'!$C$26*3/2)</f>
        <v>#N/A</v>
      </c>
      <c r="AM106" t="e">
        <f>IF(AA106=0,NA(),-'Drilling Spec'!$C$26*3/2)</f>
        <v>#N/A</v>
      </c>
    </row>
    <row r="107" spans="2:39" x14ac:dyDescent="0.35">
      <c r="B107" s="2">
        <f t="shared" si="34"/>
        <v>46075</v>
      </c>
      <c r="C107" t="str">
        <f t="shared" si="18"/>
        <v>Sun</v>
      </c>
      <c r="D107" s="10"/>
      <c r="E107" s="10"/>
      <c r="F107" s="4">
        <f t="shared" si="19"/>
        <v>0</v>
      </c>
      <c r="G107" s="4">
        <f t="shared" si="35"/>
        <v>816</v>
      </c>
      <c r="H107" s="4">
        <f t="shared" si="21"/>
        <v>0</v>
      </c>
      <c r="I107" s="15">
        <f>(SQRT(4*J106*J106*V*V + 'Drilling Spec'!$C$42*J106 + W*('Drilling Spec'!$C$43 + 2*l*V*(s*W + 2*V*H107/(1+e)) + 'Drilling Spec'!$C$44)) - 'Drilling Spec'!$C$45)/(2*V)</f>
        <v>723.9710585126478</v>
      </c>
      <c r="J107" s="16">
        <f>IF(AND(OR(J106=0,J106=""),G107=0),IF(G108=0,"",'Drilling Spec'!$C$26),I107)</f>
        <v>723.9710585126478</v>
      </c>
      <c r="K107" s="16">
        <f>MAX(0,J107-'Drilling Spec'!$C$30)</f>
        <v>643.9710585126478</v>
      </c>
      <c r="L107" s="18">
        <f>IFERROR(K107/'Drilling Spec'!$C$31,0)</f>
        <v>42.931403900843186</v>
      </c>
      <c r="M107" s="21">
        <f t="shared" si="36"/>
        <v>0</v>
      </c>
      <c r="N107" s="4">
        <f t="shared" si="29"/>
        <v>144</v>
      </c>
      <c r="O107" s="21">
        <f t="shared" si="23"/>
        <v>0</v>
      </c>
      <c r="P107" s="18">
        <f>(SQRT(4*P106*P106*vB*vB + 'Drilling Spec'!$C$48*P106 + WB*('Drilling Spec'!$C$49 + 2*lB*vB*(sB*WB + 2*vB*O107/(1+eB)) + 'Drilling Spec'!$C$50)) - 'Drilling Spec'!$C$51)/(2*vB)</f>
        <v>759.86189926823249</v>
      </c>
      <c r="Q107" s="18">
        <f>IF(AND(OR(R106=0,R106=""),N107=0),IF(N108=0,"",'Drilling Spec'!$C$30),P107)</f>
        <v>759.86189926823249</v>
      </c>
      <c r="S107">
        <f t="shared" si="32"/>
        <v>46</v>
      </c>
      <c r="T107" s="10"/>
      <c r="U107">
        <f>IF('Baseline 1 - Perfect, 24hr'!L108&gt;'Baseline 1 - Perfect, 24hr'!S107,'Drilling Spec'!$C$36,)</f>
        <v>0</v>
      </c>
      <c r="W107" s="17">
        <f>(J107-'Drilling Spec'!$C$26)/'Drilling Spec'!$C$38</f>
        <v>108.99517641877463</v>
      </c>
      <c r="X107" s="17">
        <f t="shared" si="24"/>
        <v>0</v>
      </c>
      <c r="Y107" s="17">
        <f t="shared" si="38"/>
        <v>8.9951764187746335</v>
      </c>
      <c r="Z107" s="10"/>
      <c r="AA107">
        <f>IF(Y107&lt;'Drilling Spec'!$C$39,,'Drilling Spec'!$C$39)</f>
        <v>0</v>
      </c>
      <c r="AD107" s="16">
        <f t="shared" si="37"/>
        <v>-723.9710585126478</v>
      </c>
      <c r="AE107" s="16">
        <f t="shared" si="27"/>
        <v>-759.86189926823249</v>
      </c>
      <c r="AF107">
        <f>-'Drilling Spec'!$C$29</f>
        <v>-720</v>
      </c>
      <c r="AG107">
        <f>-'Drilling Spec'!$C$27</f>
        <v>-624</v>
      </c>
      <c r="AH107">
        <f>-'Drilling Spec'!$C$28</f>
        <v>-688</v>
      </c>
      <c r="AI107" t="e">
        <f t="shared" si="28"/>
        <v>#N/A</v>
      </c>
      <c r="AJ107" t="e">
        <f>IF(T107=0,NA(),-'Drilling Spec'!$C$26/2)</f>
        <v>#N/A</v>
      </c>
      <c r="AK107" t="e">
        <f>IF(U107=0,NA(),-'Drilling Spec'!$C$26/2)</f>
        <v>#N/A</v>
      </c>
      <c r="AL107" t="e">
        <f>IF(Z107=0,NA(),-'Drilling Spec'!$C$26*3/2)</f>
        <v>#N/A</v>
      </c>
      <c r="AM107" t="e">
        <f>IF(AA107=0,NA(),-'Drilling Spec'!$C$26*3/2)</f>
        <v>#N/A</v>
      </c>
    </row>
    <row r="108" spans="2:39" x14ac:dyDescent="0.35">
      <c r="B108" s="2">
        <f t="shared" si="34"/>
        <v>46076</v>
      </c>
      <c r="C108" t="str">
        <f t="shared" si="18"/>
        <v>Mon</v>
      </c>
      <c r="D108" s="10"/>
      <c r="E108" s="10"/>
      <c r="F108" s="4">
        <f t="shared" si="19"/>
        <v>0</v>
      </c>
      <c r="G108" s="4">
        <f t="shared" si="35"/>
        <v>816</v>
      </c>
      <c r="H108" s="4">
        <f t="shared" si="21"/>
        <v>0</v>
      </c>
      <c r="I108" s="15">
        <f>(SQRT(4*J107*J107*V*V + 'Drilling Spec'!$C$42*J107 + W*('Drilling Spec'!$C$43 + 2*l*V*(s*W + 2*V*H108/(1+e)) + 'Drilling Spec'!$C$44)) - 'Drilling Spec'!$C$45)/(2*V)</f>
        <v>723.9710585126478</v>
      </c>
      <c r="J108" s="16">
        <f>IF(AND(OR(J107=0,J107=""),G108=0),IF(G109=0,"",'Drilling Spec'!$C$26),I108)</f>
        <v>723.9710585126478</v>
      </c>
      <c r="K108" s="16">
        <f>MAX(0,J108-'Drilling Spec'!$C$30)</f>
        <v>643.9710585126478</v>
      </c>
      <c r="L108" s="18">
        <f>IFERROR(K108/'Drilling Spec'!$C$31,0)</f>
        <v>42.931403900843186</v>
      </c>
      <c r="M108" s="21">
        <f t="shared" si="36"/>
        <v>0</v>
      </c>
      <c r="N108" s="4">
        <f t="shared" si="29"/>
        <v>144</v>
      </c>
      <c r="O108" s="21">
        <f t="shared" si="23"/>
        <v>0</v>
      </c>
      <c r="P108" s="18">
        <f>(SQRT(4*P107*P107*vB*vB + 'Drilling Spec'!$C$48*P107 + WB*('Drilling Spec'!$C$49 + 2*lB*vB*(sB*WB + 2*vB*O108/(1+eB)) + 'Drilling Spec'!$C$50)) - 'Drilling Spec'!$C$51)/(2*vB)</f>
        <v>759.86189926823249</v>
      </c>
      <c r="Q108" s="18">
        <f>IF(AND(OR(R107=0,R107=""),N108=0),IF(N109=0,"",'Drilling Spec'!$C$30),P108)</f>
        <v>759.86189926823249</v>
      </c>
      <c r="S108">
        <f t="shared" si="32"/>
        <v>46</v>
      </c>
      <c r="T108" s="10"/>
      <c r="U108">
        <f>IF('Baseline 1 - Perfect, 24hr'!L109&gt;'Baseline 1 - Perfect, 24hr'!S108,'Drilling Spec'!$C$36,)</f>
        <v>0</v>
      </c>
      <c r="W108" s="17">
        <f>(J108-'Drilling Spec'!$C$26)/'Drilling Spec'!$C$38</f>
        <v>108.99517641877463</v>
      </c>
      <c r="X108" s="17">
        <f t="shared" si="24"/>
        <v>0</v>
      </c>
      <c r="Y108" s="17">
        <f t="shared" si="38"/>
        <v>8.9951764187746335</v>
      </c>
      <c r="Z108" s="10"/>
      <c r="AA108">
        <f>IF(Y108&lt;'Drilling Spec'!$C$39,,'Drilling Spec'!$C$39)</f>
        <v>0</v>
      </c>
      <c r="AD108" s="16">
        <f t="shared" si="37"/>
        <v>-723.9710585126478</v>
      </c>
      <c r="AE108" s="16">
        <f t="shared" si="27"/>
        <v>-759.86189926823249</v>
      </c>
      <c r="AF108">
        <f>-'Drilling Spec'!$C$29</f>
        <v>-720</v>
      </c>
      <c r="AG108">
        <f>-'Drilling Spec'!$C$27</f>
        <v>-624</v>
      </c>
      <c r="AH108">
        <f>-'Drilling Spec'!$C$28</f>
        <v>-688</v>
      </c>
      <c r="AI108" t="e">
        <f t="shared" si="28"/>
        <v>#N/A</v>
      </c>
      <c r="AJ108" t="e">
        <f>IF(T108=0,NA(),-'Drilling Spec'!$C$26/2)</f>
        <v>#N/A</v>
      </c>
      <c r="AK108" t="e">
        <f>IF(U108=0,NA(),-'Drilling Spec'!$C$26/2)</f>
        <v>#N/A</v>
      </c>
      <c r="AL108" t="e">
        <f>IF(Z108=0,NA(),-'Drilling Spec'!$C$26*3/2)</f>
        <v>#N/A</v>
      </c>
      <c r="AM108" t="e">
        <f>IF(AA108=0,NA(),-'Drilling Spec'!$C$26*3/2)</f>
        <v>#N/A</v>
      </c>
    </row>
    <row r="109" spans="2:39" x14ac:dyDescent="0.35">
      <c r="B109" s="2">
        <f t="shared" si="34"/>
        <v>46077</v>
      </c>
      <c r="C109" t="str">
        <f t="shared" si="18"/>
        <v>Tue</v>
      </c>
      <c r="D109" s="10"/>
      <c r="E109" s="10"/>
      <c r="F109" s="4">
        <f t="shared" si="19"/>
        <v>0</v>
      </c>
      <c r="G109" s="4">
        <f t="shared" si="35"/>
        <v>816</v>
      </c>
      <c r="H109" s="4">
        <f t="shared" si="21"/>
        <v>0</v>
      </c>
      <c r="I109" s="15">
        <f>(SQRT(4*J108*J108*V*V + 'Drilling Spec'!$C$42*J108 + W*('Drilling Spec'!$C$43 + 2*l*V*(s*W + 2*V*H109/(1+e)) + 'Drilling Spec'!$C$44)) - 'Drilling Spec'!$C$45)/(2*V)</f>
        <v>723.9710585126478</v>
      </c>
      <c r="J109" s="16">
        <f>IF(AND(OR(J108=0,J108=""),G109=0),IF(G110=0,"",'Drilling Spec'!$C$26),I109)</f>
        <v>723.9710585126478</v>
      </c>
      <c r="K109" s="16">
        <f>MAX(0,J109-'Drilling Spec'!$C$30)</f>
        <v>643.9710585126478</v>
      </c>
      <c r="L109" s="18">
        <f>IFERROR(K109/'Drilling Spec'!$C$31,0)</f>
        <v>42.931403900843186</v>
      </c>
      <c r="M109" s="21">
        <f t="shared" si="36"/>
        <v>0</v>
      </c>
      <c r="N109" s="4">
        <f t="shared" si="29"/>
        <v>144</v>
      </c>
      <c r="O109" s="21">
        <f t="shared" si="23"/>
        <v>0</v>
      </c>
      <c r="P109" s="18">
        <f>(SQRT(4*P108*P108*vB*vB + 'Drilling Spec'!$C$48*P108 + WB*('Drilling Spec'!$C$49 + 2*lB*vB*(sB*WB + 2*vB*O109/(1+eB)) + 'Drilling Spec'!$C$50)) - 'Drilling Spec'!$C$51)/(2*vB)</f>
        <v>759.86189926823249</v>
      </c>
      <c r="Q109" s="18">
        <f>IF(AND(OR(R108=0,R108=""),N109=0),IF(N110=0,"",'Drilling Spec'!$C$30),P109)</f>
        <v>759.86189926823249</v>
      </c>
      <c r="S109">
        <f t="shared" si="32"/>
        <v>46</v>
      </c>
      <c r="T109" s="10"/>
      <c r="U109">
        <f>IF('Baseline 1 - Perfect, 24hr'!L110&gt;'Baseline 1 - Perfect, 24hr'!S109,'Drilling Spec'!$C$36,)</f>
        <v>0</v>
      </c>
      <c r="W109" s="17">
        <f>(J109-'Drilling Spec'!$C$26)/'Drilling Spec'!$C$38</f>
        <v>108.99517641877463</v>
      </c>
      <c r="X109" s="17">
        <f t="shared" si="24"/>
        <v>0</v>
      </c>
      <c r="Y109" s="17">
        <f t="shared" si="38"/>
        <v>8.9951764187746335</v>
      </c>
      <c r="Z109" s="10"/>
      <c r="AA109">
        <f>IF(Y109&lt;'Drilling Spec'!$C$39,,'Drilling Spec'!$C$39)</f>
        <v>0</v>
      </c>
      <c r="AD109" s="16">
        <f t="shared" si="37"/>
        <v>-723.9710585126478</v>
      </c>
      <c r="AE109" s="16">
        <f t="shared" si="27"/>
        <v>-759.86189926823249</v>
      </c>
      <c r="AF109">
        <f>-'Drilling Spec'!$C$29</f>
        <v>-720</v>
      </c>
      <c r="AG109">
        <f>-'Drilling Spec'!$C$27</f>
        <v>-624</v>
      </c>
      <c r="AH109">
        <f>-'Drilling Spec'!$C$28</f>
        <v>-688</v>
      </c>
      <c r="AI109" t="e">
        <f t="shared" si="28"/>
        <v>#N/A</v>
      </c>
      <c r="AJ109" t="e">
        <f>IF(T109=0,NA(),-'Drilling Spec'!$C$26/2)</f>
        <v>#N/A</v>
      </c>
      <c r="AK109" t="e">
        <f>IF(U109=0,NA(),-'Drilling Spec'!$C$26/2)</f>
        <v>#N/A</v>
      </c>
      <c r="AL109" t="e">
        <f>IF(Z109=0,NA(),-'Drilling Spec'!$C$26*3/2)</f>
        <v>#N/A</v>
      </c>
      <c r="AM109" t="e">
        <f>IF(AA109=0,NA(),-'Drilling Spec'!$C$26*3/2)</f>
        <v>#N/A</v>
      </c>
    </row>
    <row r="110" spans="2:39" x14ac:dyDescent="0.35">
      <c r="B110" s="2">
        <f t="shared" si="34"/>
        <v>46078</v>
      </c>
      <c r="C110" t="str">
        <f t="shared" si="18"/>
        <v>Wed</v>
      </c>
      <c r="D110" s="10"/>
      <c r="E110" s="10"/>
      <c r="F110" s="4">
        <f t="shared" si="19"/>
        <v>0</v>
      </c>
      <c r="G110" s="4">
        <f t="shared" si="35"/>
        <v>816</v>
      </c>
      <c r="H110" s="4">
        <f t="shared" si="21"/>
        <v>0</v>
      </c>
      <c r="I110" s="15">
        <f>(SQRT(4*J109*J109*V*V + 'Drilling Spec'!$C$42*J109 + W*('Drilling Spec'!$C$43 + 2*l*V*(s*W + 2*V*H110/(1+e)) + 'Drilling Spec'!$C$44)) - 'Drilling Spec'!$C$45)/(2*V)</f>
        <v>723.9710585126478</v>
      </c>
      <c r="J110" s="16">
        <f>IF(AND(OR(J109=0,J109=""),G110=0),IF(G111=0,"",'Drilling Spec'!$C$26),I110)</f>
        <v>723.9710585126478</v>
      </c>
      <c r="K110" s="16">
        <f>MAX(0,J110-'Drilling Spec'!$C$30)</f>
        <v>643.9710585126478</v>
      </c>
      <c r="L110" s="18">
        <f>IFERROR(K110/'Drilling Spec'!$C$31,0)</f>
        <v>42.931403900843186</v>
      </c>
      <c r="M110" s="21">
        <f t="shared" si="36"/>
        <v>0</v>
      </c>
      <c r="N110" s="4">
        <f t="shared" si="29"/>
        <v>144</v>
      </c>
      <c r="O110" s="21">
        <f t="shared" si="23"/>
        <v>0</v>
      </c>
      <c r="P110" s="18">
        <f>(SQRT(4*P109*P109*vB*vB + 'Drilling Spec'!$C$48*P109 + WB*('Drilling Spec'!$C$49 + 2*lB*vB*(sB*WB + 2*vB*O110/(1+eB)) + 'Drilling Spec'!$C$50)) - 'Drilling Spec'!$C$51)/(2*vB)</f>
        <v>759.86189926823249</v>
      </c>
      <c r="Q110" s="18">
        <f>IF(AND(OR(R109=0,R109=""),N110=0),IF(N111=0,"",'Drilling Spec'!$C$30),P110)</f>
        <v>759.86189926823249</v>
      </c>
      <c r="S110">
        <f t="shared" si="32"/>
        <v>46</v>
      </c>
      <c r="T110" s="10"/>
      <c r="U110">
        <f>IF('Baseline 1 - Perfect, 24hr'!L111&gt;'Baseline 1 - Perfect, 24hr'!S110,'Drilling Spec'!$C$36,)</f>
        <v>0</v>
      </c>
      <c r="W110" s="17">
        <f>(J110-'Drilling Spec'!$C$26)/'Drilling Spec'!$C$38</f>
        <v>108.99517641877463</v>
      </c>
      <c r="X110" s="17">
        <f t="shared" si="24"/>
        <v>0</v>
      </c>
      <c r="Y110" s="17">
        <f t="shared" si="38"/>
        <v>8.9951764187746335</v>
      </c>
      <c r="Z110" s="10"/>
      <c r="AA110">
        <f>IF(Y110&lt;'Drilling Spec'!$C$39,,'Drilling Spec'!$C$39)</f>
        <v>0</v>
      </c>
      <c r="AD110" s="16">
        <f t="shared" si="37"/>
        <v>-723.9710585126478</v>
      </c>
      <c r="AE110" s="16">
        <f t="shared" si="27"/>
        <v>-759.86189926823249</v>
      </c>
      <c r="AF110">
        <f>-'Drilling Spec'!$C$29</f>
        <v>-720</v>
      </c>
      <c r="AG110">
        <f>-'Drilling Spec'!$C$27</f>
        <v>-624</v>
      </c>
      <c r="AH110">
        <f>-'Drilling Spec'!$C$28</f>
        <v>-688</v>
      </c>
      <c r="AI110" t="e">
        <f t="shared" si="28"/>
        <v>#N/A</v>
      </c>
      <c r="AJ110" t="e">
        <f>IF(T110=0,NA(),-'Drilling Spec'!$C$26/2)</f>
        <v>#N/A</v>
      </c>
      <c r="AK110" t="e">
        <f>IF(U110=0,NA(),-'Drilling Spec'!$C$26/2)</f>
        <v>#N/A</v>
      </c>
      <c r="AL110" t="e">
        <f>IF(Z110=0,NA(),-'Drilling Spec'!$C$26*3/2)</f>
        <v>#N/A</v>
      </c>
      <c r="AM110" t="e">
        <f>IF(AA110=0,NA(),-'Drilling Spec'!$C$26*3/2)</f>
        <v>#N/A</v>
      </c>
    </row>
    <row r="111" spans="2:39" x14ac:dyDescent="0.35">
      <c r="B111" s="2">
        <f t="shared" si="34"/>
        <v>46079</v>
      </c>
      <c r="C111" t="str">
        <f t="shared" si="18"/>
        <v>Thu</v>
      </c>
      <c r="D111" s="10"/>
      <c r="E111" s="10"/>
      <c r="F111" s="4">
        <f t="shared" si="19"/>
        <v>0</v>
      </c>
      <c r="G111" s="4">
        <f t="shared" si="35"/>
        <v>816</v>
      </c>
      <c r="H111" s="4">
        <f t="shared" si="21"/>
        <v>0</v>
      </c>
      <c r="I111" s="15">
        <f>(SQRT(4*J110*J110*V*V + 'Drilling Spec'!$C$42*J110 + W*('Drilling Spec'!$C$43 + 2*l*V*(s*W + 2*V*H111/(1+e)) + 'Drilling Spec'!$C$44)) - 'Drilling Spec'!$C$45)/(2*V)</f>
        <v>723.9710585126478</v>
      </c>
      <c r="J111" s="16">
        <f>IF(AND(OR(J110=0,J110=""),G111=0),IF(G112=0,"",'Drilling Spec'!$C$26),I111)</f>
        <v>723.9710585126478</v>
      </c>
      <c r="K111" s="16">
        <f>MAX(0,J111-'Drilling Spec'!$C$30)</f>
        <v>643.9710585126478</v>
      </c>
      <c r="L111" s="18">
        <f>IFERROR(K111/'Drilling Spec'!$C$31,0)</f>
        <v>42.931403900843186</v>
      </c>
      <c r="M111" s="21">
        <f t="shared" si="36"/>
        <v>0</v>
      </c>
      <c r="N111" s="4">
        <f t="shared" si="29"/>
        <v>144</v>
      </c>
      <c r="O111" s="21">
        <f t="shared" si="23"/>
        <v>0</v>
      </c>
      <c r="P111" s="18">
        <f>(SQRT(4*P110*P110*vB*vB + 'Drilling Spec'!$C$48*P110 + WB*('Drilling Spec'!$C$49 + 2*lB*vB*(sB*WB + 2*vB*O111/(1+eB)) + 'Drilling Spec'!$C$50)) - 'Drilling Spec'!$C$51)/(2*vB)</f>
        <v>759.86189926823249</v>
      </c>
      <c r="Q111" s="18">
        <f>IF(AND(OR(R110=0,R110=""),N111=0),IF(N112=0,"",'Drilling Spec'!$C$30),P111)</f>
        <v>759.86189926823249</v>
      </c>
      <c r="S111">
        <f t="shared" si="32"/>
        <v>46</v>
      </c>
      <c r="T111" s="10"/>
      <c r="U111">
        <f>IF('Baseline 1 - Perfect, 24hr'!L112&gt;'Baseline 1 - Perfect, 24hr'!S111,'Drilling Spec'!$C$36,)</f>
        <v>0</v>
      </c>
      <c r="W111" s="17">
        <f>(J111-'Drilling Spec'!$C$26)/'Drilling Spec'!$C$38</f>
        <v>108.99517641877463</v>
      </c>
      <c r="X111" s="17">
        <f t="shared" si="24"/>
        <v>0</v>
      </c>
      <c r="Y111" s="17">
        <f t="shared" si="38"/>
        <v>8.9951764187746335</v>
      </c>
      <c r="Z111" s="10"/>
      <c r="AA111">
        <f>IF(Y111&lt;'Drilling Spec'!$C$39,,'Drilling Spec'!$C$39)</f>
        <v>0</v>
      </c>
      <c r="AD111" s="16">
        <f t="shared" si="37"/>
        <v>-723.9710585126478</v>
      </c>
      <c r="AE111" s="16">
        <f t="shared" si="27"/>
        <v>-759.86189926823249</v>
      </c>
      <c r="AF111">
        <f>-'Drilling Spec'!$C$29</f>
        <v>-720</v>
      </c>
      <c r="AG111">
        <f>-'Drilling Spec'!$C$27</f>
        <v>-624</v>
      </c>
      <c r="AH111">
        <f>-'Drilling Spec'!$C$28</f>
        <v>-688</v>
      </c>
      <c r="AI111" t="e">
        <f t="shared" si="28"/>
        <v>#N/A</v>
      </c>
      <c r="AJ111" t="e">
        <f>IF(T111=0,NA(),-'Drilling Spec'!$C$26/2)</f>
        <v>#N/A</v>
      </c>
      <c r="AK111" t="e">
        <f>IF(U111=0,NA(),-'Drilling Spec'!$C$26/2)</f>
        <v>#N/A</v>
      </c>
      <c r="AL111" t="e">
        <f>IF(Z111=0,NA(),-'Drilling Spec'!$C$26*3/2)</f>
        <v>#N/A</v>
      </c>
      <c r="AM111" t="e">
        <f>IF(AA111=0,NA(),-'Drilling Spec'!$C$26*3/2)</f>
        <v>#N/A</v>
      </c>
    </row>
    <row r="112" spans="2:39" x14ac:dyDescent="0.35">
      <c r="B112" s="2">
        <f t="shared" si="34"/>
        <v>46080</v>
      </c>
      <c r="C112" t="str">
        <f t="shared" si="18"/>
        <v>Fri</v>
      </c>
      <c r="D112" s="10"/>
      <c r="E112" s="10"/>
      <c r="F112" s="4">
        <f t="shared" si="19"/>
        <v>0</v>
      </c>
      <c r="G112" s="4">
        <f t="shared" si="35"/>
        <v>816</v>
      </c>
      <c r="H112" s="4">
        <f t="shared" si="21"/>
        <v>0</v>
      </c>
      <c r="I112" s="15">
        <f>(SQRT(4*J111*J111*V*V + 'Drilling Spec'!$C$42*J111 + W*('Drilling Spec'!$C$43 + 2*l*V*(s*W + 2*V*H112/(1+e)) + 'Drilling Spec'!$C$44)) - 'Drilling Spec'!$C$45)/(2*V)</f>
        <v>723.9710585126478</v>
      </c>
      <c r="J112" s="16">
        <f>IF(AND(OR(J111=0,J111=""),G112=0),IF(G113=0,"",'Drilling Spec'!$C$26),I112)</f>
        <v>723.9710585126478</v>
      </c>
      <c r="K112" s="16">
        <f>MAX(0,J112-'Drilling Spec'!$C$30)</f>
        <v>643.9710585126478</v>
      </c>
      <c r="L112" s="18">
        <f>IFERROR(K112/'Drilling Spec'!$C$31,0)</f>
        <v>42.931403900843186</v>
      </c>
      <c r="M112" s="21">
        <f t="shared" si="36"/>
        <v>0</v>
      </c>
      <c r="N112" s="4">
        <f t="shared" si="29"/>
        <v>144</v>
      </c>
      <c r="O112" s="21">
        <f t="shared" si="23"/>
        <v>0</v>
      </c>
      <c r="P112" s="18">
        <f>(SQRT(4*P111*P111*vB*vB + 'Drilling Spec'!$C$48*P111 + WB*('Drilling Spec'!$C$49 + 2*lB*vB*(sB*WB + 2*vB*O112/(1+eB)) + 'Drilling Spec'!$C$50)) - 'Drilling Spec'!$C$51)/(2*vB)</f>
        <v>759.86189926823249</v>
      </c>
      <c r="Q112" s="18">
        <f>IF(AND(OR(R111=0,R111=""),N112=0),IF(N113=0,"",'Drilling Spec'!$C$30),P112)</f>
        <v>759.86189926823249</v>
      </c>
      <c r="S112">
        <f t="shared" si="32"/>
        <v>46</v>
      </c>
      <c r="T112" s="10"/>
      <c r="U112">
        <f>IF('Baseline 1 - Perfect, 24hr'!L113&gt;'Baseline 1 - Perfect, 24hr'!S112,'Drilling Spec'!$C$36,)</f>
        <v>0</v>
      </c>
      <c r="W112" s="17">
        <f>(J112-'Drilling Spec'!$C$26)/'Drilling Spec'!$C$38</f>
        <v>108.99517641877463</v>
      </c>
      <c r="X112" s="17">
        <f t="shared" si="24"/>
        <v>0</v>
      </c>
      <c r="Y112" s="17">
        <f t="shared" si="38"/>
        <v>8.9951764187746335</v>
      </c>
      <c r="Z112" s="10"/>
      <c r="AA112">
        <f>IF(Y112&lt;'Drilling Spec'!$C$39,,'Drilling Spec'!$C$39)</f>
        <v>0</v>
      </c>
      <c r="AD112" s="16">
        <f t="shared" si="37"/>
        <v>-723.9710585126478</v>
      </c>
      <c r="AE112" s="16">
        <f t="shared" si="27"/>
        <v>-759.86189926823249</v>
      </c>
      <c r="AF112">
        <f>-'Drilling Spec'!$C$29</f>
        <v>-720</v>
      </c>
      <c r="AG112">
        <f>-'Drilling Spec'!$C$27</f>
        <v>-624</v>
      </c>
      <c r="AH112">
        <f>-'Drilling Spec'!$C$28</f>
        <v>-688</v>
      </c>
      <c r="AI112" t="e">
        <f t="shared" si="28"/>
        <v>#N/A</v>
      </c>
      <c r="AJ112" t="e">
        <f>IF(T112=0,NA(),-'Drilling Spec'!$C$26/2)</f>
        <v>#N/A</v>
      </c>
      <c r="AK112" t="e">
        <f>IF(U112=0,NA(),-'Drilling Spec'!$C$26/2)</f>
        <v>#N/A</v>
      </c>
      <c r="AL112" t="e">
        <f>IF(Z112=0,NA(),-'Drilling Spec'!$C$26*3/2)</f>
        <v>#N/A</v>
      </c>
      <c r="AM112" t="e">
        <f>IF(AA112=0,NA(),-'Drilling Spec'!$C$26*3/2)</f>
        <v>#N/A</v>
      </c>
    </row>
  </sheetData>
  <mergeCells count="1">
    <mergeCell ref="AN1:BE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04B6E-E1A9-415A-ACBF-D7B799D48444}">
  <dimension ref="A1:BK112"/>
  <sheetViews>
    <sheetView workbookViewId="0">
      <selection activeCell="AN2" sqref="AN2"/>
    </sheetView>
  </sheetViews>
  <sheetFormatPr defaultRowHeight="14.5" x14ac:dyDescent="0.35"/>
  <cols>
    <col min="1" max="1" width="9.453125" bestFit="1" customWidth="1"/>
    <col min="2" max="2" width="8.7265625" bestFit="1" customWidth="1"/>
    <col min="3" max="3" width="4.81640625" bestFit="1" customWidth="1"/>
    <col min="4" max="4" width="20" style="4" bestFit="1" customWidth="1"/>
    <col min="5" max="5" width="8.453125" style="4" bestFit="1" customWidth="1"/>
    <col min="6" max="6" width="7.54296875" style="4" bestFit="1" customWidth="1"/>
    <col min="7" max="7" width="12.453125" style="4" hidden="1" customWidth="1"/>
    <col min="8" max="8" width="9.1796875" style="4" hidden="1" customWidth="1"/>
    <col min="9" max="9" width="12.453125" style="4" hidden="1" customWidth="1"/>
    <col min="10" max="10" width="10" style="4" customWidth="1"/>
    <col min="11" max="12" width="9.7265625" style="4" customWidth="1"/>
    <col min="13" max="13" width="7" style="4" bestFit="1" customWidth="1"/>
    <col min="14" max="15" width="7" style="4" hidden="1" customWidth="1"/>
    <col min="16" max="16" width="9.7265625" style="4" hidden="1" customWidth="1"/>
    <col min="17" max="17" width="11" style="4" customWidth="1"/>
    <col min="18" max="18" width="3.26953125" customWidth="1"/>
    <col min="19" max="19" width="9.54296875" hidden="1" customWidth="1"/>
    <col min="20" max="20" width="14.54296875" bestFit="1" customWidth="1"/>
    <col min="21" max="21" width="13.81640625" bestFit="1" customWidth="1"/>
    <col min="22" max="22" width="1.453125" customWidth="1"/>
    <col min="24" max="24" width="9.1796875" hidden="1" customWidth="1"/>
    <col min="25" max="25" width="10.54296875" bestFit="1" customWidth="1"/>
    <col min="26" max="26" width="14.26953125" customWidth="1"/>
    <col min="27" max="27" width="13.26953125" customWidth="1"/>
    <col min="28" max="28" width="14.26953125" customWidth="1"/>
    <col min="29" max="29" width="9.1796875" hidden="1" customWidth="1"/>
    <col min="30" max="31" width="10" style="4" hidden="1" customWidth="1"/>
    <col min="32" max="39" width="9.1796875" hidden="1" customWidth="1"/>
    <col min="40" max="40" width="16.26953125" bestFit="1" customWidth="1"/>
  </cols>
  <sheetData>
    <row r="1" spans="1:63" s="6" customFormat="1" ht="45" customHeight="1" x14ac:dyDescent="0.35">
      <c r="C1" s="6" t="s">
        <v>6</v>
      </c>
      <c r="D1" s="6" t="s">
        <v>1</v>
      </c>
      <c r="E1" s="6" t="s">
        <v>5</v>
      </c>
      <c r="F1" s="6" t="s">
        <v>8</v>
      </c>
      <c r="G1" s="13" t="s">
        <v>28</v>
      </c>
      <c r="H1" s="13" t="s">
        <v>51</v>
      </c>
      <c r="I1" s="13" t="s">
        <v>49</v>
      </c>
      <c r="J1" s="6" t="s">
        <v>48</v>
      </c>
      <c r="K1" s="6" t="s">
        <v>103</v>
      </c>
      <c r="L1" s="6" t="s">
        <v>11</v>
      </c>
      <c r="M1" s="6" t="s">
        <v>101</v>
      </c>
      <c r="N1" s="13" t="s">
        <v>107</v>
      </c>
      <c r="O1" s="13" t="s">
        <v>102</v>
      </c>
      <c r="P1" s="13" t="s">
        <v>105</v>
      </c>
      <c r="Q1" s="6" t="s">
        <v>106</v>
      </c>
      <c r="S1" s="13" t="s">
        <v>75</v>
      </c>
      <c r="T1" s="6" t="s">
        <v>118</v>
      </c>
      <c r="U1" s="6" t="s">
        <v>119</v>
      </c>
      <c r="W1" s="6" t="s">
        <v>122</v>
      </c>
      <c r="X1" s="13" t="s">
        <v>125</v>
      </c>
      <c r="Y1" s="13" t="s">
        <v>124</v>
      </c>
      <c r="Z1" s="6" t="s">
        <v>123</v>
      </c>
      <c r="AA1" s="6" t="s">
        <v>126</v>
      </c>
      <c r="AB1"/>
      <c r="AC1" s="13" t="s">
        <v>69</v>
      </c>
      <c r="AD1" s="13" t="s">
        <v>67</v>
      </c>
      <c r="AE1" s="13" t="s">
        <v>104</v>
      </c>
      <c r="AF1" s="13" t="s">
        <v>54</v>
      </c>
      <c r="AG1" s="13" t="s">
        <v>65</v>
      </c>
      <c r="AH1" s="13" t="s">
        <v>66</v>
      </c>
      <c r="AI1" s="13" t="s">
        <v>115</v>
      </c>
      <c r="AJ1" s="13" t="s">
        <v>121</v>
      </c>
      <c r="AK1" s="13" t="s">
        <v>120</v>
      </c>
      <c r="AL1" s="13" t="s">
        <v>127</v>
      </c>
      <c r="AM1" s="13" t="s">
        <v>128</v>
      </c>
      <c r="AN1" s="37" t="s">
        <v>130</v>
      </c>
      <c r="AO1" s="37"/>
      <c r="AP1" s="37"/>
      <c r="AQ1" s="37"/>
      <c r="AR1" s="37"/>
      <c r="AS1" s="37"/>
      <c r="AT1" s="37"/>
      <c r="AU1" s="37"/>
      <c r="AV1" s="37"/>
      <c r="AW1" s="37"/>
      <c r="AX1" s="37"/>
      <c r="AY1" s="37"/>
      <c r="AZ1" s="37"/>
      <c r="BA1" s="37"/>
      <c r="BB1" s="37"/>
      <c r="BC1" s="37"/>
      <c r="BD1" s="37"/>
      <c r="BE1" s="37"/>
      <c r="BF1" s="22"/>
      <c r="BG1" s="22"/>
      <c r="BH1" s="22"/>
      <c r="BI1" s="22"/>
      <c r="BJ1" s="22"/>
      <c r="BK1" s="22"/>
    </row>
    <row r="2" spans="1:63" s="6" customFormat="1" ht="5.25" customHeight="1" x14ac:dyDescent="0.35">
      <c r="AB2"/>
    </row>
    <row r="3" spans="1:63" x14ac:dyDescent="0.35">
      <c r="A3" t="s">
        <v>0</v>
      </c>
      <c r="B3" s="3">
        <v>45971</v>
      </c>
      <c r="C3" t="str">
        <f t="shared" ref="C3:C66" si="0">TEXT(B3,"ddd")</f>
        <v>Mon</v>
      </c>
      <c r="D3" s="10" t="s">
        <v>2</v>
      </c>
      <c r="E3" s="10">
        <v>12</v>
      </c>
      <c r="F3" s="4">
        <f t="shared" ref="F3:F66" si="1">IF(D3="Drilling",E3,0)</f>
        <v>0</v>
      </c>
      <c r="G3" s="4">
        <f t="shared" ref="G3:G34" si="2">(G2+F3)</f>
        <v>0</v>
      </c>
      <c r="H3" s="4">
        <f t="shared" ref="H3:H66" si="3">F3*60</f>
        <v>0</v>
      </c>
      <c r="I3" s="15">
        <f>(SQRT(4*J2*J2*V*V + 'Drilling Spec'!$C$42*J2 + W*('Drilling Spec'!$C$43 + 2*l*V*(s*W + 2*V*H3/(1+e)) + 'Drilling Spec'!$C$44)) - 'Drilling Spec'!$C$45)/(2*V)</f>
        <v>0</v>
      </c>
      <c r="J3" s="16" t="str">
        <f>IF(AND(OR(J2=0,J2=""),G3=0),IF(G4=0,"",'Drilling Spec'!$C$26),I3)</f>
        <v/>
      </c>
      <c r="K3" s="16" t="e">
        <f>MAX(0,J3-'Drilling Spec'!$C$30)</f>
        <v>#VALUE!</v>
      </c>
      <c r="L3" s="18">
        <f>IFERROR(K3/'Drilling Spec'!$C$31,0)</f>
        <v>0</v>
      </c>
      <c r="M3" s="21">
        <f t="shared" ref="M3:M34" si="4">IF(D3="Bailing",E3,0)</f>
        <v>0</v>
      </c>
      <c r="N3" s="4">
        <f>(N2+M3)</f>
        <v>0</v>
      </c>
      <c r="O3" s="4">
        <f t="shared" ref="O3:O66" si="5">M3*60</f>
        <v>0</v>
      </c>
      <c r="P3" s="18">
        <f>(SQRT(4*P2*P2*vB*vB + 'Drilling Spec'!$C$48*P2 + WB*('Drilling Spec'!$C$49 + 2*lB*vB*(sB*WB + 2*vB*O3/(1+eB)) + 'Drilling Spec'!$C$50)) - 'Drilling Spec'!$C$51)/(2*vB)</f>
        <v>0</v>
      </c>
      <c r="Q3" s="18" t="str">
        <f>IF(AND(OR(R2=0,R2=""),N3=0),IF(N4=0,"",'Drilling Spec'!$C$30),P3)</f>
        <v/>
      </c>
      <c r="S3">
        <f>S2+U2+T3+'Drilling Spec'!$C$37</f>
        <v>4</v>
      </c>
      <c r="T3" s="10"/>
      <c r="U3">
        <f>IF('Baseline 2 - Good, 16hr'!L4&gt;'Baseline 2 - Good, 16hr'!S3,'Drilling Spec'!$C$36,)</f>
        <v>0</v>
      </c>
      <c r="W3" s="17" t="e">
        <f>(J3-'Drilling Spec'!$C$26)/'Drilling Spec'!$C$38</f>
        <v>#VALUE!</v>
      </c>
      <c r="X3" s="17">
        <f t="shared" ref="X3:X34" si="6">IFERROR(W3-W2,0)</f>
        <v>0</v>
      </c>
      <c r="Y3" s="17">
        <f t="shared" ref="Y3:Y34" si="7">Y2+X3-Z3-AA2</f>
        <v>0</v>
      </c>
      <c r="Z3" s="10"/>
      <c r="AA3">
        <f>IF(Y3&lt;'Drilling Spec'!$C$39,,'Drilling Spec'!$C$39)</f>
        <v>0</v>
      </c>
      <c r="AC3">
        <v>0</v>
      </c>
      <c r="AD3" s="16" t="e">
        <f t="shared" ref="AD3:AD34" si="8">IFERROR(-J3,NA())</f>
        <v>#N/A</v>
      </c>
      <c r="AE3" s="16" t="e">
        <f t="shared" ref="AE3:AE66" si="9">IF(OR(Q3=0,Q3=""),NA(),-Q3)</f>
        <v>#N/A</v>
      </c>
      <c r="AF3">
        <f>-'Drilling Spec'!$C$29</f>
        <v>-720</v>
      </c>
      <c r="AG3">
        <f>-'Drilling Spec'!$C$27</f>
        <v>-624</v>
      </c>
      <c r="AH3">
        <f>-'Drilling Spec'!$C$28</f>
        <v>-688</v>
      </c>
      <c r="AI3" t="e">
        <f t="shared" ref="AI3:AI66" si="10">IF(D3="Camp Closed",0,NA())</f>
        <v>#N/A</v>
      </c>
      <c r="AJ3" t="e">
        <f>IF(T3=0,NA(),-'Drilling Spec'!$C$26/2)</f>
        <v>#N/A</v>
      </c>
      <c r="AK3" t="e">
        <f>IF(U3=0,NA(),-'Drilling Spec'!$C$26/2)</f>
        <v>#N/A</v>
      </c>
      <c r="AL3" t="e">
        <f>IF(Z3=0,NA(),-'Drilling Spec'!$C$26*3/2)</f>
        <v>#N/A</v>
      </c>
      <c r="AM3" t="e">
        <f>IF(AA3=0,NA(),-'Drilling Spec'!$C$26*3/2)</f>
        <v>#N/A</v>
      </c>
    </row>
    <row r="4" spans="1:63" x14ac:dyDescent="0.35">
      <c r="B4" s="2">
        <f>B3+1</f>
        <v>45972</v>
      </c>
      <c r="C4" t="str">
        <f t="shared" si="0"/>
        <v>Tue</v>
      </c>
      <c r="D4" s="10" t="s">
        <v>3</v>
      </c>
      <c r="E4" s="10">
        <v>12</v>
      </c>
      <c r="F4" s="4">
        <f t="shared" si="1"/>
        <v>0</v>
      </c>
      <c r="G4" s="4">
        <f t="shared" si="2"/>
        <v>0</v>
      </c>
      <c r="H4" s="4">
        <f t="shared" si="3"/>
        <v>0</v>
      </c>
      <c r="I4" s="15" t="e">
        <f>(SQRT(4*J3*J3*V*V + 'Drilling Spec'!$C$42*J3 + W*('Drilling Spec'!$C$43 + 2*l*V*(s*W + 2*V*H4/(1+e)) + 'Drilling Spec'!$C$44)) - 'Drilling Spec'!$C$45)/(2*V)</f>
        <v>#VALUE!</v>
      </c>
      <c r="J4" s="16" t="str">
        <f>IF(AND(OR(J3=0,J3=""),G4=0),IF(G5=0,"",'Drilling Spec'!$C$26),I4)</f>
        <v/>
      </c>
      <c r="K4" s="16" t="e">
        <f>MAX(0,J4-'Drilling Spec'!$C$30)</f>
        <v>#VALUE!</v>
      </c>
      <c r="L4" s="18">
        <f>IFERROR(K4/'Drilling Spec'!$C$31,0)</f>
        <v>0</v>
      </c>
      <c r="M4" s="21">
        <f t="shared" si="4"/>
        <v>0</v>
      </c>
      <c r="N4" s="4">
        <f t="shared" ref="N4:N67" si="11">(N3+M4)</f>
        <v>0</v>
      </c>
      <c r="O4" s="21">
        <f t="shared" si="5"/>
        <v>0</v>
      </c>
      <c r="P4" s="18">
        <f>(SQRT(4*P3*P3*vB*vB + 'Drilling Spec'!$C$48*P3 + WB*('Drilling Spec'!$C$49 + 2*lB*vB*(sB*WB + 2*vB*O4/(1+eB)) + 'Drilling Spec'!$C$50)) - 'Drilling Spec'!$C$51)/(2*vB)</f>
        <v>0</v>
      </c>
      <c r="Q4" s="18" t="str">
        <f>IF(AND(OR(R3=0,R3=""),N4=0),IF(N5=0,"",'Drilling Spec'!$C$30),P4)</f>
        <v/>
      </c>
      <c r="S4">
        <f>S3+U3+T4</f>
        <v>4</v>
      </c>
      <c r="T4" s="10"/>
      <c r="U4">
        <f>IF('Baseline 2 - Good, 16hr'!L5&gt;'Baseline 2 - Good, 16hr'!S4,'Drilling Spec'!$C$36,)</f>
        <v>0</v>
      </c>
      <c r="W4" s="17" t="e">
        <f>(J4-'Drilling Spec'!$C$26)/'Drilling Spec'!$C$38</f>
        <v>#VALUE!</v>
      </c>
      <c r="X4" s="17">
        <f t="shared" si="6"/>
        <v>0</v>
      </c>
      <c r="Y4" s="17">
        <f t="shared" si="7"/>
        <v>0</v>
      </c>
      <c r="Z4" s="10"/>
      <c r="AA4">
        <f>IF(Y4&lt;'Drilling Spec'!$C$39,,'Drilling Spec'!$C$39)</f>
        <v>0</v>
      </c>
      <c r="AD4" s="16" t="e">
        <f t="shared" si="8"/>
        <v>#N/A</v>
      </c>
      <c r="AE4" s="16" t="e">
        <f t="shared" si="9"/>
        <v>#N/A</v>
      </c>
      <c r="AF4">
        <f>-'Drilling Spec'!$C$29</f>
        <v>-720</v>
      </c>
      <c r="AG4">
        <f>-'Drilling Spec'!$C$27</f>
        <v>-624</v>
      </c>
      <c r="AH4">
        <f>-'Drilling Spec'!$C$28</f>
        <v>-688</v>
      </c>
      <c r="AI4" t="e">
        <f t="shared" si="10"/>
        <v>#N/A</v>
      </c>
      <c r="AJ4" t="e">
        <f>IF(T4=0,NA(),-'Drilling Spec'!$C$26/2)</f>
        <v>#N/A</v>
      </c>
      <c r="AK4" t="e">
        <f>IF(U4=0,NA(),-'Drilling Spec'!$C$26/2)</f>
        <v>#N/A</v>
      </c>
      <c r="AL4" t="e">
        <f>IF(Z4=0,NA(),-'Drilling Spec'!$C$26*3/2)</f>
        <v>#N/A</v>
      </c>
      <c r="AM4" t="e">
        <f>IF(AA4=0,NA(),-'Drilling Spec'!$C$26*3/2)</f>
        <v>#N/A</v>
      </c>
    </row>
    <row r="5" spans="1:63" x14ac:dyDescent="0.35">
      <c r="B5" s="2">
        <f t="shared" ref="B5:B68" si="12">B4+1</f>
        <v>45973</v>
      </c>
      <c r="C5" t="str">
        <f t="shared" si="0"/>
        <v>Wed</v>
      </c>
      <c r="D5" s="10" t="s">
        <v>3</v>
      </c>
      <c r="E5" s="10">
        <v>12</v>
      </c>
      <c r="F5" s="4">
        <f t="shared" si="1"/>
        <v>0</v>
      </c>
      <c r="G5" s="4">
        <f t="shared" si="2"/>
        <v>0</v>
      </c>
      <c r="H5" s="4">
        <f t="shared" si="3"/>
        <v>0</v>
      </c>
      <c r="I5" s="15" t="e">
        <f>(SQRT(4*J4*J4*V*V + 'Drilling Spec'!$C$42*J4 + W*('Drilling Spec'!$C$43 + 2*l*V*(s*W + 2*V*H5/(1+e)) + 'Drilling Spec'!$C$44)) - 'Drilling Spec'!$C$45)/(2*V)</f>
        <v>#VALUE!</v>
      </c>
      <c r="J5" s="16" t="str">
        <f>IF(AND(OR(J4=0,J4=""),G5=0),IF(G6=0,"",'Drilling Spec'!$C$26),I5)</f>
        <v/>
      </c>
      <c r="K5" s="16" t="e">
        <f>MAX(0,J5-'Drilling Spec'!$C$30)</f>
        <v>#VALUE!</v>
      </c>
      <c r="L5" s="18">
        <f>IFERROR(K5/'Drilling Spec'!$C$31,0)</f>
        <v>0</v>
      </c>
      <c r="M5" s="21">
        <f t="shared" si="4"/>
        <v>0</v>
      </c>
      <c r="N5" s="4">
        <f t="shared" si="11"/>
        <v>0</v>
      </c>
      <c r="O5" s="21">
        <f t="shared" si="5"/>
        <v>0</v>
      </c>
      <c r="P5" s="18">
        <f>(SQRT(4*P4*P4*vB*vB + 'Drilling Spec'!$C$48*P4 + WB*('Drilling Spec'!$C$49 + 2*lB*vB*(sB*WB + 2*vB*O5/(1+eB)) + 'Drilling Spec'!$C$50)) - 'Drilling Spec'!$C$51)/(2*vB)</f>
        <v>0</v>
      </c>
      <c r="Q5" s="18" t="str">
        <f>IF(AND(OR(R4=0,R4=""),N5=0),IF(N6=0,"",'Drilling Spec'!$C$30),P5)</f>
        <v/>
      </c>
      <c r="S5">
        <f t="shared" ref="S5:S68" si="13">S4+U4+T5</f>
        <v>4</v>
      </c>
      <c r="T5" s="10"/>
      <c r="U5">
        <f>IF('Baseline 2 - Good, 16hr'!L6&gt;'Baseline 2 - Good, 16hr'!S5,'Drilling Spec'!$C$36,)</f>
        <v>0</v>
      </c>
      <c r="W5" s="17" t="e">
        <f>(J5-'Drilling Spec'!$C$26)/'Drilling Spec'!$C$38</f>
        <v>#VALUE!</v>
      </c>
      <c r="X5" s="17">
        <f t="shared" si="6"/>
        <v>0</v>
      </c>
      <c r="Y5" s="17">
        <f t="shared" si="7"/>
        <v>0</v>
      </c>
      <c r="Z5" s="10"/>
      <c r="AA5">
        <f>IF(Y5&lt;'Drilling Spec'!$C$39,,'Drilling Spec'!$C$39)</f>
        <v>0</v>
      </c>
      <c r="AD5" s="16" t="e">
        <f t="shared" si="8"/>
        <v>#N/A</v>
      </c>
      <c r="AE5" s="16" t="e">
        <f t="shared" si="9"/>
        <v>#N/A</v>
      </c>
      <c r="AF5">
        <f>-'Drilling Spec'!$C$29</f>
        <v>-720</v>
      </c>
      <c r="AG5">
        <f>-'Drilling Spec'!$C$27</f>
        <v>-624</v>
      </c>
      <c r="AH5">
        <f>-'Drilling Spec'!$C$28</f>
        <v>-688</v>
      </c>
      <c r="AI5" t="e">
        <f t="shared" si="10"/>
        <v>#N/A</v>
      </c>
      <c r="AJ5" t="e">
        <f>IF(T5=0,NA(),-'Drilling Spec'!$C$26/2)</f>
        <v>#N/A</v>
      </c>
      <c r="AK5" t="e">
        <f>IF(U5=0,NA(),-'Drilling Spec'!$C$26/2)</f>
        <v>#N/A</v>
      </c>
      <c r="AL5" t="e">
        <f>IF(Z5=0,NA(),-'Drilling Spec'!$C$26*3/2)</f>
        <v>#N/A</v>
      </c>
      <c r="AM5" t="e">
        <f>IF(AA5=0,NA(),-'Drilling Spec'!$C$26*3/2)</f>
        <v>#N/A</v>
      </c>
    </row>
    <row r="6" spans="1:63" x14ac:dyDescent="0.35">
      <c r="B6" s="2">
        <f t="shared" si="12"/>
        <v>45974</v>
      </c>
      <c r="C6" t="str">
        <f t="shared" si="0"/>
        <v>Thu</v>
      </c>
      <c r="D6" s="10" t="s">
        <v>3</v>
      </c>
      <c r="E6" s="10">
        <v>12</v>
      </c>
      <c r="F6" s="4">
        <f t="shared" si="1"/>
        <v>0</v>
      </c>
      <c r="G6" s="4">
        <f t="shared" si="2"/>
        <v>0</v>
      </c>
      <c r="H6" s="4">
        <f t="shared" si="3"/>
        <v>0</v>
      </c>
      <c r="I6" s="15" t="e">
        <f>(SQRT(4*J5*J5*V*V + 'Drilling Spec'!$C$42*J5 + W*('Drilling Spec'!$C$43 + 2*l*V*(s*W + 2*V*H6/(1+e)) + 'Drilling Spec'!$C$44)) - 'Drilling Spec'!$C$45)/(2*V)</f>
        <v>#VALUE!</v>
      </c>
      <c r="J6" s="16" t="str">
        <f>IF(AND(OR(J5=0,J5=""),G6=0),IF(G7=0,"",'Drilling Spec'!$C$26),I6)</f>
        <v/>
      </c>
      <c r="K6" s="16" t="e">
        <f>MAX(0,J6-'Drilling Spec'!$C$30)</f>
        <v>#VALUE!</v>
      </c>
      <c r="L6" s="18">
        <f>IFERROR(K6/'Drilling Spec'!$C$31,0)</f>
        <v>0</v>
      </c>
      <c r="M6" s="21">
        <f t="shared" si="4"/>
        <v>0</v>
      </c>
      <c r="N6" s="4">
        <f t="shared" si="11"/>
        <v>0</v>
      </c>
      <c r="O6" s="21">
        <f t="shared" si="5"/>
        <v>0</v>
      </c>
      <c r="P6" s="18">
        <f>(SQRT(4*P5*P5*vB*vB + 'Drilling Spec'!$C$48*P5 + WB*('Drilling Spec'!$C$49 + 2*lB*vB*(sB*WB + 2*vB*O6/(1+eB)) + 'Drilling Spec'!$C$50)) - 'Drilling Spec'!$C$51)/(2*vB)</f>
        <v>0</v>
      </c>
      <c r="Q6" s="18" t="str">
        <f>IF(AND(OR(R5=0,R5=""),N6=0),IF(N7=0,"",'Drilling Spec'!$C$30),P6)</f>
        <v/>
      </c>
      <c r="S6">
        <f t="shared" si="13"/>
        <v>4</v>
      </c>
      <c r="T6" s="10"/>
      <c r="U6">
        <f>IF('Baseline 2 - Good, 16hr'!L7&gt;'Baseline 2 - Good, 16hr'!S6,'Drilling Spec'!$C$36,)</f>
        <v>0</v>
      </c>
      <c r="W6" s="17" t="e">
        <f>(J6-'Drilling Spec'!$C$26)/'Drilling Spec'!$C$38</f>
        <v>#VALUE!</v>
      </c>
      <c r="X6" s="17">
        <f t="shared" si="6"/>
        <v>0</v>
      </c>
      <c r="Y6" s="17">
        <f t="shared" si="7"/>
        <v>0</v>
      </c>
      <c r="Z6" s="10"/>
      <c r="AA6">
        <f>IF(Y6&lt;'Drilling Spec'!$C$39,,'Drilling Spec'!$C$39)</f>
        <v>0</v>
      </c>
      <c r="AD6" s="16" t="e">
        <f t="shared" si="8"/>
        <v>#N/A</v>
      </c>
      <c r="AE6" s="16" t="e">
        <f t="shared" si="9"/>
        <v>#N/A</v>
      </c>
      <c r="AF6">
        <f>-'Drilling Spec'!$C$29</f>
        <v>-720</v>
      </c>
      <c r="AG6">
        <f>-'Drilling Spec'!$C$27</f>
        <v>-624</v>
      </c>
      <c r="AH6">
        <f>-'Drilling Spec'!$C$28</f>
        <v>-688</v>
      </c>
      <c r="AI6" t="e">
        <f t="shared" si="10"/>
        <v>#N/A</v>
      </c>
      <c r="AJ6" t="e">
        <f>IF(T6=0,NA(),-'Drilling Spec'!$C$26/2)</f>
        <v>#N/A</v>
      </c>
      <c r="AK6" t="e">
        <f>IF(U6=0,NA(),-'Drilling Spec'!$C$26/2)</f>
        <v>#N/A</v>
      </c>
      <c r="AL6" t="e">
        <f>IF(Z6=0,NA(),-'Drilling Spec'!$C$26*3/2)</f>
        <v>#N/A</v>
      </c>
      <c r="AM6" t="e">
        <f>IF(AA6=0,NA(),-'Drilling Spec'!$C$26*3/2)</f>
        <v>#N/A</v>
      </c>
    </row>
    <row r="7" spans="1:63" x14ac:dyDescent="0.35">
      <c r="B7" s="2">
        <f t="shared" si="12"/>
        <v>45975</v>
      </c>
      <c r="C7" t="str">
        <f t="shared" si="0"/>
        <v>Fri</v>
      </c>
      <c r="D7" s="10" t="s">
        <v>3</v>
      </c>
      <c r="E7" s="10">
        <v>12</v>
      </c>
      <c r="F7" s="4">
        <f t="shared" si="1"/>
        <v>0</v>
      </c>
      <c r="G7" s="4">
        <f t="shared" si="2"/>
        <v>0</v>
      </c>
      <c r="H7" s="4">
        <f t="shared" si="3"/>
        <v>0</v>
      </c>
      <c r="I7" s="15" t="e">
        <f>(SQRT(4*J6*J6*V*V + 'Drilling Spec'!$C$42*J6 + W*('Drilling Spec'!$C$43 + 2*l*V*(s*W + 2*V*H7/(1+e)) + 'Drilling Spec'!$C$44)) - 'Drilling Spec'!$C$45)/(2*V)</f>
        <v>#VALUE!</v>
      </c>
      <c r="J7" s="16" t="str">
        <f>IF(AND(OR(J6=0,J6=""),G7=0),IF(G8=0,"",'Drilling Spec'!$C$26),I7)</f>
        <v/>
      </c>
      <c r="K7" s="16" t="e">
        <f>MAX(0,J7-'Drilling Spec'!$C$30)</f>
        <v>#VALUE!</v>
      </c>
      <c r="L7" s="18">
        <f>IFERROR(K7/'Drilling Spec'!$C$31,0)</f>
        <v>0</v>
      </c>
      <c r="M7" s="21">
        <f t="shared" si="4"/>
        <v>0</v>
      </c>
      <c r="N7" s="4">
        <f t="shared" si="11"/>
        <v>0</v>
      </c>
      <c r="O7" s="21">
        <f t="shared" si="5"/>
        <v>0</v>
      </c>
      <c r="P7" s="18">
        <f>(SQRT(4*P6*P6*vB*vB + 'Drilling Spec'!$C$48*P6 + WB*('Drilling Spec'!$C$49 + 2*lB*vB*(sB*WB + 2*vB*O7/(1+eB)) + 'Drilling Spec'!$C$50)) - 'Drilling Spec'!$C$51)/(2*vB)</f>
        <v>0</v>
      </c>
      <c r="Q7" s="18" t="str">
        <f>IF(AND(OR(R6=0,R6=""),N7=0),IF(N8=0,"",'Drilling Spec'!$C$30),P7)</f>
        <v/>
      </c>
      <c r="S7">
        <f t="shared" si="13"/>
        <v>4</v>
      </c>
      <c r="T7" s="10"/>
      <c r="U7">
        <f>IF('Baseline 2 - Good, 16hr'!L8&gt;'Baseline 2 - Good, 16hr'!S7,'Drilling Spec'!$C$36,)</f>
        <v>0</v>
      </c>
      <c r="W7" s="17" t="e">
        <f>(J7-'Drilling Spec'!$C$26)/'Drilling Spec'!$C$38</f>
        <v>#VALUE!</v>
      </c>
      <c r="X7" s="17">
        <f t="shared" si="6"/>
        <v>0</v>
      </c>
      <c r="Y7" s="17">
        <f t="shared" si="7"/>
        <v>0</v>
      </c>
      <c r="Z7" s="10"/>
      <c r="AA7">
        <f>IF(Y7&lt;'Drilling Spec'!$C$39,,'Drilling Spec'!$C$39)</f>
        <v>0</v>
      </c>
      <c r="AD7" s="16" t="e">
        <f t="shared" si="8"/>
        <v>#N/A</v>
      </c>
      <c r="AE7" s="16" t="e">
        <f t="shared" si="9"/>
        <v>#N/A</v>
      </c>
      <c r="AF7">
        <f>-'Drilling Spec'!$C$29</f>
        <v>-720</v>
      </c>
      <c r="AG7">
        <f>-'Drilling Spec'!$C$27</f>
        <v>-624</v>
      </c>
      <c r="AH7">
        <f>-'Drilling Spec'!$C$28</f>
        <v>-688</v>
      </c>
      <c r="AI7" t="e">
        <f t="shared" si="10"/>
        <v>#N/A</v>
      </c>
      <c r="AJ7" t="e">
        <f>IF(T7=0,NA(),-'Drilling Spec'!$C$26/2)</f>
        <v>#N/A</v>
      </c>
      <c r="AK7" t="e">
        <f>IF(U7=0,NA(),-'Drilling Spec'!$C$26/2)</f>
        <v>#N/A</v>
      </c>
      <c r="AL7" t="e">
        <f>IF(Z7=0,NA(),-'Drilling Spec'!$C$26*3/2)</f>
        <v>#N/A</v>
      </c>
      <c r="AM7" t="e">
        <f>IF(AA7=0,NA(),-'Drilling Spec'!$C$26*3/2)</f>
        <v>#N/A</v>
      </c>
    </row>
    <row r="8" spans="1:63" x14ac:dyDescent="0.35">
      <c r="B8" s="2">
        <f t="shared" si="12"/>
        <v>45976</v>
      </c>
      <c r="C8" t="str">
        <f t="shared" si="0"/>
        <v>Sat</v>
      </c>
      <c r="D8" s="10" t="s">
        <v>4</v>
      </c>
      <c r="E8" s="10">
        <v>12</v>
      </c>
      <c r="F8" s="4">
        <f t="shared" si="1"/>
        <v>0</v>
      </c>
      <c r="G8" s="4">
        <f t="shared" si="2"/>
        <v>0</v>
      </c>
      <c r="H8" s="4">
        <f t="shared" si="3"/>
        <v>0</v>
      </c>
      <c r="I8" s="15" t="e">
        <f>(SQRT(4*J7*J7*V*V + 'Drilling Spec'!$C$42*J7 + W*('Drilling Spec'!$C$43 + 2*l*V*(s*W + 2*V*H8/(1+e)) + 'Drilling Spec'!$C$44)) - 'Drilling Spec'!$C$45)/(2*V)</f>
        <v>#VALUE!</v>
      </c>
      <c r="J8" s="16" t="str">
        <f>IF(AND(OR(J7=0,J7=""),G8=0),IF(G9=0,"",'Drilling Spec'!$C$26),I8)</f>
        <v/>
      </c>
      <c r="K8" s="16" t="e">
        <f>MAX(0,J8-'Drilling Spec'!$C$30)</f>
        <v>#VALUE!</v>
      </c>
      <c r="L8" s="18">
        <f>IFERROR(K8/'Drilling Spec'!$C$31,0)</f>
        <v>0</v>
      </c>
      <c r="M8" s="21">
        <f t="shared" si="4"/>
        <v>0</v>
      </c>
      <c r="N8" s="4">
        <f t="shared" si="11"/>
        <v>0</v>
      </c>
      <c r="O8" s="21">
        <f t="shared" si="5"/>
        <v>0</v>
      </c>
      <c r="P8" s="18">
        <f>(SQRT(4*P7*P7*vB*vB + 'Drilling Spec'!$C$48*P7 + WB*('Drilling Spec'!$C$49 + 2*lB*vB*(sB*WB + 2*vB*O8/(1+eB)) + 'Drilling Spec'!$C$50)) - 'Drilling Spec'!$C$51)/(2*vB)</f>
        <v>0</v>
      </c>
      <c r="Q8" s="18" t="str">
        <f>IF(AND(OR(R7=0,R7=""),N8=0),IF(N9=0,"",'Drilling Spec'!$C$30),P8)</f>
        <v/>
      </c>
      <c r="S8">
        <f t="shared" si="13"/>
        <v>4</v>
      </c>
      <c r="T8" s="10"/>
      <c r="U8">
        <f>IF('Baseline 2 - Good, 16hr'!L9&gt;'Baseline 2 - Good, 16hr'!S8,'Drilling Spec'!$C$36,)</f>
        <v>0</v>
      </c>
      <c r="W8" s="17" t="e">
        <f>(J8-'Drilling Spec'!$C$26)/'Drilling Spec'!$C$38</f>
        <v>#VALUE!</v>
      </c>
      <c r="X8" s="17">
        <f t="shared" si="6"/>
        <v>0</v>
      </c>
      <c r="Y8" s="17">
        <f t="shared" si="7"/>
        <v>0</v>
      </c>
      <c r="Z8" s="10"/>
      <c r="AA8">
        <f>IF(Y8&lt;'Drilling Spec'!$C$39,,'Drilling Spec'!$C$39)</f>
        <v>0</v>
      </c>
      <c r="AD8" s="16" t="e">
        <f t="shared" si="8"/>
        <v>#N/A</v>
      </c>
      <c r="AE8" s="16" t="e">
        <f t="shared" si="9"/>
        <v>#N/A</v>
      </c>
      <c r="AF8">
        <f>-'Drilling Spec'!$C$29</f>
        <v>-720</v>
      </c>
      <c r="AG8">
        <f>-'Drilling Spec'!$C$27</f>
        <v>-624</v>
      </c>
      <c r="AH8">
        <f>-'Drilling Spec'!$C$28</f>
        <v>-688</v>
      </c>
      <c r="AI8" t="e">
        <f t="shared" si="10"/>
        <v>#N/A</v>
      </c>
      <c r="AJ8" t="e">
        <f>IF(T8=0,NA(),-'Drilling Spec'!$C$26/2)</f>
        <v>#N/A</v>
      </c>
      <c r="AK8" t="e">
        <f>IF(U8=0,NA(),-'Drilling Spec'!$C$26/2)</f>
        <v>#N/A</v>
      </c>
      <c r="AL8" t="e">
        <f>IF(Z8=0,NA(),-'Drilling Spec'!$C$26*3/2)</f>
        <v>#N/A</v>
      </c>
      <c r="AM8" t="e">
        <f>IF(AA8=0,NA(),-'Drilling Spec'!$C$26*3/2)</f>
        <v>#N/A</v>
      </c>
    </row>
    <row r="9" spans="1:63" x14ac:dyDescent="0.35">
      <c r="B9" s="2">
        <f t="shared" si="12"/>
        <v>45977</v>
      </c>
      <c r="C9" t="str">
        <f t="shared" si="0"/>
        <v>Sun</v>
      </c>
      <c r="D9" s="10" t="s">
        <v>7</v>
      </c>
      <c r="E9" s="10"/>
      <c r="F9" s="4">
        <f t="shared" si="1"/>
        <v>0</v>
      </c>
      <c r="G9" s="4">
        <f t="shared" si="2"/>
        <v>0</v>
      </c>
      <c r="H9" s="4">
        <f t="shared" si="3"/>
        <v>0</v>
      </c>
      <c r="I9" s="15" t="e">
        <f>(SQRT(4*J8*J8*V*V + 'Drilling Spec'!$C$42*J8 + W*('Drilling Spec'!$C$43 + 2*l*V*(s*W + 2*V*H9/(1+e)) + 'Drilling Spec'!$C$44)) - 'Drilling Spec'!$C$45)/(2*V)</f>
        <v>#VALUE!</v>
      </c>
      <c r="J9" s="16" t="str">
        <f>IF(AND(OR(J8=0,J8=""),G9=0),IF(G10=0,"",'Drilling Spec'!$C$26),I9)</f>
        <v/>
      </c>
      <c r="K9" s="16" t="e">
        <f>MAX(0,J9-'Drilling Spec'!$C$30)</f>
        <v>#VALUE!</v>
      </c>
      <c r="L9" s="18">
        <f>IFERROR(K9/'Drilling Spec'!$C$31,0)</f>
        <v>0</v>
      </c>
      <c r="M9" s="21">
        <f t="shared" si="4"/>
        <v>0</v>
      </c>
      <c r="N9" s="4">
        <f t="shared" si="11"/>
        <v>0</v>
      </c>
      <c r="O9" s="21">
        <f t="shared" si="5"/>
        <v>0</v>
      </c>
      <c r="P9" s="18">
        <f>(SQRT(4*P8*P8*vB*vB + 'Drilling Spec'!$C$48*P8 + WB*('Drilling Spec'!$C$49 + 2*lB*vB*(sB*WB + 2*vB*O9/(1+eB)) + 'Drilling Spec'!$C$50)) - 'Drilling Spec'!$C$51)/(2*vB)</f>
        <v>0</v>
      </c>
      <c r="Q9" s="18" t="str">
        <f>IF(AND(OR(R8=0,R8=""),N9=0),IF(N10=0,"",'Drilling Spec'!$C$30),P9)</f>
        <v/>
      </c>
      <c r="S9">
        <f t="shared" si="13"/>
        <v>4</v>
      </c>
      <c r="T9" s="10"/>
      <c r="U9">
        <f>IF('Baseline 2 - Good, 16hr'!L10&gt;'Baseline 2 - Good, 16hr'!S9,'Drilling Spec'!$C$36,)</f>
        <v>0</v>
      </c>
      <c r="W9" s="17" t="e">
        <f>(J9-'Drilling Spec'!$C$26)/'Drilling Spec'!$C$38</f>
        <v>#VALUE!</v>
      </c>
      <c r="X9" s="17">
        <f t="shared" si="6"/>
        <v>0</v>
      </c>
      <c r="Y9" s="17">
        <f t="shared" si="7"/>
        <v>0</v>
      </c>
      <c r="Z9" s="10"/>
      <c r="AA9">
        <f>IF(Y9&lt;'Drilling Spec'!$C$39,,'Drilling Spec'!$C$39)</f>
        <v>0</v>
      </c>
      <c r="AD9" s="16" t="e">
        <f t="shared" si="8"/>
        <v>#N/A</v>
      </c>
      <c r="AE9" s="16" t="e">
        <f t="shared" si="9"/>
        <v>#N/A</v>
      </c>
      <c r="AF9">
        <f>-'Drilling Spec'!$C$29</f>
        <v>-720</v>
      </c>
      <c r="AG9">
        <f>-'Drilling Spec'!$C$27</f>
        <v>-624</v>
      </c>
      <c r="AH9">
        <f>-'Drilling Spec'!$C$28</f>
        <v>-688</v>
      </c>
      <c r="AI9" t="e">
        <f t="shared" si="10"/>
        <v>#N/A</v>
      </c>
      <c r="AJ9" t="e">
        <f>IF(T9=0,NA(),-'Drilling Spec'!$C$26/2)</f>
        <v>#N/A</v>
      </c>
      <c r="AK9" t="e">
        <f>IF(U9=0,NA(),-'Drilling Spec'!$C$26/2)</f>
        <v>#N/A</v>
      </c>
      <c r="AL9" t="e">
        <f>IF(Z9=0,NA(),-'Drilling Spec'!$C$26*3/2)</f>
        <v>#N/A</v>
      </c>
      <c r="AM9" t="e">
        <f>IF(AA9=0,NA(),-'Drilling Spec'!$C$26*3/2)</f>
        <v>#N/A</v>
      </c>
    </row>
    <row r="10" spans="1:63" x14ac:dyDescent="0.35">
      <c r="B10" s="2">
        <f t="shared" si="12"/>
        <v>45978</v>
      </c>
      <c r="C10" t="str">
        <f t="shared" si="0"/>
        <v>Mon</v>
      </c>
      <c r="D10" s="10" t="s">
        <v>4</v>
      </c>
      <c r="E10" s="10">
        <v>12</v>
      </c>
      <c r="F10" s="4">
        <f t="shared" si="1"/>
        <v>0</v>
      </c>
      <c r="G10" s="4">
        <f t="shared" si="2"/>
        <v>0</v>
      </c>
      <c r="H10" s="4">
        <f t="shared" si="3"/>
        <v>0</v>
      </c>
      <c r="I10" s="15" t="e">
        <f>(SQRT(4*J9*J9*V*V + 'Drilling Spec'!$C$42*J9 + W*('Drilling Spec'!$C$43 + 2*l*V*(s*W + 2*V*H10/(1+e)) + 'Drilling Spec'!$C$44)) - 'Drilling Spec'!$C$45)/(2*V)</f>
        <v>#VALUE!</v>
      </c>
      <c r="J10" s="16" t="str">
        <f>IF(AND(OR(J9=0,J9=""),G10=0),IF(G11=0,"",'Drilling Spec'!$C$26),I10)</f>
        <v/>
      </c>
      <c r="K10" s="16" t="e">
        <f>MAX(0,J10-'Drilling Spec'!$C$30)</f>
        <v>#VALUE!</v>
      </c>
      <c r="L10" s="18">
        <f>IFERROR(K10/'Drilling Spec'!$C$31,0)</f>
        <v>0</v>
      </c>
      <c r="M10" s="21">
        <f t="shared" si="4"/>
        <v>0</v>
      </c>
      <c r="N10" s="4">
        <f t="shared" si="11"/>
        <v>0</v>
      </c>
      <c r="O10" s="21">
        <f t="shared" si="5"/>
        <v>0</v>
      </c>
      <c r="P10" s="18">
        <f>(SQRT(4*P9*P9*vB*vB + 'Drilling Spec'!$C$48*P9 + WB*('Drilling Spec'!$C$49 + 2*lB*vB*(sB*WB + 2*vB*O10/(1+eB)) + 'Drilling Spec'!$C$50)) - 'Drilling Spec'!$C$51)/(2*vB)</f>
        <v>0</v>
      </c>
      <c r="Q10" s="18" t="str">
        <f>IF(AND(OR(R9=0,R9=""),N10=0),IF(N11=0,"",'Drilling Spec'!$C$30),P10)</f>
        <v/>
      </c>
      <c r="S10">
        <f t="shared" si="13"/>
        <v>4</v>
      </c>
      <c r="T10" s="10"/>
      <c r="U10">
        <f>IF('Baseline 2 - Good, 16hr'!L11&gt;'Baseline 2 - Good, 16hr'!S10,'Drilling Spec'!$C$36,)</f>
        <v>0</v>
      </c>
      <c r="W10" s="17" t="e">
        <f>(J10-'Drilling Spec'!$C$26)/'Drilling Spec'!$C$38</f>
        <v>#VALUE!</v>
      </c>
      <c r="X10" s="17">
        <f t="shared" si="6"/>
        <v>0</v>
      </c>
      <c r="Y10" s="17">
        <f t="shared" si="7"/>
        <v>0</v>
      </c>
      <c r="Z10" s="10"/>
      <c r="AA10">
        <f>IF(Y10&lt;'Drilling Spec'!$C$39,,'Drilling Spec'!$C$39)</f>
        <v>0</v>
      </c>
      <c r="AD10" s="16" t="e">
        <f t="shared" si="8"/>
        <v>#N/A</v>
      </c>
      <c r="AE10" s="16" t="e">
        <f t="shared" si="9"/>
        <v>#N/A</v>
      </c>
      <c r="AF10">
        <f>-'Drilling Spec'!$C$29</f>
        <v>-720</v>
      </c>
      <c r="AG10">
        <f>-'Drilling Spec'!$C$27</f>
        <v>-624</v>
      </c>
      <c r="AH10">
        <f>-'Drilling Spec'!$C$28</f>
        <v>-688</v>
      </c>
      <c r="AI10" t="e">
        <f t="shared" si="10"/>
        <v>#N/A</v>
      </c>
      <c r="AJ10" t="e">
        <f>IF(T10=0,NA(),-'Drilling Spec'!$C$26/2)</f>
        <v>#N/A</v>
      </c>
      <c r="AK10" t="e">
        <f>IF(U10=0,NA(),-'Drilling Spec'!$C$26/2)</f>
        <v>#N/A</v>
      </c>
      <c r="AL10" t="e">
        <f>IF(Z10=0,NA(),-'Drilling Spec'!$C$26*3/2)</f>
        <v>#N/A</v>
      </c>
      <c r="AM10" t="e">
        <f>IF(AA10=0,NA(),-'Drilling Spec'!$C$26*3/2)</f>
        <v>#N/A</v>
      </c>
    </row>
    <row r="11" spans="1:63" x14ac:dyDescent="0.35">
      <c r="B11" s="2">
        <f t="shared" si="12"/>
        <v>45979</v>
      </c>
      <c r="C11" t="str">
        <f t="shared" si="0"/>
        <v>Tue</v>
      </c>
      <c r="D11" s="10" t="s">
        <v>4</v>
      </c>
      <c r="E11" s="10">
        <v>12</v>
      </c>
      <c r="F11" s="4">
        <f t="shared" si="1"/>
        <v>0</v>
      </c>
      <c r="G11" s="4">
        <f t="shared" si="2"/>
        <v>0</v>
      </c>
      <c r="H11" s="4">
        <f t="shared" si="3"/>
        <v>0</v>
      </c>
      <c r="I11" s="15" t="e">
        <f>(SQRT(4*J10*J10*V*V + 'Drilling Spec'!$C$42*J10 + W*('Drilling Spec'!$C$43 + 2*l*V*(s*W + 2*V*H11/(1+e)) + 'Drilling Spec'!$C$44)) - 'Drilling Spec'!$C$45)/(2*V)</f>
        <v>#VALUE!</v>
      </c>
      <c r="J11" s="16" t="str">
        <f>IF(AND(OR(J10=0,J10=""),G11=0),IF(G12=0,"",'Drilling Spec'!$C$26),I11)</f>
        <v/>
      </c>
      <c r="K11" s="16" t="e">
        <f>MAX(0,J11-'Drilling Spec'!$C$30)</f>
        <v>#VALUE!</v>
      </c>
      <c r="L11" s="18">
        <f>IFERROR(K11/'Drilling Spec'!$C$31,0)</f>
        <v>0</v>
      </c>
      <c r="M11" s="21">
        <f t="shared" si="4"/>
        <v>0</v>
      </c>
      <c r="N11" s="4">
        <f t="shared" si="11"/>
        <v>0</v>
      </c>
      <c r="O11" s="21">
        <f t="shared" si="5"/>
        <v>0</v>
      </c>
      <c r="P11" s="18">
        <f>(SQRT(4*P10*P10*vB*vB + 'Drilling Spec'!$C$48*P10 + WB*('Drilling Spec'!$C$49 + 2*lB*vB*(sB*WB + 2*vB*O11/(1+eB)) + 'Drilling Spec'!$C$50)) - 'Drilling Spec'!$C$51)/(2*vB)</f>
        <v>0</v>
      </c>
      <c r="Q11" s="18" t="str">
        <f>IF(AND(OR(R10=0,R10=""),N11=0),IF(N12=0,"",'Drilling Spec'!$C$30),P11)</f>
        <v/>
      </c>
      <c r="S11">
        <f t="shared" si="13"/>
        <v>4</v>
      </c>
      <c r="T11" s="10"/>
      <c r="U11">
        <f>IF('Baseline 2 - Good, 16hr'!L12&gt;'Baseline 2 - Good, 16hr'!S11,'Drilling Spec'!$C$36,)</f>
        <v>0</v>
      </c>
      <c r="W11" s="17" t="e">
        <f>(J11-'Drilling Spec'!$C$26)/'Drilling Spec'!$C$38</f>
        <v>#VALUE!</v>
      </c>
      <c r="X11" s="17">
        <f t="shared" si="6"/>
        <v>0</v>
      </c>
      <c r="Y11" s="17">
        <f t="shared" si="7"/>
        <v>0</v>
      </c>
      <c r="Z11" s="10"/>
      <c r="AA11">
        <f>IF(Y11&lt;'Drilling Spec'!$C$39,,'Drilling Spec'!$C$39)</f>
        <v>0</v>
      </c>
      <c r="AD11" s="16" t="e">
        <f t="shared" si="8"/>
        <v>#N/A</v>
      </c>
      <c r="AE11" s="16" t="e">
        <f t="shared" si="9"/>
        <v>#N/A</v>
      </c>
      <c r="AF11">
        <f>-'Drilling Spec'!$C$29</f>
        <v>-720</v>
      </c>
      <c r="AG11">
        <f>-'Drilling Spec'!$C$27</f>
        <v>-624</v>
      </c>
      <c r="AH11">
        <f>-'Drilling Spec'!$C$28</f>
        <v>-688</v>
      </c>
      <c r="AI11" t="e">
        <f t="shared" si="10"/>
        <v>#N/A</v>
      </c>
      <c r="AJ11" t="e">
        <f>IF(T11=0,NA(),-'Drilling Spec'!$C$26/2)</f>
        <v>#N/A</v>
      </c>
      <c r="AK11" t="e">
        <f>IF(U11=0,NA(),-'Drilling Spec'!$C$26/2)</f>
        <v>#N/A</v>
      </c>
      <c r="AL11" t="e">
        <f>IF(Z11=0,NA(),-'Drilling Spec'!$C$26*3/2)</f>
        <v>#N/A</v>
      </c>
      <c r="AM11" t="e">
        <f>IF(AA11=0,NA(),-'Drilling Spec'!$C$26*3/2)</f>
        <v>#N/A</v>
      </c>
    </row>
    <row r="12" spans="1:63" x14ac:dyDescent="0.35">
      <c r="B12" s="2">
        <f t="shared" si="12"/>
        <v>45980</v>
      </c>
      <c r="C12" t="str">
        <f t="shared" si="0"/>
        <v>Wed</v>
      </c>
      <c r="D12" s="10" t="s">
        <v>4</v>
      </c>
      <c r="E12" s="10">
        <v>12</v>
      </c>
      <c r="F12" s="4">
        <f t="shared" si="1"/>
        <v>0</v>
      </c>
      <c r="G12" s="4">
        <f t="shared" si="2"/>
        <v>0</v>
      </c>
      <c r="H12" s="4">
        <f t="shared" si="3"/>
        <v>0</v>
      </c>
      <c r="I12" s="15" t="e">
        <f>(SQRT(4*J11*J11*V*V + 'Drilling Spec'!$C$42*J11 + W*('Drilling Spec'!$C$43 + 2*l*V*(s*W + 2*V*H12/(1+e)) + 'Drilling Spec'!$C$44)) - 'Drilling Spec'!$C$45)/(2*V)</f>
        <v>#VALUE!</v>
      </c>
      <c r="J12" s="16" t="str">
        <f>IF(AND(OR(J11=0,J11=""),G12=0),IF(G13=0,"",'Drilling Spec'!$C$26),I12)</f>
        <v/>
      </c>
      <c r="K12" s="16" t="e">
        <f>MAX(0,J12-'Drilling Spec'!$C$30)</f>
        <v>#VALUE!</v>
      </c>
      <c r="L12" s="18">
        <f>IFERROR(K12/'Drilling Spec'!$C$31,0)</f>
        <v>0</v>
      </c>
      <c r="M12" s="21">
        <f t="shared" si="4"/>
        <v>0</v>
      </c>
      <c r="N12" s="4">
        <f t="shared" si="11"/>
        <v>0</v>
      </c>
      <c r="O12" s="21">
        <f t="shared" si="5"/>
        <v>0</v>
      </c>
      <c r="P12" s="18">
        <f>(SQRT(4*P11*P11*vB*vB + 'Drilling Spec'!$C$48*P11 + WB*('Drilling Spec'!$C$49 + 2*lB*vB*(sB*WB + 2*vB*O12/(1+eB)) + 'Drilling Spec'!$C$50)) - 'Drilling Spec'!$C$51)/(2*vB)</f>
        <v>0</v>
      </c>
      <c r="Q12" s="18" t="str">
        <f>IF(AND(OR(R11=0,R11=""),N12=0),IF(N13=0,"",'Drilling Spec'!$C$30),P12)</f>
        <v/>
      </c>
      <c r="S12">
        <f t="shared" si="13"/>
        <v>4</v>
      </c>
      <c r="T12" s="10"/>
      <c r="U12">
        <f>IF('Baseline 2 - Good, 16hr'!L13&gt;'Baseline 2 - Good, 16hr'!S12,'Drilling Spec'!$C$36,)</f>
        <v>0</v>
      </c>
      <c r="W12" s="17" t="e">
        <f>(J12-'Drilling Spec'!$C$26)/'Drilling Spec'!$C$38</f>
        <v>#VALUE!</v>
      </c>
      <c r="X12" s="17">
        <f t="shared" si="6"/>
        <v>0</v>
      </c>
      <c r="Y12" s="17">
        <f t="shared" si="7"/>
        <v>0</v>
      </c>
      <c r="Z12" s="10"/>
      <c r="AA12">
        <f>IF(Y12&lt;'Drilling Spec'!$C$39,,'Drilling Spec'!$C$39)</f>
        <v>0</v>
      </c>
      <c r="AD12" s="16" t="e">
        <f t="shared" si="8"/>
        <v>#N/A</v>
      </c>
      <c r="AE12" s="16" t="e">
        <f t="shared" si="9"/>
        <v>#N/A</v>
      </c>
      <c r="AF12">
        <f>-'Drilling Spec'!$C$29</f>
        <v>-720</v>
      </c>
      <c r="AG12">
        <f>-'Drilling Spec'!$C$27</f>
        <v>-624</v>
      </c>
      <c r="AH12">
        <f>-'Drilling Spec'!$C$28</f>
        <v>-688</v>
      </c>
      <c r="AI12" t="e">
        <f t="shared" si="10"/>
        <v>#N/A</v>
      </c>
      <c r="AJ12" t="e">
        <f>IF(T12=0,NA(),-'Drilling Spec'!$C$26/2)</f>
        <v>#N/A</v>
      </c>
      <c r="AK12" t="e">
        <f>IF(U12=0,NA(),-'Drilling Spec'!$C$26/2)</f>
        <v>#N/A</v>
      </c>
      <c r="AL12" t="e">
        <f>IF(Z12=0,NA(),-'Drilling Spec'!$C$26*3/2)</f>
        <v>#N/A</v>
      </c>
      <c r="AM12" t="e">
        <f>IF(AA12=0,NA(),-'Drilling Spec'!$C$26*3/2)</f>
        <v>#N/A</v>
      </c>
    </row>
    <row r="13" spans="1:63" x14ac:dyDescent="0.35">
      <c r="B13" s="2">
        <f t="shared" si="12"/>
        <v>45981</v>
      </c>
      <c r="C13" t="str">
        <f t="shared" si="0"/>
        <v>Thu</v>
      </c>
      <c r="D13" s="10" t="s">
        <v>4</v>
      </c>
      <c r="E13" s="10">
        <v>12</v>
      </c>
      <c r="F13" s="4">
        <f t="shared" si="1"/>
        <v>0</v>
      </c>
      <c r="G13" s="4">
        <f t="shared" si="2"/>
        <v>0</v>
      </c>
      <c r="H13" s="4">
        <f t="shared" si="3"/>
        <v>0</v>
      </c>
      <c r="I13" s="15" t="e">
        <f>(SQRT(4*J12*J12*V*V + 'Drilling Spec'!$C$42*J12 + W*('Drilling Spec'!$C$43 + 2*l*V*(s*W + 2*V*H13/(1+e)) + 'Drilling Spec'!$C$44)) - 'Drilling Spec'!$C$45)/(2*V)</f>
        <v>#VALUE!</v>
      </c>
      <c r="J13" s="16" t="str">
        <f>IF(AND(OR(J12=0,J12=""),G13=0),IF(G14=0,"",'Drilling Spec'!$C$26),I13)</f>
        <v/>
      </c>
      <c r="K13" s="16" t="e">
        <f>MAX(0,J13-'Drilling Spec'!$C$30)</f>
        <v>#VALUE!</v>
      </c>
      <c r="L13" s="18">
        <f>IFERROR(K13/'Drilling Spec'!$C$31,0)</f>
        <v>0</v>
      </c>
      <c r="M13" s="21">
        <f t="shared" si="4"/>
        <v>0</v>
      </c>
      <c r="N13" s="4">
        <f t="shared" si="11"/>
        <v>0</v>
      </c>
      <c r="O13" s="21">
        <f t="shared" si="5"/>
        <v>0</v>
      </c>
      <c r="P13" s="18">
        <f>(SQRT(4*P12*P12*vB*vB + 'Drilling Spec'!$C$48*P12 + WB*('Drilling Spec'!$C$49 + 2*lB*vB*(sB*WB + 2*vB*O13/(1+eB)) + 'Drilling Spec'!$C$50)) - 'Drilling Spec'!$C$51)/(2*vB)</f>
        <v>0</v>
      </c>
      <c r="Q13" s="18" t="str">
        <f>IF(AND(OR(R12=0,R12=""),N13=0),IF(N14=0,"",'Drilling Spec'!$C$30),P13)</f>
        <v/>
      </c>
      <c r="S13">
        <f t="shared" si="13"/>
        <v>4</v>
      </c>
      <c r="T13" s="10"/>
      <c r="U13">
        <f>IF('Baseline 2 - Good, 16hr'!L14&gt;'Baseline 2 - Good, 16hr'!S13,'Drilling Spec'!$C$36,)</f>
        <v>0</v>
      </c>
      <c r="W13" s="17" t="e">
        <f>(J13-'Drilling Spec'!$C$26)/'Drilling Spec'!$C$38</f>
        <v>#VALUE!</v>
      </c>
      <c r="X13" s="17">
        <f t="shared" si="6"/>
        <v>0</v>
      </c>
      <c r="Y13" s="17">
        <f t="shared" si="7"/>
        <v>0</v>
      </c>
      <c r="Z13" s="10"/>
      <c r="AA13">
        <f>IF(Y13&lt;'Drilling Spec'!$C$39,,'Drilling Spec'!$C$39)</f>
        <v>0</v>
      </c>
      <c r="AD13" s="16" t="e">
        <f t="shared" si="8"/>
        <v>#N/A</v>
      </c>
      <c r="AE13" s="16" t="e">
        <f t="shared" si="9"/>
        <v>#N/A</v>
      </c>
      <c r="AF13">
        <f>-'Drilling Spec'!$C$29</f>
        <v>-720</v>
      </c>
      <c r="AG13">
        <f>-'Drilling Spec'!$C$27</f>
        <v>-624</v>
      </c>
      <c r="AH13">
        <f>-'Drilling Spec'!$C$28</f>
        <v>-688</v>
      </c>
      <c r="AI13" t="e">
        <f t="shared" si="10"/>
        <v>#N/A</v>
      </c>
      <c r="AJ13" t="e">
        <f>IF(T13=0,NA(),-'Drilling Spec'!$C$26/2)</f>
        <v>#N/A</v>
      </c>
      <c r="AK13" t="e">
        <f>IF(U13=0,NA(),-'Drilling Spec'!$C$26/2)</f>
        <v>#N/A</v>
      </c>
      <c r="AL13" t="e">
        <f>IF(Z13=0,NA(),-'Drilling Spec'!$C$26*3/2)</f>
        <v>#N/A</v>
      </c>
      <c r="AM13" t="e">
        <f>IF(AA13=0,NA(),-'Drilling Spec'!$C$26*3/2)</f>
        <v>#N/A</v>
      </c>
    </row>
    <row r="14" spans="1:63" x14ac:dyDescent="0.35">
      <c r="B14" s="2">
        <f t="shared" si="12"/>
        <v>45982</v>
      </c>
      <c r="C14" t="str">
        <f t="shared" si="0"/>
        <v>Fri</v>
      </c>
      <c r="D14" s="10" t="s">
        <v>4</v>
      </c>
      <c r="E14" s="10">
        <v>12</v>
      </c>
      <c r="F14" s="4">
        <f t="shared" si="1"/>
        <v>0</v>
      </c>
      <c r="G14" s="4">
        <f t="shared" si="2"/>
        <v>0</v>
      </c>
      <c r="H14" s="4">
        <f t="shared" si="3"/>
        <v>0</v>
      </c>
      <c r="I14" s="15" t="e">
        <f>(SQRT(4*J13*J13*V*V + 'Drilling Spec'!$C$42*J13 + W*('Drilling Spec'!$C$43 + 2*l*V*(s*W + 2*V*H14/(1+e)) + 'Drilling Spec'!$C$44)) - 'Drilling Spec'!$C$45)/(2*V)</f>
        <v>#VALUE!</v>
      </c>
      <c r="J14" s="16" t="str">
        <f>IF(AND(OR(J13=0,J13=""),G14=0),IF(G15=0,"",'Drilling Spec'!$C$26),I14)</f>
        <v/>
      </c>
      <c r="K14" s="16" t="e">
        <f>MAX(0,J14-'Drilling Spec'!$C$30)</f>
        <v>#VALUE!</v>
      </c>
      <c r="L14" s="18">
        <f>IFERROR(K14/'Drilling Spec'!$C$31,0)</f>
        <v>0</v>
      </c>
      <c r="M14" s="21">
        <f t="shared" si="4"/>
        <v>0</v>
      </c>
      <c r="N14" s="4">
        <f t="shared" si="11"/>
        <v>0</v>
      </c>
      <c r="O14" s="21">
        <f t="shared" si="5"/>
        <v>0</v>
      </c>
      <c r="P14" s="18">
        <f>(SQRT(4*P13*P13*vB*vB + 'Drilling Spec'!$C$48*P13 + WB*('Drilling Spec'!$C$49 + 2*lB*vB*(sB*WB + 2*vB*O14/(1+eB)) + 'Drilling Spec'!$C$50)) - 'Drilling Spec'!$C$51)/(2*vB)</f>
        <v>0</v>
      </c>
      <c r="Q14" s="18" t="str">
        <f>IF(AND(OR(R13=0,R13=""),N14=0),IF(N15=0,"",'Drilling Spec'!$C$30),P14)</f>
        <v/>
      </c>
      <c r="S14">
        <f t="shared" si="13"/>
        <v>4</v>
      </c>
      <c r="T14" s="10"/>
      <c r="U14">
        <f>IF('Baseline 2 - Good, 16hr'!L15&gt;'Baseline 2 - Good, 16hr'!S14,'Drilling Spec'!$C$36,)</f>
        <v>0</v>
      </c>
      <c r="W14" s="17" t="e">
        <f>(J14-'Drilling Spec'!$C$26)/'Drilling Spec'!$C$38</f>
        <v>#VALUE!</v>
      </c>
      <c r="X14" s="17">
        <f t="shared" si="6"/>
        <v>0</v>
      </c>
      <c r="Y14" s="17">
        <f t="shared" si="7"/>
        <v>0</v>
      </c>
      <c r="Z14" s="10"/>
      <c r="AA14">
        <f>IF(Y14&lt;'Drilling Spec'!$C$39,,'Drilling Spec'!$C$39)</f>
        <v>0</v>
      </c>
      <c r="AD14" s="16" t="e">
        <f t="shared" si="8"/>
        <v>#N/A</v>
      </c>
      <c r="AE14" s="16" t="e">
        <f t="shared" si="9"/>
        <v>#N/A</v>
      </c>
      <c r="AF14">
        <f>-'Drilling Spec'!$C$29</f>
        <v>-720</v>
      </c>
      <c r="AG14">
        <f>-'Drilling Spec'!$C$27</f>
        <v>-624</v>
      </c>
      <c r="AH14">
        <f>-'Drilling Spec'!$C$28</f>
        <v>-688</v>
      </c>
      <c r="AI14" t="e">
        <f t="shared" si="10"/>
        <v>#N/A</v>
      </c>
      <c r="AJ14" t="e">
        <f>IF(T14=0,NA(),-'Drilling Spec'!$C$26/2)</f>
        <v>#N/A</v>
      </c>
      <c r="AK14" t="e">
        <f>IF(U14=0,NA(),-'Drilling Spec'!$C$26/2)</f>
        <v>#N/A</v>
      </c>
      <c r="AL14" t="e">
        <f>IF(Z14=0,NA(),-'Drilling Spec'!$C$26*3/2)</f>
        <v>#N/A</v>
      </c>
      <c r="AM14" t="e">
        <f>IF(AA14=0,NA(),-'Drilling Spec'!$C$26*3/2)</f>
        <v>#N/A</v>
      </c>
    </row>
    <row r="15" spans="1:63" x14ac:dyDescent="0.35">
      <c r="B15" s="2">
        <f t="shared" si="12"/>
        <v>45983</v>
      </c>
      <c r="C15" t="str">
        <f t="shared" si="0"/>
        <v>Sat</v>
      </c>
      <c r="D15" s="10" t="s">
        <v>4</v>
      </c>
      <c r="E15" s="10">
        <v>12</v>
      </c>
      <c r="F15" s="4">
        <f t="shared" si="1"/>
        <v>0</v>
      </c>
      <c r="G15" s="4">
        <f t="shared" si="2"/>
        <v>0</v>
      </c>
      <c r="H15" s="4">
        <f t="shared" si="3"/>
        <v>0</v>
      </c>
      <c r="I15" s="15" t="e">
        <f>(SQRT(4*J14*J14*V*V + 'Drilling Spec'!$C$42*J14 + W*('Drilling Spec'!$C$43 + 2*l*V*(s*W + 2*V*H15/(1+e)) + 'Drilling Spec'!$C$44)) - 'Drilling Spec'!$C$45)/(2*V)</f>
        <v>#VALUE!</v>
      </c>
      <c r="J15" s="16" t="str">
        <f>IF(AND(OR(J14=0,J14=""),G15=0),IF(G16=0,"",'Drilling Spec'!$C$26),I15)</f>
        <v/>
      </c>
      <c r="K15" s="16" t="e">
        <f>MAX(0,J15-'Drilling Spec'!$C$30)</f>
        <v>#VALUE!</v>
      </c>
      <c r="L15" s="18">
        <f>IFERROR(K15/'Drilling Spec'!$C$31,0)</f>
        <v>0</v>
      </c>
      <c r="M15" s="21">
        <f t="shared" si="4"/>
        <v>0</v>
      </c>
      <c r="N15" s="4">
        <f t="shared" si="11"/>
        <v>0</v>
      </c>
      <c r="O15" s="21">
        <f t="shared" si="5"/>
        <v>0</v>
      </c>
      <c r="P15" s="18">
        <f>(SQRT(4*P14*P14*vB*vB + 'Drilling Spec'!$C$48*P14 + WB*('Drilling Spec'!$C$49 + 2*lB*vB*(sB*WB + 2*vB*O15/(1+eB)) + 'Drilling Spec'!$C$50)) - 'Drilling Spec'!$C$51)/(2*vB)</f>
        <v>0</v>
      </c>
      <c r="Q15" s="18" t="str">
        <f>IF(AND(OR(R14=0,R14=""),N15=0),IF(N16=0,"",'Drilling Spec'!$C$30),P15)</f>
        <v/>
      </c>
      <c r="S15">
        <f t="shared" si="13"/>
        <v>4</v>
      </c>
      <c r="T15" s="10"/>
      <c r="U15">
        <f>IF('Baseline 2 - Good, 16hr'!L16&gt;'Baseline 2 - Good, 16hr'!S15,'Drilling Spec'!$C$36,)</f>
        <v>0</v>
      </c>
      <c r="W15" s="17" t="e">
        <f>(J15-'Drilling Spec'!$C$26)/'Drilling Spec'!$C$38</f>
        <v>#VALUE!</v>
      </c>
      <c r="X15" s="17">
        <f t="shared" si="6"/>
        <v>0</v>
      </c>
      <c r="Y15" s="17">
        <f t="shared" si="7"/>
        <v>0</v>
      </c>
      <c r="Z15" s="10"/>
      <c r="AA15">
        <f>IF(Y15&lt;'Drilling Spec'!$C$39,,'Drilling Spec'!$C$39)</f>
        <v>0</v>
      </c>
      <c r="AD15" s="16" t="e">
        <f t="shared" si="8"/>
        <v>#N/A</v>
      </c>
      <c r="AE15" s="16" t="e">
        <f t="shared" si="9"/>
        <v>#N/A</v>
      </c>
      <c r="AF15">
        <f>-'Drilling Spec'!$C$29</f>
        <v>-720</v>
      </c>
      <c r="AG15">
        <f>-'Drilling Spec'!$C$27</f>
        <v>-624</v>
      </c>
      <c r="AH15">
        <f>-'Drilling Spec'!$C$28</f>
        <v>-688</v>
      </c>
      <c r="AI15" t="e">
        <f t="shared" si="10"/>
        <v>#N/A</v>
      </c>
      <c r="AJ15" t="e">
        <f>IF(T15=0,NA(),-'Drilling Spec'!$C$26/2)</f>
        <v>#N/A</v>
      </c>
      <c r="AK15" t="e">
        <f>IF(U15=0,NA(),-'Drilling Spec'!$C$26/2)</f>
        <v>#N/A</v>
      </c>
      <c r="AL15" t="e">
        <f>IF(Z15=0,NA(),-'Drilling Spec'!$C$26*3/2)</f>
        <v>#N/A</v>
      </c>
      <c r="AM15" t="e">
        <f>IF(AA15=0,NA(),-'Drilling Spec'!$C$26*3/2)</f>
        <v>#N/A</v>
      </c>
    </row>
    <row r="16" spans="1:63" x14ac:dyDescent="0.35">
      <c r="B16" s="2">
        <f t="shared" si="12"/>
        <v>45984</v>
      </c>
      <c r="C16" t="str">
        <f t="shared" si="0"/>
        <v>Sun</v>
      </c>
      <c r="D16" s="10" t="s">
        <v>7</v>
      </c>
      <c r="E16" s="10">
        <v>0</v>
      </c>
      <c r="F16" s="4">
        <f t="shared" si="1"/>
        <v>0</v>
      </c>
      <c r="G16" s="4">
        <f t="shared" si="2"/>
        <v>0</v>
      </c>
      <c r="H16" s="4">
        <f t="shared" si="3"/>
        <v>0</v>
      </c>
      <c r="I16" s="15" t="e">
        <f>(SQRT(4*J15*J15*V*V + 'Drilling Spec'!$C$42*J15 + W*('Drilling Spec'!$C$43 + 2*l*V*(s*W + 2*V*H16/(1+e)) + 'Drilling Spec'!$C$44)) - 'Drilling Spec'!$C$45)/(2*V)</f>
        <v>#VALUE!</v>
      </c>
      <c r="J16" s="16">
        <f>IF(AND(OR(J15=0,J15=""),G16=0),IF(G17=0,"",'Drilling Spec'!$C$26),I16)</f>
        <v>70</v>
      </c>
      <c r="K16" s="16">
        <f>MAX(0,J16-'Drilling Spec'!$C$30)</f>
        <v>0</v>
      </c>
      <c r="L16" s="18">
        <f>IFERROR(K16/'Drilling Spec'!$C$31,0)</f>
        <v>0</v>
      </c>
      <c r="M16" s="21">
        <f t="shared" si="4"/>
        <v>0</v>
      </c>
      <c r="N16" s="4">
        <f t="shared" si="11"/>
        <v>0</v>
      </c>
      <c r="O16" s="21">
        <f t="shared" si="5"/>
        <v>0</v>
      </c>
      <c r="P16" s="18">
        <f>(SQRT(4*P15*P15*vB*vB + 'Drilling Spec'!$C$48*P15 + WB*('Drilling Spec'!$C$49 + 2*lB*vB*(sB*WB + 2*vB*O16/(1+eB)) + 'Drilling Spec'!$C$50)) - 'Drilling Spec'!$C$51)/(2*vB)</f>
        <v>0</v>
      </c>
      <c r="Q16" s="18" t="str">
        <f>IF(AND(OR(R15=0,R15=""),N16=0),IF(N17=0,"",'Drilling Spec'!$C$30),P16)</f>
        <v/>
      </c>
      <c r="S16">
        <f t="shared" si="13"/>
        <v>4</v>
      </c>
      <c r="T16" s="10"/>
      <c r="U16">
        <f>IF('Baseline 2 - Good, 16hr'!L17&gt;'Baseline 2 - Good, 16hr'!S16,'Drilling Spec'!$C$36,)</f>
        <v>0</v>
      </c>
      <c r="W16" s="17">
        <f>(J16-'Drilling Spec'!$C$26)/'Drilling Spec'!$C$38</f>
        <v>0</v>
      </c>
      <c r="X16" s="17">
        <f t="shared" si="6"/>
        <v>0</v>
      </c>
      <c r="Y16" s="17">
        <f t="shared" si="7"/>
        <v>0</v>
      </c>
      <c r="Z16" s="10"/>
      <c r="AA16">
        <f>IF(Y16&lt;'Drilling Spec'!$C$39,,'Drilling Spec'!$C$39)</f>
        <v>0</v>
      </c>
      <c r="AD16" s="16">
        <f t="shared" si="8"/>
        <v>-70</v>
      </c>
      <c r="AE16" s="16" t="e">
        <f t="shared" si="9"/>
        <v>#N/A</v>
      </c>
      <c r="AF16">
        <f>-'Drilling Spec'!$C$29</f>
        <v>-720</v>
      </c>
      <c r="AG16">
        <f>-'Drilling Spec'!$C$27</f>
        <v>-624</v>
      </c>
      <c r="AH16">
        <f>-'Drilling Spec'!$C$28</f>
        <v>-688</v>
      </c>
      <c r="AI16" t="e">
        <f t="shared" si="10"/>
        <v>#N/A</v>
      </c>
      <c r="AJ16" t="e">
        <f>IF(T16=0,NA(),-'Drilling Spec'!$C$26/2)</f>
        <v>#N/A</v>
      </c>
      <c r="AK16" t="e">
        <f>IF(U16=0,NA(),-'Drilling Spec'!$C$26/2)</f>
        <v>#N/A</v>
      </c>
      <c r="AL16" t="e">
        <f>IF(Z16=0,NA(),-'Drilling Spec'!$C$26*3/2)</f>
        <v>#N/A</v>
      </c>
      <c r="AM16" t="e">
        <f>IF(AA16=0,NA(),-'Drilling Spec'!$C$26*3/2)</f>
        <v>#N/A</v>
      </c>
    </row>
    <row r="17" spans="2:39" x14ac:dyDescent="0.35">
      <c r="B17" s="2">
        <f t="shared" si="12"/>
        <v>45985</v>
      </c>
      <c r="C17" t="str">
        <f t="shared" si="0"/>
        <v>Mon</v>
      </c>
      <c r="D17" s="10" t="s">
        <v>9</v>
      </c>
      <c r="E17" s="10">
        <v>8</v>
      </c>
      <c r="F17" s="4">
        <f t="shared" si="1"/>
        <v>8</v>
      </c>
      <c r="G17" s="4">
        <f t="shared" si="2"/>
        <v>8</v>
      </c>
      <c r="H17" s="4">
        <f t="shared" si="3"/>
        <v>480</v>
      </c>
      <c r="I17" s="15">
        <f>(SQRT(4*J16*J16*V*V + 'Drilling Spec'!$C$42*J16 + W*('Drilling Spec'!$C$43 + 2*l*V*(s*W + 2*V*H17/(1+e)) + 'Drilling Spec'!$C$44)) - 'Drilling Spec'!$C$45)/(2*V)</f>
        <v>79.833321918590045</v>
      </c>
      <c r="J17" s="16">
        <f>IF(AND(OR(J16=0,J16=""),G17=0),IF(G18=0,"",'Drilling Spec'!$C$26),I17)</f>
        <v>79.833321918590045</v>
      </c>
      <c r="K17" s="16">
        <f>MAX(0,J17-'Drilling Spec'!$C$30)</f>
        <v>0</v>
      </c>
      <c r="L17" s="18">
        <f>IFERROR(K17/'Drilling Spec'!$C$31,0)</f>
        <v>0</v>
      </c>
      <c r="M17" s="21">
        <f t="shared" si="4"/>
        <v>0</v>
      </c>
      <c r="N17" s="4">
        <f t="shared" si="11"/>
        <v>0</v>
      </c>
      <c r="O17" s="21">
        <f t="shared" si="5"/>
        <v>0</v>
      </c>
      <c r="P17" s="18">
        <f>(SQRT(4*P16*P16*vB*vB + 'Drilling Spec'!$C$48*P16 + WB*('Drilling Spec'!$C$49 + 2*lB*vB*(sB*WB + 2*vB*O17/(1+eB)) + 'Drilling Spec'!$C$50)) - 'Drilling Spec'!$C$51)/(2*vB)</f>
        <v>0</v>
      </c>
      <c r="Q17" s="18" t="str">
        <f>IF(AND(OR(R16=0,R16=""),N17=0),IF(N18=0,"",'Drilling Spec'!$C$30),P17)</f>
        <v/>
      </c>
      <c r="S17">
        <f t="shared" si="13"/>
        <v>4</v>
      </c>
      <c r="T17" s="10"/>
      <c r="U17">
        <f>IF('Baseline 2 - Good, 16hr'!L18&gt;'Baseline 2 - Good, 16hr'!S17,'Drilling Spec'!$C$36,)</f>
        <v>0</v>
      </c>
      <c r="W17" s="17">
        <f>(J17-'Drilling Spec'!$C$26)/'Drilling Spec'!$C$38</f>
        <v>1.6388869864316742</v>
      </c>
      <c r="X17" s="17">
        <f t="shared" si="6"/>
        <v>1.6388869864316742</v>
      </c>
      <c r="Y17" s="17">
        <f t="shared" si="7"/>
        <v>1.6388869864316742</v>
      </c>
      <c r="Z17" s="10"/>
      <c r="AA17">
        <f>IF(Y17&lt;'Drilling Spec'!$C$39,,'Drilling Spec'!$C$39)</f>
        <v>0</v>
      </c>
      <c r="AD17" s="16">
        <f t="shared" si="8"/>
        <v>-79.833321918590045</v>
      </c>
      <c r="AE17" s="16" t="e">
        <f t="shared" si="9"/>
        <v>#N/A</v>
      </c>
      <c r="AF17">
        <f>-'Drilling Spec'!$C$29</f>
        <v>-720</v>
      </c>
      <c r="AG17">
        <f>-'Drilling Spec'!$C$27</f>
        <v>-624</v>
      </c>
      <c r="AH17">
        <f>-'Drilling Spec'!$C$28</f>
        <v>-688</v>
      </c>
      <c r="AI17" t="e">
        <f t="shared" si="10"/>
        <v>#N/A</v>
      </c>
      <c r="AJ17" t="e">
        <f>IF(T17=0,NA(),-'Drilling Spec'!$C$26/2)</f>
        <v>#N/A</v>
      </c>
      <c r="AK17" t="e">
        <f>IF(U17=0,NA(),-'Drilling Spec'!$C$26/2)</f>
        <v>#N/A</v>
      </c>
      <c r="AL17" t="e">
        <f>IF(Z17=0,NA(),-'Drilling Spec'!$C$26*3/2)</f>
        <v>#N/A</v>
      </c>
      <c r="AM17" t="e">
        <f>IF(AA17=0,NA(),-'Drilling Spec'!$C$26*3/2)</f>
        <v>#N/A</v>
      </c>
    </row>
    <row r="18" spans="2:39" x14ac:dyDescent="0.35">
      <c r="B18" s="2">
        <f t="shared" si="12"/>
        <v>45986</v>
      </c>
      <c r="C18" t="str">
        <f t="shared" si="0"/>
        <v>Tue</v>
      </c>
      <c r="D18" s="10" t="s">
        <v>9</v>
      </c>
      <c r="E18" s="10">
        <v>8</v>
      </c>
      <c r="F18" s="4">
        <f t="shared" si="1"/>
        <v>8</v>
      </c>
      <c r="G18" s="4">
        <f t="shared" si="2"/>
        <v>16</v>
      </c>
      <c r="H18" s="4">
        <f t="shared" si="3"/>
        <v>480</v>
      </c>
      <c r="I18" s="15">
        <f>(SQRT(4*J17*J17*V*V + 'Drilling Spec'!$C$42*J17 + W*('Drilling Spec'!$C$43 + 2*l*V*(s*W + 2*V*H18/(1+e)) + 'Drilling Spec'!$C$44)) - 'Drilling Spec'!$C$45)/(2*V)</f>
        <v>89.510213628273647</v>
      </c>
      <c r="J18" s="16">
        <f>IF(AND(OR(J17=0,J17=""),G18=0),IF(G19=0,"",'Drilling Spec'!$C$26),I18)</f>
        <v>89.510213628273647</v>
      </c>
      <c r="K18" s="16">
        <f>MAX(0,J18-'Drilling Spec'!$C$30)</f>
        <v>9.5102136282736467</v>
      </c>
      <c r="L18" s="18">
        <f>IFERROR(K18/'Drilling Spec'!$C$31,0)</f>
        <v>0.63401424188490973</v>
      </c>
      <c r="M18" s="21">
        <f t="shared" si="4"/>
        <v>0</v>
      </c>
      <c r="N18" s="4">
        <f t="shared" si="11"/>
        <v>0</v>
      </c>
      <c r="O18" s="21">
        <f t="shared" si="5"/>
        <v>0</v>
      </c>
      <c r="P18" s="18">
        <f>(SQRT(4*P17*P17*vB*vB + 'Drilling Spec'!$C$48*P17 + WB*('Drilling Spec'!$C$49 + 2*lB*vB*(sB*WB + 2*vB*O18/(1+eB)) + 'Drilling Spec'!$C$50)) - 'Drilling Spec'!$C$51)/(2*vB)</f>
        <v>0</v>
      </c>
      <c r="Q18" s="18" t="str">
        <f>IF(AND(OR(R17=0,R17=""),N18=0),IF(N19=0,"",'Drilling Spec'!$C$30),P18)</f>
        <v/>
      </c>
      <c r="S18">
        <f t="shared" si="13"/>
        <v>4</v>
      </c>
      <c r="T18" s="10"/>
      <c r="U18">
        <f>IF('Baseline 2 - Good, 16hr'!L19&gt;'Baseline 2 - Good, 16hr'!S18,'Drilling Spec'!$C$36,)</f>
        <v>0</v>
      </c>
      <c r="W18" s="17">
        <f>(J18-'Drilling Spec'!$C$26)/'Drilling Spec'!$C$38</f>
        <v>3.251702271378941</v>
      </c>
      <c r="X18" s="17">
        <f t="shared" si="6"/>
        <v>1.6128152849472668</v>
      </c>
      <c r="Y18" s="17">
        <f t="shared" si="7"/>
        <v>3.251702271378941</v>
      </c>
      <c r="Z18" s="10"/>
      <c r="AA18">
        <f>IF(Y18&lt;'Drilling Spec'!$C$39,,'Drilling Spec'!$C$39)</f>
        <v>0</v>
      </c>
      <c r="AD18" s="16">
        <f t="shared" si="8"/>
        <v>-89.510213628273647</v>
      </c>
      <c r="AE18" s="16" t="e">
        <f t="shared" si="9"/>
        <v>#N/A</v>
      </c>
      <c r="AF18">
        <f>-'Drilling Spec'!$C$29</f>
        <v>-720</v>
      </c>
      <c r="AG18">
        <f>-'Drilling Spec'!$C$27</f>
        <v>-624</v>
      </c>
      <c r="AH18">
        <f>-'Drilling Spec'!$C$28</f>
        <v>-688</v>
      </c>
      <c r="AI18" t="e">
        <f t="shared" si="10"/>
        <v>#N/A</v>
      </c>
      <c r="AJ18" t="e">
        <f>IF(T18=0,NA(),-'Drilling Spec'!$C$26/2)</f>
        <v>#N/A</v>
      </c>
      <c r="AK18" t="e">
        <f>IF(U18=0,NA(),-'Drilling Spec'!$C$26/2)</f>
        <v>#N/A</v>
      </c>
      <c r="AL18" t="e">
        <f>IF(Z18=0,NA(),-'Drilling Spec'!$C$26*3/2)</f>
        <v>#N/A</v>
      </c>
      <c r="AM18" t="e">
        <f>IF(AA18=0,NA(),-'Drilling Spec'!$C$26*3/2)</f>
        <v>#N/A</v>
      </c>
    </row>
    <row r="19" spans="2:39" x14ac:dyDescent="0.35">
      <c r="B19" s="2">
        <f t="shared" si="12"/>
        <v>45987</v>
      </c>
      <c r="C19" t="str">
        <f t="shared" si="0"/>
        <v>Wed</v>
      </c>
      <c r="D19" s="10" t="s">
        <v>9</v>
      </c>
      <c r="E19" s="10">
        <v>8</v>
      </c>
      <c r="F19" s="4">
        <f t="shared" si="1"/>
        <v>8</v>
      </c>
      <c r="G19" s="4">
        <f t="shared" si="2"/>
        <v>24</v>
      </c>
      <c r="H19" s="4">
        <f t="shared" si="3"/>
        <v>480</v>
      </c>
      <c r="I19" s="15">
        <f>(SQRT(4*J18*J18*V*V + 'Drilling Spec'!$C$42*J18 + W*('Drilling Spec'!$C$43 + 2*l*V*(s*W + 2*V*H19/(1+e)) + 'Drilling Spec'!$C$44)) - 'Drilling Spec'!$C$45)/(2*V)</f>
        <v>99.037911344051594</v>
      </c>
      <c r="J19" s="16">
        <f>IF(AND(OR(J18=0,J18=""),G19=0),IF(G20=0,"",'Drilling Spec'!$C$26),I19)</f>
        <v>99.037911344051594</v>
      </c>
      <c r="K19" s="16">
        <f>MAX(0,J19-'Drilling Spec'!$C$30)</f>
        <v>19.037911344051594</v>
      </c>
      <c r="L19" s="18">
        <f>IFERROR(K19/'Drilling Spec'!$C$31,0)</f>
        <v>1.2691940896034395</v>
      </c>
      <c r="M19" s="21">
        <f t="shared" si="4"/>
        <v>0</v>
      </c>
      <c r="N19" s="4">
        <f t="shared" si="11"/>
        <v>0</v>
      </c>
      <c r="O19" s="21">
        <f t="shared" si="5"/>
        <v>0</v>
      </c>
      <c r="P19" s="18">
        <f>(SQRT(4*P18*P18*vB*vB + 'Drilling Spec'!$C$48*P18 + WB*('Drilling Spec'!$C$49 + 2*lB*vB*(sB*WB + 2*vB*O19/(1+eB)) + 'Drilling Spec'!$C$50)) - 'Drilling Spec'!$C$51)/(2*vB)</f>
        <v>0</v>
      </c>
      <c r="Q19" s="18" t="str">
        <f>IF(AND(OR(R18=0,R18=""),N19=0),IF(N20=0,"",'Drilling Spec'!$C$30),P19)</f>
        <v/>
      </c>
      <c r="S19">
        <f t="shared" si="13"/>
        <v>4</v>
      </c>
      <c r="T19" s="10"/>
      <c r="U19">
        <f>IF('Baseline 2 - Good, 16hr'!L20&gt;'Baseline 2 - Good, 16hr'!S19,'Drilling Spec'!$C$36,)</f>
        <v>0</v>
      </c>
      <c r="W19" s="17">
        <f>(J19-'Drilling Spec'!$C$26)/'Drilling Spec'!$C$38</f>
        <v>4.8396518906752659</v>
      </c>
      <c r="X19" s="17">
        <f t="shared" si="6"/>
        <v>1.5879496192963249</v>
      </c>
      <c r="Y19" s="17">
        <f t="shared" si="7"/>
        <v>4.8396518906752659</v>
      </c>
      <c r="Z19" s="10"/>
      <c r="AA19">
        <f>IF(Y19&lt;'Drilling Spec'!$C$39,,'Drilling Spec'!$C$39)</f>
        <v>0</v>
      </c>
      <c r="AD19" s="16">
        <f t="shared" si="8"/>
        <v>-99.037911344051594</v>
      </c>
      <c r="AE19" s="16" t="e">
        <f t="shared" si="9"/>
        <v>#N/A</v>
      </c>
      <c r="AF19">
        <f>-'Drilling Spec'!$C$29</f>
        <v>-720</v>
      </c>
      <c r="AG19">
        <f>-'Drilling Spec'!$C$27</f>
        <v>-624</v>
      </c>
      <c r="AH19">
        <f>-'Drilling Spec'!$C$28</f>
        <v>-688</v>
      </c>
      <c r="AI19" t="e">
        <f t="shared" si="10"/>
        <v>#N/A</v>
      </c>
      <c r="AJ19" t="e">
        <f>IF(T19=0,NA(),-'Drilling Spec'!$C$26/2)</f>
        <v>#N/A</v>
      </c>
      <c r="AK19" t="e">
        <f>IF(U19=0,NA(),-'Drilling Spec'!$C$26/2)</f>
        <v>#N/A</v>
      </c>
      <c r="AL19" t="e">
        <f>IF(Z19=0,NA(),-'Drilling Spec'!$C$26*3/2)</f>
        <v>#N/A</v>
      </c>
      <c r="AM19" t="e">
        <f>IF(AA19=0,NA(),-'Drilling Spec'!$C$26*3/2)</f>
        <v>#N/A</v>
      </c>
    </row>
    <row r="20" spans="2:39" x14ac:dyDescent="0.35">
      <c r="B20" s="2">
        <f t="shared" si="12"/>
        <v>45988</v>
      </c>
      <c r="C20" t="str">
        <f t="shared" si="0"/>
        <v>Thu</v>
      </c>
      <c r="D20" s="10" t="s">
        <v>9</v>
      </c>
      <c r="E20" s="10">
        <v>16</v>
      </c>
      <c r="F20" s="4">
        <f t="shared" si="1"/>
        <v>16</v>
      </c>
      <c r="G20" s="4">
        <f t="shared" si="2"/>
        <v>40</v>
      </c>
      <c r="H20" s="4">
        <f t="shared" si="3"/>
        <v>960</v>
      </c>
      <c r="I20" s="15">
        <f>(SQRT(4*J19*J19*V*V + 'Drilling Spec'!$C$42*J19 + W*('Drilling Spec'!$C$43 + 2*l*V*(s*W + 2*V*H20/(1+e)) + 'Drilling Spec'!$C$44)) - 'Drilling Spec'!$C$45)/(2*V)</f>
        <v>117.67201837575895</v>
      </c>
      <c r="J20" s="16">
        <f>IF(AND(OR(J19=0,J19=""),G20=0),IF(G21=0,"",'Drilling Spec'!$C$26),I20)</f>
        <v>117.67201837575895</v>
      </c>
      <c r="K20" s="16">
        <f>MAX(0,J20-'Drilling Spec'!$C$30)</f>
        <v>37.672018375758952</v>
      </c>
      <c r="L20" s="18">
        <f>IFERROR(K20/'Drilling Spec'!$C$31,0)</f>
        <v>2.5114678917172637</v>
      </c>
      <c r="M20" s="21">
        <f t="shared" si="4"/>
        <v>0</v>
      </c>
      <c r="N20" s="4">
        <f t="shared" si="11"/>
        <v>0</v>
      </c>
      <c r="O20" s="21">
        <f t="shared" si="5"/>
        <v>0</v>
      </c>
      <c r="P20" s="18">
        <f>(SQRT(4*P19*P19*vB*vB + 'Drilling Spec'!$C$48*P19 + WB*('Drilling Spec'!$C$49 + 2*lB*vB*(sB*WB + 2*vB*O20/(1+eB)) + 'Drilling Spec'!$C$50)) - 'Drilling Spec'!$C$51)/(2*vB)</f>
        <v>0</v>
      </c>
      <c r="Q20" s="18" t="str">
        <f>IF(AND(OR(R19=0,R19=""),N20=0),IF(N21=0,"",'Drilling Spec'!$C$30),P20)</f>
        <v/>
      </c>
      <c r="S20">
        <f t="shared" si="13"/>
        <v>4</v>
      </c>
      <c r="T20" s="10"/>
      <c r="U20">
        <f>IF('Baseline 2 - Good, 16hr'!L21&gt;'Baseline 2 - Good, 16hr'!S20,'Drilling Spec'!$C$36,)</f>
        <v>0</v>
      </c>
      <c r="W20" s="17">
        <f>(J20-'Drilling Spec'!$C$26)/'Drilling Spec'!$C$38</f>
        <v>7.9453363959598251</v>
      </c>
      <c r="X20" s="17">
        <f t="shared" si="6"/>
        <v>3.1056845052845592</v>
      </c>
      <c r="Y20" s="17">
        <f t="shared" si="7"/>
        <v>7.9453363959598251</v>
      </c>
      <c r="Z20" s="10"/>
      <c r="AA20">
        <f>IF(Y20&lt;'Drilling Spec'!$C$39,,'Drilling Spec'!$C$39)</f>
        <v>0</v>
      </c>
      <c r="AD20" s="16">
        <f t="shared" si="8"/>
        <v>-117.67201837575895</v>
      </c>
      <c r="AE20" s="16" t="e">
        <f t="shared" si="9"/>
        <v>#N/A</v>
      </c>
      <c r="AF20">
        <f>-'Drilling Spec'!$C$29</f>
        <v>-720</v>
      </c>
      <c r="AG20">
        <f>-'Drilling Spec'!$C$27</f>
        <v>-624</v>
      </c>
      <c r="AH20">
        <f>-'Drilling Spec'!$C$28</f>
        <v>-688</v>
      </c>
      <c r="AI20" t="e">
        <f t="shared" si="10"/>
        <v>#N/A</v>
      </c>
      <c r="AJ20" t="e">
        <f>IF(T20=0,NA(),-'Drilling Spec'!$C$26/2)</f>
        <v>#N/A</v>
      </c>
      <c r="AK20" t="e">
        <f>IF(U20=0,NA(),-'Drilling Spec'!$C$26/2)</f>
        <v>#N/A</v>
      </c>
      <c r="AL20" t="e">
        <f>IF(Z20=0,NA(),-'Drilling Spec'!$C$26*3/2)</f>
        <v>#N/A</v>
      </c>
      <c r="AM20" t="e">
        <f>IF(AA20=0,NA(),-'Drilling Spec'!$C$26*3/2)</f>
        <v>#N/A</v>
      </c>
    </row>
    <row r="21" spans="2:39" x14ac:dyDescent="0.35">
      <c r="B21" s="2">
        <f t="shared" si="12"/>
        <v>45989</v>
      </c>
      <c r="C21" t="str">
        <f t="shared" si="0"/>
        <v>Fri</v>
      </c>
      <c r="D21" s="10" t="s">
        <v>9</v>
      </c>
      <c r="E21" s="10">
        <v>16</v>
      </c>
      <c r="F21" s="4">
        <f t="shared" si="1"/>
        <v>16</v>
      </c>
      <c r="G21" s="4">
        <f t="shared" si="2"/>
        <v>56</v>
      </c>
      <c r="H21" s="4">
        <f t="shared" si="3"/>
        <v>960</v>
      </c>
      <c r="I21" s="15">
        <f>(SQRT(4*J20*J20*V*V + 'Drilling Spec'!$C$42*J20 + W*('Drilling Spec'!$C$43 + 2*l*V*(s*W + 2*V*H21/(1+e)) + 'Drilling Spec'!$C$44)) - 'Drilling Spec'!$C$45)/(2*V)</f>
        <v>135.78365027986609</v>
      </c>
      <c r="J21" s="16">
        <f>IF(AND(OR(J20=0,J20=""),G21=0),IF(G22=0,"",'Drilling Spec'!$C$26),I21)</f>
        <v>135.78365027986609</v>
      </c>
      <c r="K21" s="16">
        <f>MAX(0,J21-'Drilling Spec'!$C$30)</f>
        <v>55.783650279866094</v>
      </c>
      <c r="L21" s="18">
        <f>IFERROR(K21/'Drilling Spec'!$C$31,0)</f>
        <v>3.7189100186577395</v>
      </c>
      <c r="M21" s="21">
        <f t="shared" si="4"/>
        <v>0</v>
      </c>
      <c r="N21" s="4">
        <f t="shared" si="11"/>
        <v>0</v>
      </c>
      <c r="O21" s="21">
        <f t="shared" si="5"/>
        <v>0</v>
      </c>
      <c r="P21" s="18">
        <f>(SQRT(4*P20*P20*vB*vB + 'Drilling Spec'!$C$48*P20 + WB*('Drilling Spec'!$C$49 + 2*lB*vB*(sB*WB + 2*vB*O21/(1+eB)) + 'Drilling Spec'!$C$50)) - 'Drilling Spec'!$C$51)/(2*vB)</f>
        <v>0</v>
      </c>
      <c r="Q21" s="18" t="str">
        <f>IF(AND(OR(R20=0,R20=""),N21=0),IF(N22=0,"",'Drilling Spec'!$C$30),P21)</f>
        <v/>
      </c>
      <c r="S21">
        <f t="shared" si="13"/>
        <v>4</v>
      </c>
      <c r="T21" s="10"/>
      <c r="U21">
        <f>IF('Baseline 2 - Good, 16hr'!L22&gt;'Baseline 2 - Good, 16hr'!S21,'Drilling Spec'!$C$36,)</f>
        <v>6</v>
      </c>
      <c r="W21" s="17">
        <f>(J21-'Drilling Spec'!$C$26)/'Drilling Spec'!$C$38</f>
        <v>10.963941713311016</v>
      </c>
      <c r="X21" s="17">
        <f t="shared" si="6"/>
        <v>3.0186053173511906</v>
      </c>
      <c r="Y21" s="17">
        <f t="shared" si="7"/>
        <v>10.963941713311016</v>
      </c>
      <c r="Z21" s="10"/>
      <c r="AA21">
        <f>IF(Y21&lt;'Drilling Spec'!$C$39,,'Drilling Spec'!$C$39)</f>
        <v>0</v>
      </c>
      <c r="AD21" s="16">
        <f t="shared" si="8"/>
        <v>-135.78365027986609</v>
      </c>
      <c r="AE21" s="16" t="e">
        <f t="shared" si="9"/>
        <v>#N/A</v>
      </c>
      <c r="AF21">
        <f>-'Drilling Spec'!$C$29</f>
        <v>-720</v>
      </c>
      <c r="AG21">
        <f>-'Drilling Spec'!$C$27</f>
        <v>-624</v>
      </c>
      <c r="AH21">
        <f>-'Drilling Spec'!$C$28</f>
        <v>-688</v>
      </c>
      <c r="AI21" t="e">
        <f t="shared" si="10"/>
        <v>#N/A</v>
      </c>
      <c r="AJ21" t="e">
        <f>IF(T21=0,NA(),-'Drilling Spec'!$C$26/2)</f>
        <v>#N/A</v>
      </c>
      <c r="AK21">
        <f>IF(U21=0,NA(),-'Drilling Spec'!$C$26/2)</f>
        <v>-35</v>
      </c>
      <c r="AL21" t="e">
        <f>IF(Z21=0,NA(),-'Drilling Spec'!$C$26*3/2)</f>
        <v>#N/A</v>
      </c>
      <c r="AM21" t="e">
        <f>IF(AA21=0,NA(),-'Drilling Spec'!$C$26*3/2)</f>
        <v>#N/A</v>
      </c>
    </row>
    <row r="22" spans="2:39" x14ac:dyDescent="0.35">
      <c r="B22" s="2">
        <f t="shared" si="12"/>
        <v>45990</v>
      </c>
      <c r="C22" t="str">
        <f t="shared" si="0"/>
        <v>Sat</v>
      </c>
      <c r="D22" s="10" t="s">
        <v>9</v>
      </c>
      <c r="E22" s="10">
        <v>16</v>
      </c>
      <c r="F22" s="4">
        <f t="shared" si="1"/>
        <v>16</v>
      </c>
      <c r="G22" s="4">
        <f t="shared" si="2"/>
        <v>72</v>
      </c>
      <c r="H22" s="4">
        <f t="shared" si="3"/>
        <v>960</v>
      </c>
      <c r="I22" s="15">
        <f>(SQRT(4*J21*J21*V*V + 'Drilling Spec'!$C$42*J21 + W*('Drilling Spec'!$C$43 + 2*l*V*(s*W + 2*V*H22/(1+e)) + 'Drilling Spec'!$C$44)) - 'Drilling Spec'!$C$45)/(2*V)</f>
        <v>153.41443656587367</v>
      </c>
      <c r="J22" s="16">
        <f>IF(AND(OR(J21=0,J21=""),G22=0),IF(G23=0,"",'Drilling Spec'!$C$26),I22)</f>
        <v>153.41443656587367</v>
      </c>
      <c r="K22" s="16">
        <f>MAX(0,J22-'Drilling Spec'!$C$30)</f>
        <v>73.414436565873672</v>
      </c>
      <c r="L22" s="18">
        <f>IFERROR(K22/'Drilling Spec'!$C$31,0)</f>
        <v>4.8942957710582444</v>
      </c>
      <c r="M22" s="21">
        <f t="shared" si="4"/>
        <v>0</v>
      </c>
      <c r="N22" s="4">
        <f t="shared" si="11"/>
        <v>0</v>
      </c>
      <c r="O22" s="21">
        <f t="shared" si="5"/>
        <v>0</v>
      </c>
      <c r="P22" s="18">
        <f>(SQRT(4*P21*P21*vB*vB + 'Drilling Spec'!$C$48*P21 + WB*('Drilling Spec'!$C$49 + 2*lB*vB*(sB*WB + 2*vB*O22/(1+eB)) + 'Drilling Spec'!$C$50)) - 'Drilling Spec'!$C$51)/(2*vB)</f>
        <v>0</v>
      </c>
      <c r="Q22" s="18" t="str">
        <f>IF(AND(OR(R21=0,R21=""),N22=0),IF(N23=0,"",'Drilling Spec'!$C$30),P22)</f>
        <v/>
      </c>
      <c r="S22">
        <f t="shared" si="13"/>
        <v>10</v>
      </c>
      <c r="T22" s="10"/>
      <c r="U22">
        <f>IF('Baseline 2 - Good, 16hr'!L23&gt;'Baseline 2 - Good, 16hr'!S22,'Drilling Spec'!$C$36,)</f>
        <v>0</v>
      </c>
      <c r="W22" s="17">
        <f>(J22-'Drilling Spec'!$C$26)/'Drilling Spec'!$C$38</f>
        <v>13.902406094312278</v>
      </c>
      <c r="X22" s="17">
        <f t="shared" si="6"/>
        <v>2.9384643810012623</v>
      </c>
      <c r="Y22" s="17">
        <f t="shared" si="7"/>
        <v>13.902406094312278</v>
      </c>
      <c r="Z22" s="10"/>
      <c r="AA22">
        <f>IF(Y22&lt;'Drilling Spec'!$C$39,,'Drilling Spec'!$C$39)</f>
        <v>0</v>
      </c>
      <c r="AD22" s="16">
        <f t="shared" si="8"/>
        <v>-153.41443656587367</v>
      </c>
      <c r="AE22" s="16" t="e">
        <f t="shared" si="9"/>
        <v>#N/A</v>
      </c>
      <c r="AF22">
        <f>-'Drilling Spec'!$C$29</f>
        <v>-720</v>
      </c>
      <c r="AG22">
        <f>-'Drilling Spec'!$C$27</f>
        <v>-624</v>
      </c>
      <c r="AH22">
        <f>-'Drilling Spec'!$C$28</f>
        <v>-688</v>
      </c>
      <c r="AI22" t="e">
        <f t="shared" si="10"/>
        <v>#N/A</v>
      </c>
      <c r="AJ22" t="e">
        <f>IF(T22=0,NA(),-'Drilling Spec'!$C$26/2)</f>
        <v>#N/A</v>
      </c>
      <c r="AK22" t="e">
        <f>IF(U22=0,NA(),-'Drilling Spec'!$C$26/2)</f>
        <v>#N/A</v>
      </c>
      <c r="AL22" t="e">
        <f>IF(Z22=0,NA(),-'Drilling Spec'!$C$26*3/2)</f>
        <v>#N/A</v>
      </c>
      <c r="AM22" t="e">
        <f>IF(AA22=0,NA(),-'Drilling Spec'!$C$26*3/2)</f>
        <v>#N/A</v>
      </c>
    </row>
    <row r="23" spans="2:39" x14ac:dyDescent="0.35">
      <c r="B23" s="2">
        <f t="shared" si="12"/>
        <v>45991</v>
      </c>
      <c r="C23" t="str">
        <f t="shared" si="0"/>
        <v>Sun</v>
      </c>
      <c r="D23" s="10" t="s">
        <v>9</v>
      </c>
      <c r="E23" s="10">
        <v>16</v>
      </c>
      <c r="F23" s="4">
        <f t="shared" si="1"/>
        <v>16</v>
      </c>
      <c r="G23" s="4">
        <f t="shared" si="2"/>
        <v>88</v>
      </c>
      <c r="H23" s="4">
        <f t="shared" si="3"/>
        <v>960</v>
      </c>
      <c r="I23" s="15">
        <f>(SQRT(4*J22*J22*V*V + 'Drilling Spec'!$C$42*J22 + W*('Drilling Spec'!$C$43 + 2*l*V*(s*W + 2*V*H23/(1+e)) + 'Drilling Spec'!$C$44)) - 'Drilling Spec'!$C$45)/(2*V)</f>
        <v>170.60075568811448</v>
      </c>
      <c r="J23" s="16">
        <f>IF(AND(OR(J22=0,J22=""),G23=0),IF(G24=0,"",'Drilling Spec'!$C$26),I23)</f>
        <v>170.60075568811448</v>
      </c>
      <c r="K23" s="16">
        <f>MAX(0,J23-'Drilling Spec'!$C$30)</f>
        <v>90.600755688114475</v>
      </c>
      <c r="L23" s="18">
        <f>IFERROR(K23/'Drilling Spec'!$C$31,0)</f>
        <v>6.0400503792076314</v>
      </c>
      <c r="M23" s="21">
        <f t="shared" si="4"/>
        <v>0</v>
      </c>
      <c r="N23" s="4">
        <f t="shared" si="11"/>
        <v>0</v>
      </c>
      <c r="O23" s="21">
        <f t="shared" si="5"/>
        <v>0</v>
      </c>
      <c r="P23" s="18">
        <f>(SQRT(4*P22*P22*vB*vB + 'Drilling Spec'!$C$48*P22 + WB*('Drilling Spec'!$C$49 + 2*lB*vB*(sB*WB + 2*vB*O23/(1+eB)) + 'Drilling Spec'!$C$50)) - 'Drilling Spec'!$C$51)/(2*vB)</f>
        <v>0</v>
      </c>
      <c r="Q23" s="18" t="str">
        <f>IF(AND(OR(R22=0,R22=""),N23=0),IF(N24=0,"",'Drilling Spec'!$C$30),P23)</f>
        <v/>
      </c>
      <c r="S23">
        <f t="shared" si="13"/>
        <v>10</v>
      </c>
      <c r="T23" s="10"/>
      <c r="U23">
        <f>IF('Baseline 2 - Good, 16hr'!L24&gt;'Baseline 2 - Good, 16hr'!S23,'Drilling Spec'!$C$36,)</f>
        <v>0</v>
      </c>
      <c r="W23" s="17">
        <f>(J23-'Drilling Spec'!$C$26)/'Drilling Spec'!$C$38</f>
        <v>16.766792614685745</v>
      </c>
      <c r="X23" s="17">
        <f t="shared" si="6"/>
        <v>2.8643865203734666</v>
      </c>
      <c r="Y23" s="17">
        <f t="shared" si="7"/>
        <v>16.766792614685745</v>
      </c>
      <c r="Z23" s="10"/>
      <c r="AA23">
        <f>IF(Y23&lt;'Drilling Spec'!$C$39,,'Drilling Spec'!$C$39)</f>
        <v>0</v>
      </c>
      <c r="AD23" s="16">
        <f t="shared" si="8"/>
        <v>-170.60075568811448</v>
      </c>
      <c r="AE23" s="16" t="e">
        <f t="shared" si="9"/>
        <v>#N/A</v>
      </c>
      <c r="AF23">
        <f>-'Drilling Spec'!$C$29</f>
        <v>-720</v>
      </c>
      <c r="AG23">
        <f>-'Drilling Spec'!$C$27</f>
        <v>-624</v>
      </c>
      <c r="AH23">
        <f>-'Drilling Spec'!$C$28</f>
        <v>-688</v>
      </c>
      <c r="AI23" t="e">
        <f t="shared" si="10"/>
        <v>#N/A</v>
      </c>
      <c r="AJ23" t="e">
        <f>IF(T23=0,NA(),-'Drilling Spec'!$C$26/2)</f>
        <v>#N/A</v>
      </c>
      <c r="AK23" t="e">
        <f>IF(U23=0,NA(),-'Drilling Spec'!$C$26/2)</f>
        <v>#N/A</v>
      </c>
      <c r="AL23" t="e">
        <f>IF(Z23=0,NA(),-'Drilling Spec'!$C$26*3/2)</f>
        <v>#N/A</v>
      </c>
      <c r="AM23" t="e">
        <f>IF(AA23=0,NA(),-'Drilling Spec'!$C$26*3/2)</f>
        <v>#N/A</v>
      </c>
    </row>
    <row r="24" spans="2:39" x14ac:dyDescent="0.35">
      <c r="B24" s="2">
        <f t="shared" si="12"/>
        <v>45992</v>
      </c>
      <c r="C24" t="str">
        <f t="shared" si="0"/>
        <v>Mon</v>
      </c>
      <c r="D24" s="10" t="s">
        <v>9</v>
      </c>
      <c r="E24" s="10">
        <v>16</v>
      </c>
      <c r="F24" s="4">
        <f t="shared" si="1"/>
        <v>16</v>
      </c>
      <c r="G24" s="4">
        <f t="shared" si="2"/>
        <v>104</v>
      </c>
      <c r="H24" s="4">
        <f t="shared" si="3"/>
        <v>960</v>
      </c>
      <c r="I24" s="15">
        <f>(SQRT(4*J23*J23*V*V + 'Drilling Spec'!$C$42*J23 + W*('Drilling Spec'!$C$43 + 2*l*V*(s*W + 2*V*H24/(1+e)) + 'Drilling Spec'!$C$44)) - 'Drilling Spec'!$C$45)/(2*V)</f>
        <v>187.37461805949542</v>
      </c>
      <c r="J24" s="16">
        <f>IF(AND(OR(J23=0,J23=""),G24=0),IF(G25=0,"",'Drilling Spec'!$C$26),I24)</f>
        <v>187.37461805949542</v>
      </c>
      <c r="K24" s="16">
        <f>MAX(0,J24-'Drilling Spec'!$C$30)</f>
        <v>107.37461805949542</v>
      </c>
      <c r="L24" s="18">
        <f>IFERROR(K24/'Drilling Spec'!$C$31,0)</f>
        <v>7.1583078706330276</v>
      </c>
      <c r="M24" s="21">
        <f t="shared" si="4"/>
        <v>0</v>
      </c>
      <c r="N24" s="4">
        <f t="shared" si="11"/>
        <v>0</v>
      </c>
      <c r="O24" s="21">
        <f t="shared" si="5"/>
        <v>0</v>
      </c>
      <c r="P24" s="18">
        <f>(SQRT(4*P23*P23*vB*vB + 'Drilling Spec'!$C$48*P23 + WB*('Drilling Spec'!$C$49 + 2*lB*vB*(sB*WB + 2*vB*O24/(1+eB)) + 'Drilling Spec'!$C$50)) - 'Drilling Spec'!$C$51)/(2*vB)</f>
        <v>0</v>
      </c>
      <c r="Q24" s="18" t="str">
        <f>IF(AND(OR(R23=0,R23=""),N24=0),IF(N25=0,"",'Drilling Spec'!$C$30),P24)</f>
        <v/>
      </c>
      <c r="S24">
        <f t="shared" si="13"/>
        <v>10</v>
      </c>
      <c r="T24" s="10"/>
      <c r="U24">
        <f>IF('Baseline 2 - Good, 16hr'!L25&gt;'Baseline 2 - Good, 16hr'!S24,'Drilling Spec'!$C$36,)</f>
        <v>0</v>
      </c>
      <c r="W24" s="17">
        <f>(J24-'Drilling Spec'!$C$26)/'Drilling Spec'!$C$38</f>
        <v>19.562436343249235</v>
      </c>
      <c r="X24" s="17">
        <f t="shared" si="6"/>
        <v>2.7956437285634905</v>
      </c>
      <c r="Y24" s="17">
        <f t="shared" si="7"/>
        <v>19.562436343249235</v>
      </c>
      <c r="Z24" s="10"/>
      <c r="AA24">
        <f>IF(Y24&lt;'Drilling Spec'!$C$39,,'Drilling Spec'!$C$39)</f>
        <v>0</v>
      </c>
      <c r="AD24" s="16">
        <f t="shared" si="8"/>
        <v>-187.37461805949542</v>
      </c>
      <c r="AE24" s="16" t="e">
        <f t="shared" si="9"/>
        <v>#N/A</v>
      </c>
      <c r="AF24">
        <f>-'Drilling Spec'!$C$29</f>
        <v>-720</v>
      </c>
      <c r="AG24">
        <f>-'Drilling Spec'!$C$27</f>
        <v>-624</v>
      </c>
      <c r="AH24">
        <f>-'Drilling Spec'!$C$28</f>
        <v>-688</v>
      </c>
      <c r="AI24" t="e">
        <f t="shared" si="10"/>
        <v>#N/A</v>
      </c>
      <c r="AJ24" t="e">
        <f>IF(T24=0,NA(),-'Drilling Spec'!$C$26/2)</f>
        <v>#N/A</v>
      </c>
      <c r="AK24" t="e">
        <f>IF(U24=0,NA(),-'Drilling Spec'!$C$26/2)</f>
        <v>#N/A</v>
      </c>
      <c r="AL24" t="e">
        <f>IF(Z24=0,NA(),-'Drilling Spec'!$C$26*3/2)</f>
        <v>#N/A</v>
      </c>
      <c r="AM24" t="e">
        <f>IF(AA24=0,NA(),-'Drilling Spec'!$C$26*3/2)</f>
        <v>#N/A</v>
      </c>
    </row>
    <row r="25" spans="2:39" x14ac:dyDescent="0.35">
      <c r="B25" s="2">
        <f t="shared" si="12"/>
        <v>45993</v>
      </c>
      <c r="C25" t="str">
        <f t="shared" si="0"/>
        <v>Tue</v>
      </c>
      <c r="D25" s="10" t="s">
        <v>9</v>
      </c>
      <c r="E25" s="10">
        <v>16</v>
      </c>
      <c r="F25" s="4">
        <f t="shared" si="1"/>
        <v>16</v>
      </c>
      <c r="G25" s="4">
        <f t="shared" si="2"/>
        <v>120</v>
      </c>
      <c r="H25" s="4">
        <f t="shared" si="3"/>
        <v>960</v>
      </c>
      <c r="I25" s="15">
        <f>(SQRT(4*J24*J24*V*V + 'Drilling Spec'!$C$42*J24 + W*('Drilling Spec'!$C$43 + 2*l*V*(s*W + 2*V*H25/(1+e)) + 'Drilling Spec'!$C$44)) - 'Drilling Spec'!$C$45)/(2*V)</f>
        <v>203.76436685764563</v>
      </c>
      <c r="J25" s="16">
        <f>IF(AND(OR(J24=0,J24=""),G25=0),IF(G26=0,"",'Drilling Spec'!$C$26),I25)</f>
        <v>203.76436685764563</v>
      </c>
      <c r="K25" s="16">
        <f>MAX(0,J25-'Drilling Spec'!$C$30)</f>
        <v>123.76436685764563</v>
      </c>
      <c r="L25" s="18">
        <f>IFERROR(K25/'Drilling Spec'!$C$31,0)</f>
        <v>8.2509577905097089</v>
      </c>
      <c r="M25" s="21">
        <f t="shared" si="4"/>
        <v>0</v>
      </c>
      <c r="N25" s="4">
        <f t="shared" si="11"/>
        <v>0</v>
      </c>
      <c r="O25" s="21">
        <f t="shared" si="5"/>
        <v>0</v>
      </c>
      <c r="P25" s="18">
        <f>(SQRT(4*P24*P24*vB*vB + 'Drilling Spec'!$C$48*P24 + WB*('Drilling Spec'!$C$49 + 2*lB*vB*(sB*WB + 2*vB*O25/(1+eB)) + 'Drilling Spec'!$C$50)) - 'Drilling Spec'!$C$51)/(2*vB)</f>
        <v>0</v>
      </c>
      <c r="Q25" s="18" t="str">
        <f>IF(AND(OR(R24=0,R24=""),N25=0),IF(N26=0,"",'Drilling Spec'!$C$30),P25)</f>
        <v/>
      </c>
      <c r="S25">
        <f t="shared" si="13"/>
        <v>10</v>
      </c>
      <c r="T25" s="10"/>
      <c r="U25">
        <f>IF('Baseline 2 - Good, 16hr'!L26&gt;'Baseline 2 - Good, 16hr'!S25,'Drilling Spec'!$C$36,)</f>
        <v>0</v>
      </c>
      <c r="W25" s="17">
        <f>(J25-'Drilling Spec'!$C$26)/'Drilling Spec'!$C$38</f>
        <v>22.294061142940937</v>
      </c>
      <c r="X25" s="17">
        <f t="shared" si="6"/>
        <v>2.7316247996917014</v>
      </c>
      <c r="Y25" s="17">
        <f t="shared" si="7"/>
        <v>22.294061142940937</v>
      </c>
      <c r="Z25" s="10"/>
      <c r="AA25">
        <f>IF(Y25&lt;'Drilling Spec'!$C$39,,'Drilling Spec'!$C$39)</f>
        <v>20</v>
      </c>
      <c r="AD25" s="16">
        <f t="shared" si="8"/>
        <v>-203.76436685764563</v>
      </c>
      <c r="AE25" s="16" t="e">
        <f t="shared" si="9"/>
        <v>#N/A</v>
      </c>
      <c r="AF25">
        <f>-'Drilling Spec'!$C$29</f>
        <v>-720</v>
      </c>
      <c r="AG25">
        <f>-'Drilling Spec'!$C$27</f>
        <v>-624</v>
      </c>
      <c r="AH25">
        <f>-'Drilling Spec'!$C$28</f>
        <v>-688</v>
      </c>
      <c r="AI25" t="e">
        <f t="shared" si="10"/>
        <v>#N/A</v>
      </c>
      <c r="AJ25" t="e">
        <f>IF(T25=0,NA(),-'Drilling Spec'!$C$26/2)</f>
        <v>#N/A</v>
      </c>
      <c r="AK25" t="e">
        <f>IF(U25=0,NA(),-'Drilling Spec'!$C$26/2)</f>
        <v>#N/A</v>
      </c>
      <c r="AL25" t="e">
        <f>IF(Z25=0,NA(),-'Drilling Spec'!$C$26*3/2)</f>
        <v>#N/A</v>
      </c>
      <c r="AM25">
        <f>IF(AA25=0,NA(),-'Drilling Spec'!$C$26*3/2)</f>
        <v>-105</v>
      </c>
    </row>
    <row r="26" spans="2:39" x14ac:dyDescent="0.35">
      <c r="B26" s="2">
        <f t="shared" si="12"/>
        <v>45994</v>
      </c>
      <c r="C26" t="str">
        <f t="shared" si="0"/>
        <v>Wed</v>
      </c>
      <c r="D26" s="10" t="s">
        <v>7</v>
      </c>
      <c r="E26" s="10">
        <v>0</v>
      </c>
      <c r="F26" s="4">
        <f t="shared" si="1"/>
        <v>0</v>
      </c>
      <c r="G26" s="4">
        <f t="shared" si="2"/>
        <v>120</v>
      </c>
      <c r="H26" s="4">
        <f t="shared" si="3"/>
        <v>0</v>
      </c>
      <c r="I26" s="15">
        <f>(SQRT(4*J25*J25*V*V + 'Drilling Spec'!$C$42*J25 + W*('Drilling Spec'!$C$43 + 2*l*V*(s*W + 2*V*H26/(1+e)) + 'Drilling Spec'!$C$44)) - 'Drilling Spec'!$C$45)/(2*V)</f>
        <v>203.76436685764563</v>
      </c>
      <c r="J26" s="16">
        <f>IF(AND(OR(J25=0,J25=""),G26=0),IF(G27=0,"",'Drilling Spec'!$C$26),I26)</f>
        <v>203.76436685764563</v>
      </c>
      <c r="K26" s="16">
        <f>MAX(0,J26-'Drilling Spec'!$C$30)</f>
        <v>123.76436685764563</v>
      </c>
      <c r="L26" s="18">
        <f>IFERROR(K26/'Drilling Spec'!$C$31,0)</f>
        <v>8.2509577905097089</v>
      </c>
      <c r="M26" s="21">
        <f t="shared" si="4"/>
        <v>0</v>
      </c>
      <c r="N26" s="4">
        <f t="shared" si="11"/>
        <v>0</v>
      </c>
      <c r="O26" s="21">
        <f t="shared" si="5"/>
        <v>0</v>
      </c>
      <c r="P26" s="18">
        <f>(SQRT(4*P25*P25*vB*vB + 'Drilling Spec'!$C$48*P25 + WB*('Drilling Spec'!$C$49 + 2*lB*vB*(sB*WB + 2*vB*O26/(1+eB)) + 'Drilling Spec'!$C$50)) - 'Drilling Spec'!$C$51)/(2*vB)</f>
        <v>0</v>
      </c>
      <c r="Q26" s="18" t="str">
        <f>IF(AND(OR(R25=0,R25=""),N26=0),IF(N27=0,"",'Drilling Spec'!$C$30),P26)</f>
        <v/>
      </c>
      <c r="S26">
        <f t="shared" si="13"/>
        <v>10</v>
      </c>
      <c r="T26" s="10"/>
      <c r="U26">
        <f>IF('Baseline 2 - Good, 16hr'!L27&gt;'Baseline 2 - Good, 16hr'!S26,'Drilling Spec'!$C$36,)</f>
        <v>0</v>
      </c>
      <c r="W26" s="17">
        <f>(J26-'Drilling Spec'!$C$26)/'Drilling Spec'!$C$38</f>
        <v>22.294061142940937</v>
      </c>
      <c r="X26" s="17">
        <f t="shared" si="6"/>
        <v>0</v>
      </c>
      <c r="Y26" s="17">
        <f t="shared" si="7"/>
        <v>2.2940611429409365</v>
      </c>
      <c r="Z26" s="10"/>
      <c r="AA26">
        <f>IF(Y26&lt;'Drilling Spec'!$C$39,,'Drilling Spec'!$C$39)</f>
        <v>0</v>
      </c>
      <c r="AD26" s="16">
        <f t="shared" si="8"/>
        <v>-203.76436685764563</v>
      </c>
      <c r="AE26" s="16" t="e">
        <f t="shared" si="9"/>
        <v>#N/A</v>
      </c>
      <c r="AF26">
        <f>-'Drilling Spec'!$C$29</f>
        <v>-720</v>
      </c>
      <c r="AG26">
        <f>-'Drilling Spec'!$C$27</f>
        <v>-624</v>
      </c>
      <c r="AH26">
        <f>-'Drilling Spec'!$C$28</f>
        <v>-688</v>
      </c>
      <c r="AI26" t="e">
        <f t="shared" si="10"/>
        <v>#N/A</v>
      </c>
      <c r="AJ26" t="e">
        <f>IF(T26=0,NA(),-'Drilling Spec'!$C$26/2)</f>
        <v>#N/A</v>
      </c>
      <c r="AK26" t="e">
        <f>IF(U26=0,NA(),-'Drilling Spec'!$C$26/2)</f>
        <v>#N/A</v>
      </c>
      <c r="AL26" t="e">
        <f>IF(Z26=0,NA(),-'Drilling Spec'!$C$26*3/2)</f>
        <v>#N/A</v>
      </c>
      <c r="AM26" t="e">
        <f>IF(AA26=0,NA(),-'Drilling Spec'!$C$26*3/2)</f>
        <v>#N/A</v>
      </c>
    </row>
    <row r="27" spans="2:39" x14ac:dyDescent="0.35">
      <c r="B27" s="2">
        <f t="shared" si="12"/>
        <v>45995</v>
      </c>
      <c r="C27" t="str">
        <f t="shared" si="0"/>
        <v>Thu</v>
      </c>
      <c r="D27" s="10" t="s">
        <v>9</v>
      </c>
      <c r="E27" s="10">
        <v>16</v>
      </c>
      <c r="F27" s="4">
        <f t="shared" si="1"/>
        <v>16</v>
      </c>
      <c r="G27" s="4">
        <f t="shared" si="2"/>
        <v>136</v>
      </c>
      <c r="H27" s="4">
        <f t="shared" si="3"/>
        <v>960</v>
      </c>
      <c r="I27" s="15">
        <f>(SQRT(4*J26*J26*V*V + 'Drilling Spec'!$C$42*J26 + W*('Drilling Spec'!$C$43 + 2*l*V*(s*W + 2*V*H27/(1+e)) + 'Drilling Spec'!$C$44)) - 'Drilling Spec'!$C$45)/(2*V)</f>
        <v>219.79524057238655</v>
      </c>
      <c r="J27" s="16">
        <f>IF(AND(OR(J26=0,J26=""),G27=0),IF(G28=0,"",'Drilling Spec'!$C$26),I27)</f>
        <v>219.79524057238655</v>
      </c>
      <c r="K27" s="16">
        <f>MAX(0,J27-'Drilling Spec'!$C$30)</f>
        <v>139.79524057238655</v>
      </c>
      <c r="L27" s="18">
        <f>IFERROR(K27/'Drilling Spec'!$C$31,0)</f>
        <v>9.3196827048257695</v>
      </c>
      <c r="M27" s="21">
        <f t="shared" si="4"/>
        <v>0</v>
      </c>
      <c r="N27" s="4">
        <f t="shared" si="11"/>
        <v>0</v>
      </c>
      <c r="O27" s="21">
        <f t="shared" si="5"/>
        <v>0</v>
      </c>
      <c r="P27" s="18">
        <f>(SQRT(4*P26*P26*vB*vB + 'Drilling Spec'!$C$48*P26 + WB*('Drilling Spec'!$C$49 + 2*lB*vB*(sB*WB + 2*vB*O27/(1+eB)) + 'Drilling Spec'!$C$50)) - 'Drilling Spec'!$C$51)/(2*vB)</f>
        <v>0</v>
      </c>
      <c r="Q27" s="18" t="str">
        <f>IF(AND(OR(R26=0,R26=""),N27=0),IF(N28=0,"",'Drilling Spec'!$C$30),P27)</f>
        <v/>
      </c>
      <c r="S27">
        <f t="shared" si="13"/>
        <v>10</v>
      </c>
      <c r="T27" s="10"/>
      <c r="U27">
        <f>IF('Baseline 2 - Good, 16hr'!L28&gt;'Baseline 2 - Good, 16hr'!S27,'Drilling Spec'!$C$36,)</f>
        <v>6</v>
      </c>
      <c r="W27" s="17">
        <f>(J27-'Drilling Spec'!$C$26)/'Drilling Spec'!$C$38</f>
        <v>24.96587342873109</v>
      </c>
      <c r="X27" s="17">
        <f t="shared" si="6"/>
        <v>2.6718122857901534</v>
      </c>
      <c r="Y27" s="17">
        <f t="shared" si="7"/>
        <v>4.9658734287310899</v>
      </c>
      <c r="Z27" s="10"/>
      <c r="AA27">
        <f>IF(Y27&lt;'Drilling Spec'!$C$39,,'Drilling Spec'!$C$39)</f>
        <v>0</v>
      </c>
      <c r="AD27" s="16">
        <f t="shared" si="8"/>
        <v>-219.79524057238655</v>
      </c>
      <c r="AE27" s="16" t="e">
        <f t="shared" si="9"/>
        <v>#N/A</v>
      </c>
      <c r="AF27">
        <f>-'Drilling Spec'!$C$29</f>
        <v>-720</v>
      </c>
      <c r="AG27">
        <f>-'Drilling Spec'!$C$27</f>
        <v>-624</v>
      </c>
      <c r="AH27">
        <f>-'Drilling Spec'!$C$28</f>
        <v>-688</v>
      </c>
      <c r="AI27" t="e">
        <f t="shared" si="10"/>
        <v>#N/A</v>
      </c>
      <c r="AJ27" t="e">
        <f>IF(T27=0,NA(),-'Drilling Spec'!$C$26/2)</f>
        <v>#N/A</v>
      </c>
      <c r="AK27">
        <f>IF(U27=0,NA(),-'Drilling Spec'!$C$26/2)</f>
        <v>-35</v>
      </c>
      <c r="AL27" t="e">
        <f>IF(Z27=0,NA(),-'Drilling Spec'!$C$26*3/2)</f>
        <v>#N/A</v>
      </c>
      <c r="AM27" t="e">
        <f>IF(AA27=0,NA(),-'Drilling Spec'!$C$26*3/2)</f>
        <v>#N/A</v>
      </c>
    </row>
    <row r="28" spans="2:39" x14ac:dyDescent="0.35">
      <c r="B28" s="2">
        <f t="shared" si="12"/>
        <v>45996</v>
      </c>
      <c r="C28" t="str">
        <f t="shared" si="0"/>
        <v>Fri</v>
      </c>
      <c r="D28" s="10" t="s">
        <v>9</v>
      </c>
      <c r="E28" s="10">
        <v>16</v>
      </c>
      <c r="F28" s="4">
        <f t="shared" si="1"/>
        <v>16</v>
      </c>
      <c r="G28" s="4">
        <f t="shared" si="2"/>
        <v>152</v>
      </c>
      <c r="H28" s="4">
        <f t="shared" si="3"/>
        <v>960</v>
      </c>
      <c r="I28" s="15">
        <f>(SQRT(4*J27*J27*V*V + 'Drilling Spec'!$C$42*J27 + W*('Drilling Spec'!$C$43 + 2*l*V*(s*W + 2*V*H28/(1+e)) + 'Drilling Spec'!$C$44)) - 'Drilling Spec'!$C$45)/(2*V)</f>
        <v>235.4898292391706</v>
      </c>
      <c r="J28" s="16">
        <f>IF(AND(OR(J27=0,J27=""),G28=0),IF(G29=0,"",'Drilling Spec'!$C$26),I28)</f>
        <v>235.4898292391706</v>
      </c>
      <c r="K28" s="16">
        <f>MAX(0,J28-'Drilling Spec'!$C$30)</f>
        <v>155.4898292391706</v>
      </c>
      <c r="L28" s="18">
        <f>IFERROR(K28/'Drilling Spec'!$C$31,0)</f>
        <v>10.365988615944707</v>
      </c>
      <c r="M28" s="21">
        <f t="shared" si="4"/>
        <v>0</v>
      </c>
      <c r="N28" s="4">
        <f t="shared" si="11"/>
        <v>0</v>
      </c>
      <c r="O28" s="21">
        <f t="shared" si="5"/>
        <v>0</v>
      </c>
      <c r="P28" s="18">
        <f>(SQRT(4*P27*P27*vB*vB + 'Drilling Spec'!$C$48*P27 + WB*('Drilling Spec'!$C$49 + 2*lB*vB*(sB*WB + 2*vB*O28/(1+eB)) + 'Drilling Spec'!$C$50)) - 'Drilling Spec'!$C$51)/(2*vB)</f>
        <v>0</v>
      </c>
      <c r="Q28" s="18" t="str">
        <f>IF(AND(OR(R27=0,R27=""),N28=0),IF(N29=0,"",'Drilling Spec'!$C$30),P28)</f>
        <v/>
      </c>
      <c r="S28">
        <f t="shared" si="13"/>
        <v>16</v>
      </c>
      <c r="T28" s="10"/>
      <c r="U28">
        <f>IF('Baseline 2 - Good, 16hr'!L29&gt;'Baseline 2 - Good, 16hr'!S28,'Drilling Spec'!$C$36,)</f>
        <v>0</v>
      </c>
      <c r="W28" s="17">
        <f>(J28-'Drilling Spec'!$C$26)/'Drilling Spec'!$C$38</f>
        <v>27.581638206528435</v>
      </c>
      <c r="X28" s="17">
        <f t="shared" si="6"/>
        <v>2.6157647777973452</v>
      </c>
      <c r="Y28" s="17">
        <f t="shared" si="7"/>
        <v>7.5816382065284351</v>
      </c>
      <c r="Z28" s="10"/>
      <c r="AA28">
        <f>IF(Y28&lt;'Drilling Spec'!$C$39,,'Drilling Spec'!$C$39)</f>
        <v>0</v>
      </c>
      <c r="AD28" s="16">
        <f t="shared" si="8"/>
        <v>-235.4898292391706</v>
      </c>
      <c r="AE28" s="16" t="e">
        <f t="shared" si="9"/>
        <v>#N/A</v>
      </c>
      <c r="AF28">
        <f>-'Drilling Spec'!$C$29</f>
        <v>-720</v>
      </c>
      <c r="AG28">
        <f>-'Drilling Spec'!$C$27</f>
        <v>-624</v>
      </c>
      <c r="AH28">
        <f>-'Drilling Spec'!$C$28</f>
        <v>-688</v>
      </c>
      <c r="AI28" t="e">
        <f t="shared" si="10"/>
        <v>#N/A</v>
      </c>
      <c r="AJ28" t="e">
        <f>IF(T28=0,NA(),-'Drilling Spec'!$C$26/2)</f>
        <v>#N/A</v>
      </c>
      <c r="AK28" t="e">
        <f>IF(U28=0,NA(),-'Drilling Spec'!$C$26/2)</f>
        <v>#N/A</v>
      </c>
      <c r="AL28" t="e">
        <f>IF(Z28=0,NA(),-'Drilling Spec'!$C$26*3/2)</f>
        <v>#N/A</v>
      </c>
      <c r="AM28" t="e">
        <f>IF(AA28=0,NA(),-'Drilling Spec'!$C$26*3/2)</f>
        <v>#N/A</v>
      </c>
    </row>
    <row r="29" spans="2:39" x14ac:dyDescent="0.35">
      <c r="B29" s="2">
        <f t="shared" si="12"/>
        <v>45997</v>
      </c>
      <c r="C29" t="str">
        <f t="shared" si="0"/>
        <v>Sat</v>
      </c>
      <c r="D29" s="10" t="s">
        <v>9</v>
      </c>
      <c r="E29" s="10">
        <v>16</v>
      </c>
      <c r="F29" s="4">
        <f t="shared" si="1"/>
        <v>16</v>
      </c>
      <c r="G29" s="4">
        <f t="shared" si="2"/>
        <v>168</v>
      </c>
      <c r="H29" s="4">
        <f t="shared" si="3"/>
        <v>960</v>
      </c>
      <c r="I29" s="15">
        <f>(SQRT(4*J28*J28*V*V + 'Drilling Spec'!$C$42*J28 + W*('Drilling Spec'!$C$43 + 2*l*V*(s*W + 2*V*H29/(1+e)) + 'Drilling Spec'!$C$44)) - 'Drilling Spec'!$C$45)/(2*V)</f>
        <v>250.86844793033515</v>
      </c>
      <c r="J29" s="16">
        <f>IF(AND(OR(J28=0,J28=""),G29=0),IF(G30=0,"",'Drilling Spec'!$C$26),I29)</f>
        <v>250.86844793033515</v>
      </c>
      <c r="K29" s="16">
        <f>MAX(0,J29-'Drilling Spec'!$C$30)</f>
        <v>170.86844793033515</v>
      </c>
      <c r="L29" s="18">
        <f>IFERROR(K29/'Drilling Spec'!$C$31,0)</f>
        <v>11.391229862022344</v>
      </c>
      <c r="M29" s="21">
        <f t="shared" si="4"/>
        <v>0</v>
      </c>
      <c r="N29" s="4">
        <f t="shared" si="11"/>
        <v>0</v>
      </c>
      <c r="O29" s="21">
        <f t="shared" si="5"/>
        <v>0</v>
      </c>
      <c r="P29" s="18">
        <f>(SQRT(4*P28*P28*vB*vB + 'Drilling Spec'!$C$48*P28 + WB*('Drilling Spec'!$C$49 + 2*lB*vB*(sB*WB + 2*vB*O29/(1+eB)) + 'Drilling Spec'!$C$50)) - 'Drilling Spec'!$C$51)/(2*vB)</f>
        <v>0</v>
      </c>
      <c r="Q29" s="18" t="str">
        <f>IF(AND(OR(R28=0,R28=""),N29=0),IF(N30=0,"",'Drilling Spec'!$C$30),P29)</f>
        <v/>
      </c>
      <c r="S29">
        <f t="shared" si="13"/>
        <v>16</v>
      </c>
      <c r="T29" s="10"/>
      <c r="U29">
        <f>IF('Baseline 2 - Good, 16hr'!L30&gt;'Baseline 2 - Good, 16hr'!S29,'Drilling Spec'!$C$36,)</f>
        <v>0</v>
      </c>
      <c r="W29" s="17">
        <f>(J29-'Drilling Spec'!$C$26)/'Drilling Spec'!$C$38</f>
        <v>30.144741321722524</v>
      </c>
      <c r="X29" s="17">
        <f t="shared" si="6"/>
        <v>2.5631031151940888</v>
      </c>
      <c r="Y29" s="17">
        <f t="shared" si="7"/>
        <v>10.144741321722524</v>
      </c>
      <c r="Z29" s="10"/>
      <c r="AA29">
        <f>IF(Y29&lt;'Drilling Spec'!$C$39,,'Drilling Spec'!$C$39)</f>
        <v>0</v>
      </c>
      <c r="AD29" s="16">
        <f t="shared" si="8"/>
        <v>-250.86844793033515</v>
      </c>
      <c r="AE29" s="16" t="e">
        <f t="shared" si="9"/>
        <v>#N/A</v>
      </c>
      <c r="AF29">
        <f>-'Drilling Spec'!$C$29</f>
        <v>-720</v>
      </c>
      <c r="AG29">
        <f>-'Drilling Spec'!$C$27</f>
        <v>-624</v>
      </c>
      <c r="AH29">
        <f>-'Drilling Spec'!$C$28</f>
        <v>-688</v>
      </c>
      <c r="AI29" t="e">
        <f t="shared" si="10"/>
        <v>#N/A</v>
      </c>
      <c r="AJ29" t="e">
        <f>IF(T29=0,NA(),-'Drilling Spec'!$C$26/2)</f>
        <v>#N/A</v>
      </c>
      <c r="AK29" t="e">
        <f>IF(U29=0,NA(),-'Drilling Spec'!$C$26/2)</f>
        <v>#N/A</v>
      </c>
      <c r="AL29" t="e">
        <f>IF(Z29=0,NA(),-'Drilling Spec'!$C$26*3/2)</f>
        <v>#N/A</v>
      </c>
      <c r="AM29" t="e">
        <f>IF(AA29=0,NA(),-'Drilling Spec'!$C$26*3/2)</f>
        <v>#N/A</v>
      </c>
    </row>
    <row r="30" spans="2:39" x14ac:dyDescent="0.35">
      <c r="B30" s="2">
        <f t="shared" si="12"/>
        <v>45998</v>
      </c>
      <c r="C30" t="str">
        <f t="shared" si="0"/>
        <v>Sun</v>
      </c>
      <c r="D30" s="10" t="s">
        <v>9</v>
      </c>
      <c r="E30" s="10">
        <v>16</v>
      </c>
      <c r="F30" s="4">
        <f t="shared" si="1"/>
        <v>16</v>
      </c>
      <c r="G30" s="4">
        <f t="shared" si="2"/>
        <v>184</v>
      </c>
      <c r="H30" s="4">
        <f t="shared" si="3"/>
        <v>960</v>
      </c>
      <c r="I30" s="15">
        <f>(SQRT(4*J29*J29*V*V + 'Drilling Spec'!$C$42*J29 + W*('Drilling Spec'!$C$43 + 2*l*V*(s*W + 2*V*H30/(1+e)) + 'Drilling Spec'!$C$44)) - 'Drilling Spec'!$C$45)/(2*V)</f>
        <v>265.94944513768297</v>
      </c>
      <c r="J30" s="16">
        <f>IF(AND(OR(J29=0,J29=""),G30=0),IF(G31=0,"",'Drilling Spec'!$C$26),I30)</f>
        <v>265.94944513768297</v>
      </c>
      <c r="K30" s="16">
        <f>MAX(0,J30-'Drilling Spec'!$C$30)</f>
        <v>185.94944513768297</v>
      </c>
      <c r="L30" s="18">
        <f>IFERROR(K30/'Drilling Spec'!$C$31,0)</f>
        <v>12.396629675845531</v>
      </c>
      <c r="M30" s="21">
        <f t="shared" si="4"/>
        <v>0</v>
      </c>
      <c r="N30" s="4">
        <f t="shared" si="11"/>
        <v>0</v>
      </c>
      <c r="O30" s="21">
        <f t="shared" si="5"/>
        <v>0</v>
      </c>
      <c r="P30" s="18">
        <f>(SQRT(4*P29*P29*vB*vB + 'Drilling Spec'!$C$48*P29 + WB*('Drilling Spec'!$C$49 + 2*lB*vB*(sB*WB + 2*vB*O30/(1+eB)) + 'Drilling Spec'!$C$50)) - 'Drilling Spec'!$C$51)/(2*vB)</f>
        <v>0</v>
      </c>
      <c r="Q30" s="18" t="str">
        <f>IF(AND(OR(R29=0,R29=""),N30=0),IF(N31=0,"",'Drilling Spec'!$C$30),P30)</f>
        <v/>
      </c>
      <c r="S30">
        <f t="shared" si="13"/>
        <v>16</v>
      </c>
      <c r="T30" s="10"/>
      <c r="U30">
        <f>IF('Baseline 2 - Good, 16hr'!L31&gt;'Baseline 2 - Good, 16hr'!S30,'Drilling Spec'!$C$36,)</f>
        <v>0</v>
      </c>
      <c r="W30" s="17">
        <f>(J30-'Drilling Spec'!$C$26)/'Drilling Spec'!$C$38</f>
        <v>32.658240856280493</v>
      </c>
      <c r="X30" s="17">
        <f t="shared" si="6"/>
        <v>2.5134995345579689</v>
      </c>
      <c r="Y30" s="17">
        <f t="shared" si="7"/>
        <v>12.658240856280493</v>
      </c>
      <c r="Z30" s="10"/>
      <c r="AA30">
        <f>IF(Y30&lt;'Drilling Spec'!$C$39,,'Drilling Spec'!$C$39)</f>
        <v>0</v>
      </c>
      <c r="AD30" s="16">
        <f t="shared" si="8"/>
        <v>-265.94944513768297</v>
      </c>
      <c r="AE30" s="16" t="e">
        <f t="shared" si="9"/>
        <v>#N/A</v>
      </c>
      <c r="AF30">
        <f>-'Drilling Spec'!$C$29</f>
        <v>-720</v>
      </c>
      <c r="AG30">
        <f>-'Drilling Spec'!$C$27</f>
        <v>-624</v>
      </c>
      <c r="AH30">
        <f>-'Drilling Spec'!$C$28</f>
        <v>-688</v>
      </c>
      <c r="AI30" t="e">
        <f t="shared" si="10"/>
        <v>#N/A</v>
      </c>
      <c r="AJ30" t="e">
        <f>IF(T30=0,NA(),-'Drilling Spec'!$C$26/2)</f>
        <v>#N/A</v>
      </c>
      <c r="AK30" t="e">
        <f>IF(U30=0,NA(),-'Drilling Spec'!$C$26/2)</f>
        <v>#N/A</v>
      </c>
      <c r="AL30" t="e">
        <f>IF(Z30=0,NA(),-'Drilling Spec'!$C$26*3/2)</f>
        <v>#N/A</v>
      </c>
      <c r="AM30" t="e">
        <f>IF(AA30=0,NA(),-'Drilling Spec'!$C$26*3/2)</f>
        <v>#N/A</v>
      </c>
    </row>
    <row r="31" spans="2:39" x14ac:dyDescent="0.35">
      <c r="B31" s="2">
        <f t="shared" si="12"/>
        <v>45999</v>
      </c>
      <c r="C31" t="str">
        <f t="shared" si="0"/>
        <v>Mon</v>
      </c>
      <c r="D31" s="10" t="s">
        <v>9</v>
      </c>
      <c r="E31" s="10">
        <v>16</v>
      </c>
      <c r="F31" s="4">
        <f t="shared" si="1"/>
        <v>16</v>
      </c>
      <c r="G31" s="4">
        <f t="shared" si="2"/>
        <v>200</v>
      </c>
      <c r="H31" s="4">
        <f t="shared" si="3"/>
        <v>960</v>
      </c>
      <c r="I31" s="15">
        <f>(SQRT(4*J30*J30*V*V + 'Drilling Spec'!$C$42*J30 + W*('Drilling Spec'!$C$43 + 2*l*V*(s*W + 2*V*H31/(1+e)) + 'Drilling Spec'!$C$44)) - 'Drilling Spec'!$C$45)/(2*V)</f>
        <v>280.74945940361931</v>
      </c>
      <c r="J31" s="16">
        <f>IF(AND(OR(J30=0,J30=""),G31=0),IF(G32=0,"",'Drilling Spec'!$C$26),I31)</f>
        <v>280.74945940361931</v>
      </c>
      <c r="K31" s="16">
        <f>MAX(0,J31-'Drilling Spec'!$C$30)</f>
        <v>200.74945940361931</v>
      </c>
      <c r="L31" s="18">
        <f>IFERROR(K31/'Drilling Spec'!$C$31,0)</f>
        <v>13.383297293574621</v>
      </c>
      <c r="M31" s="21">
        <f t="shared" si="4"/>
        <v>0</v>
      </c>
      <c r="N31" s="4">
        <f t="shared" si="11"/>
        <v>0</v>
      </c>
      <c r="O31" s="21">
        <f t="shared" si="5"/>
        <v>0</v>
      </c>
      <c r="P31" s="18">
        <f>(SQRT(4*P30*P30*vB*vB + 'Drilling Spec'!$C$48*P30 + WB*('Drilling Spec'!$C$49 + 2*lB*vB*(sB*WB + 2*vB*O31/(1+eB)) + 'Drilling Spec'!$C$50)) - 'Drilling Spec'!$C$51)/(2*vB)</f>
        <v>0</v>
      </c>
      <c r="Q31" s="18" t="str">
        <f>IF(AND(OR(R30=0,R30=""),N31=0),IF(N32=0,"",'Drilling Spec'!$C$30),P31)</f>
        <v/>
      </c>
      <c r="S31">
        <f t="shared" si="13"/>
        <v>16</v>
      </c>
      <c r="T31" s="10"/>
      <c r="U31">
        <f>IF('Baseline 2 - Good, 16hr'!L32&gt;'Baseline 2 - Good, 16hr'!S31,'Drilling Spec'!$C$36,)</f>
        <v>0</v>
      </c>
      <c r="W31" s="17">
        <f>(J31-'Drilling Spec'!$C$26)/'Drilling Spec'!$C$38</f>
        <v>35.124909900603221</v>
      </c>
      <c r="X31" s="17">
        <f t="shared" si="6"/>
        <v>2.4666690443227282</v>
      </c>
      <c r="Y31" s="17">
        <f t="shared" si="7"/>
        <v>15.124909900603221</v>
      </c>
      <c r="Z31" s="10"/>
      <c r="AA31">
        <f>IF(Y31&lt;'Drilling Spec'!$C$39,,'Drilling Spec'!$C$39)</f>
        <v>0</v>
      </c>
      <c r="AD31" s="16">
        <f t="shared" si="8"/>
        <v>-280.74945940361931</v>
      </c>
      <c r="AE31" s="16" t="e">
        <f t="shared" si="9"/>
        <v>#N/A</v>
      </c>
      <c r="AF31">
        <f>-'Drilling Spec'!$C$29</f>
        <v>-720</v>
      </c>
      <c r="AG31">
        <f>-'Drilling Spec'!$C$27</f>
        <v>-624</v>
      </c>
      <c r="AH31">
        <f>-'Drilling Spec'!$C$28</f>
        <v>-688</v>
      </c>
      <c r="AI31" t="e">
        <f t="shared" si="10"/>
        <v>#N/A</v>
      </c>
      <c r="AJ31" t="e">
        <f>IF(T31=0,NA(),-'Drilling Spec'!$C$26/2)</f>
        <v>#N/A</v>
      </c>
      <c r="AK31" t="e">
        <f>IF(U31=0,NA(),-'Drilling Spec'!$C$26/2)</f>
        <v>#N/A</v>
      </c>
      <c r="AL31" t="e">
        <f>IF(Z31=0,NA(),-'Drilling Spec'!$C$26*3/2)</f>
        <v>#N/A</v>
      </c>
      <c r="AM31" t="e">
        <f>IF(AA31=0,NA(),-'Drilling Spec'!$C$26*3/2)</f>
        <v>#N/A</v>
      </c>
    </row>
    <row r="32" spans="2:39" x14ac:dyDescent="0.35">
      <c r="B32" s="2">
        <f t="shared" si="12"/>
        <v>46000</v>
      </c>
      <c r="C32" t="str">
        <f t="shared" si="0"/>
        <v>Tue</v>
      </c>
      <c r="D32" s="10" t="s">
        <v>9</v>
      </c>
      <c r="E32" s="10">
        <v>16</v>
      </c>
      <c r="F32" s="4">
        <f t="shared" si="1"/>
        <v>16</v>
      </c>
      <c r="G32" s="4">
        <f t="shared" si="2"/>
        <v>216</v>
      </c>
      <c r="H32" s="4">
        <f t="shared" si="3"/>
        <v>960</v>
      </c>
      <c r="I32" s="15">
        <f>(SQRT(4*J31*J31*V*V + 'Drilling Spec'!$C$42*J31 + W*('Drilling Spec'!$C$43 + 2*l*V*(s*W + 2*V*H32/(1+e)) + 'Drilling Spec'!$C$44)) - 'Drilling Spec'!$C$45)/(2*V)</f>
        <v>295.28363443552183</v>
      </c>
      <c r="J32" s="16">
        <f>IF(AND(OR(J31=0,J31=""),G32=0),IF(G33=0,"",'Drilling Spec'!$C$26),I32)</f>
        <v>295.28363443552183</v>
      </c>
      <c r="K32" s="16">
        <f>MAX(0,J32-'Drilling Spec'!$C$30)</f>
        <v>215.28363443552183</v>
      </c>
      <c r="L32" s="18">
        <f>IFERROR(K32/'Drilling Spec'!$C$31,0)</f>
        <v>14.352242295701455</v>
      </c>
      <c r="M32" s="21">
        <f t="shared" si="4"/>
        <v>0</v>
      </c>
      <c r="N32" s="4">
        <f t="shared" si="11"/>
        <v>0</v>
      </c>
      <c r="O32" s="21">
        <f t="shared" si="5"/>
        <v>0</v>
      </c>
      <c r="P32" s="18">
        <f>(SQRT(4*P31*P31*vB*vB + 'Drilling Spec'!$C$48*P31 + WB*('Drilling Spec'!$C$49 + 2*lB*vB*(sB*WB + 2*vB*O32/(1+eB)) + 'Drilling Spec'!$C$50)) - 'Drilling Spec'!$C$51)/(2*vB)</f>
        <v>0</v>
      </c>
      <c r="Q32" s="18" t="str">
        <f>IF(AND(OR(R31=0,R31=""),N32=0),IF(N33=0,"",'Drilling Spec'!$C$30),P32)</f>
        <v/>
      </c>
      <c r="S32">
        <f t="shared" si="13"/>
        <v>16</v>
      </c>
      <c r="T32" s="10"/>
      <c r="U32">
        <f>IF('Baseline 2 - Good, 16hr'!L33&gt;'Baseline 2 - Good, 16hr'!S32,'Drilling Spec'!$C$36,)</f>
        <v>0</v>
      </c>
      <c r="W32" s="17">
        <f>(J32-'Drilling Spec'!$C$26)/'Drilling Spec'!$C$38</f>
        <v>37.547272405920303</v>
      </c>
      <c r="X32" s="17">
        <f t="shared" si="6"/>
        <v>2.4223625053170821</v>
      </c>
      <c r="Y32" s="17">
        <f t="shared" si="7"/>
        <v>17.547272405920303</v>
      </c>
      <c r="Z32" s="10"/>
      <c r="AA32">
        <f>IF(Y32&lt;'Drilling Spec'!$C$39,,'Drilling Spec'!$C$39)</f>
        <v>0</v>
      </c>
      <c r="AD32" s="16">
        <f t="shared" si="8"/>
        <v>-295.28363443552183</v>
      </c>
      <c r="AE32" s="16" t="e">
        <f t="shared" si="9"/>
        <v>#N/A</v>
      </c>
      <c r="AF32">
        <f>-'Drilling Spec'!$C$29</f>
        <v>-720</v>
      </c>
      <c r="AG32">
        <f>-'Drilling Spec'!$C$27</f>
        <v>-624</v>
      </c>
      <c r="AH32">
        <f>-'Drilling Spec'!$C$28</f>
        <v>-688</v>
      </c>
      <c r="AI32" t="e">
        <f t="shared" si="10"/>
        <v>#N/A</v>
      </c>
      <c r="AJ32" t="e">
        <f>IF(T32=0,NA(),-'Drilling Spec'!$C$26/2)</f>
        <v>#N/A</v>
      </c>
      <c r="AK32" t="e">
        <f>IF(U32=0,NA(),-'Drilling Spec'!$C$26/2)</f>
        <v>#N/A</v>
      </c>
      <c r="AL32" t="e">
        <f>IF(Z32=0,NA(),-'Drilling Spec'!$C$26*3/2)</f>
        <v>#N/A</v>
      </c>
      <c r="AM32" t="e">
        <f>IF(AA32=0,NA(),-'Drilling Spec'!$C$26*3/2)</f>
        <v>#N/A</v>
      </c>
    </row>
    <row r="33" spans="2:44" x14ac:dyDescent="0.35">
      <c r="B33" s="2">
        <f t="shared" si="12"/>
        <v>46001</v>
      </c>
      <c r="C33" t="str">
        <f t="shared" si="0"/>
        <v>Wed</v>
      </c>
      <c r="D33" s="10" t="s">
        <v>7</v>
      </c>
      <c r="E33" s="10">
        <v>0</v>
      </c>
      <c r="F33" s="4">
        <f t="shared" si="1"/>
        <v>0</v>
      </c>
      <c r="G33" s="4">
        <f t="shared" si="2"/>
        <v>216</v>
      </c>
      <c r="H33" s="4">
        <f t="shared" si="3"/>
        <v>0</v>
      </c>
      <c r="I33" s="15">
        <f>(SQRT(4*J32*J32*V*V + 'Drilling Spec'!$C$42*J32 + W*('Drilling Spec'!$C$43 + 2*l*V*(s*W + 2*V*H33/(1+e)) + 'Drilling Spec'!$C$44)) - 'Drilling Spec'!$C$45)/(2*V)</f>
        <v>295.28363443552183</v>
      </c>
      <c r="J33" s="16">
        <f>IF(AND(OR(J32=0,J32=""),G33=0),IF(G34=0,"",'Drilling Spec'!$C$26),I33)</f>
        <v>295.28363443552183</v>
      </c>
      <c r="K33" s="16">
        <f>MAX(0,J33-'Drilling Spec'!$C$30)</f>
        <v>215.28363443552183</v>
      </c>
      <c r="L33" s="18">
        <f>IFERROR(K33/'Drilling Spec'!$C$31,0)</f>
        <v>14.352242295701455</v>
      </c>
      <c r="M33" s="21">
        <f t="shared" si="4"/>
        <v>0</v>
      </c>
      <c r="N33" s="4">
        <f t="shared" si="11"/>
        <v>0</v>
      </c>
      <c r="O33" s="21">
        <f t="shared" si="5"/>
        <v>0</v>
      </c>
      <c r="P33" s="18">
        <f>(SQRT(4*P32*P32*vB*vB + 'Drilling Spec'!$C$48*P32 + WB*('Drilling Spec'!$C$49 + 2*lB*vB*(sB*WB + 2*vB*O33/(1+eB)) + 'Drilling Spec'!$C$50)) - 'Drilling Spec'!$C$51)/(2*vB)</f>
        <v>0</v>
      </c>
      <c r="Q33" s="18" t="str">
        <f>IF(AND(OR(R32=0,R32=""),N33=0),IF(N34=0,"",'Drilling Spec'!$C$30),P33)</f>
        <v/>
      </c>
      <c r="S33">
        <f t="shared" si="13"/>
        <v>16</v>
      </c>
      <c r="T33" s="10"/>
      <c r="U33">
        <f>IF('Baseline 2 - Good, 16hr'!L34&gt;'Baseline 2 - Good, 16hr'!S33,'Drilling Spec'!$C$36,)</f>
        <v>0</v>
      </c>
      <c r="W33" s="17">
        <f>(J33-'Drilling Spec'!$C$26)/'Drilling Spec'!$C$38</f>
        <v>37.547272405920303</v>
      </c>
      <c r="X33" s="17">
        <f t="shared" si="6"/>
        <v>0</v>
      </c>
      <c r="Y33" s="17">
        <f t="shared" si="7"/>
        <v>17.547272405920303</v>
      </c>
      <c r="Z33" s="10"/>
      <c r="AA33">
        <f>IF(Y33&lt;'Drilling Spec'!$C$39,,'Drilling Spec'!$C$39)</f>
        <v>0</v>
      </c>
      <c r="AD33" s="16">
        <f t="shared" si="8"/>
        <v>-295.28363443552183</v>
      </c>
      <c r="AE33" s="16" t="e">
        <f t="shared" si="9"/>
        <v>#N/A</v>
      </c>
      <c r="AF33">
        <f>-'Drilling Spec'!$C$29</f>
        <v>-720</v>
      </c>
      <c r="AG33">
        <f>-'Drilling Spec'!$C$27</f>
        <v>-624</v>
      </c>
      <c r="AH33">
        <f>-'Drilling Spec'!$C$28</f>
        <v>-688</v>
      </c>
      <c r="AI33" t="e">
        <f t="shared" si="10"/>
        <v>#N/A</v>
      </c>
      <c r="AJ33" t="e">
        <f>IF(T33=0,NA(),-'Drilling Spec'!$C$26/2)</f>
        <v>#N/A</v>
      </c>
      <c r="AK33" t="e">
        <f>IF(U33=0,NA(),-'Drilling Spec'!$C$26/2)</f>
        <v>#N/A</v>
      </c>
      <c r="AL33" t="e">
        <f>IF(Z33=0,NA(),-'Drilling Spec'!$C$26*3/2)</f>
        <v>#N/A</v>
      </c>
      <c r="AM33" t="e">
        <f>IF(AA33=0,NA(),-'Drilling Spec'!$C$26*3/2)</f>
        <v>#N/A</v>
      </c>
    </row>
    <row r="34" spans="2:44" x14ac:dyDescent="0.35">
      <c r="B34" s="2">
        <f t="shared" si="12"/>
        <v>46002</v>
      </c>
      <c r="C34" t="str">
        <f t="shared" si="0"/>
        <v>Thu</v>
      </c>
      <c r="D34" s="10" t="s">
        <v>9</v>
      </c>
      <c r="E34" s="10">
        <v>16</v>
      </c>
      <c r="F34" s="4">
        <f t="shared" si="1"/>
        <v>16</v>
      </c>
      <c r="G34" s="4">
        <f t="shared" si="2"/>
        <v>232</v>
      </c>
      <c r="H34" s="4">
        <f t="shared" si="3"/>
        <v>960</v>
      </c>
      <c r="I34" s="15">
        <f>(SQRT(4*J33*J33*V*V + 'Drilling Spec'!$C$42*J33 + W*('Drilling Spec'!$C$43 + 2*l*V*(s*W + 2*V*H34/(1+e)) + 'Drilling Spec'!$C$44)) - 'Drilling Spec'!$C$45)/(2*V)</f>
        <v>309.56580062861497</v>
      </c>
      <c r="J34" s="16">
        <f>IF(AND(OR(J33=0,J33=""),G34=0),IF(G35=0,"",'Drilling Spec'!$C$26),I34)</f>
        <v>309.56580062861497</v>
      </c>
      <c r="K34" s="16">
        <f>MAX(0,J34-'Drilling Spec'!$C$30)</f>
        <v>229.56580062861497</v>
      </c>
      <c r="L34" s="18">
        <f>IFERROR(K34/'Drilling Spec'!$C$31,0)</f>
        <v>15.304386708574331</v>
      </c>
      <c r="M34" s="21">
        <f t="shared" si="4"/>
        <v>0</v>
      </c>
      <c r="N34" s="4">
        <f t="shared" si="11"/>
        <v>0</v>
      </c>
      <c r="O34" s="21">
        <f t="shared" si="5"/>
        <v>0</v>
      </c>
      <c r="P34" s="18">
        <f>(SQRT(4*P33*P33*vB*vB + 'Drilling Spec'!$C$48*P33 + WB*('Drilling Spec'!$C$49 + 2*lB*vB*(sB*WB + 2*vB*O34/(1+eB)) + 'Drilling Spec'!$C$50)) - 'Drilling Spec'!$C$51)/(2*vB)</f>
        <v>0</v>
      </c>
      <c r="Q34" s="18" t="str">
        <f>IF(AND(OR(R33=0,R33=""),N34=0),IF(N35=0,"",'Drilling Spec'!$C$30),P34)</f>
        <v/>
      </c>
      <c r="S34">
        <f t="shared" si="13"/>
        <v>16</v>
      </c>
      <c r="T34" s="10"/>
      <c r="U34">
        <f>IF('Baseline 2 - Good, 16hr'!L35&gt;'Baseline 2 - Good, 16hr'!S34,'Drilling Spec'!$C$36,)</f>
        <v>6</v>
      </c>
      <c r="W34" s="17">
        <f>(J34-'Drilling Spec'!$C$26)/'Drilling Spec'!$C$38</f>
        <v>39.927633438102497</v>
      </c>
      <c r="X34" s="17">
        <f t="shared" si="6"/>
        <v>2.3803610321821935</v>
      </c>
      <c r="Y34" s="17">
        <f t="shared" si="7"/>
        <v>19.927633438102497</v>
      </c>
      <c r="Z34" s="10"/>
      <c r="AA34">
        <f>IF(Y34&lt;'Drilling Spec'!$C$39,,'Drilling Spec'!$C$39)</f>
        <v>0</v>
      </c>
      <c r="AD34" s="16">
        <f t="shared" si="8"/>
        <v>-309.56580062861497</v>
      </c>
      <c r="AE34" s="16" t="e">
        <f t="shared" si="9"/>
        <v>#N/A</v>
      </c>
      <c r="AF34">
        <f>-'Drilling Spec'!$C$29</f>
        <v>-720</v>
      </c>
      <c r="AG34">
        <f>-'Drilling Spec'!$C$27</f>
        <v>-624</v>
      </c>
      <c r="AH34">
        <f>-'Drilling Spec'!$C$28</f>
        <v>-688</v>
      </c>
      <c r="AI34" t="e">
        <f t="shared" si="10"/>
        <v>#N/A</v>
      </c>
      <c r="AJ34" t="e">
        <f>IF(T34=0,NA(),-'Drilling Spec'!$C$26/2)</f>
        <v>#N/A</v>
      </c>
      <c r="AK34">
        <f>IF(U34=0,NA(),-'Drilling Spec'!$C$26/2)</f>
        <v>-35</v>
      </c>
      <c r="AL34" t="e">
        <f>IF(Z34=0,NA(),-'Drilling Spec'!$C$26*3/2)</f>
        <v>#N/A</v>
      </c>
      <c r="AM34" t="e">
        <f>IF(AA34=0,NA(),-'Drilling Spec'!$C$26*3/2)</f>
        <v>#N/A</v>
      </c>
    </row>
    <row r="35" spans="2:44" x14ac:dyDescent="0.35">
      <c r="B35" s="2">
        <f t="shared" si="12"/>
        <v>46003</v>
      </c>
      <c r="C35" t="str">
        <f t="shared" si="0"/>
        <v>Fri</v>
      </c>
      <c r="D35" s="10" t="s">
        <v>9</v>
      </c>
      <c r="E35" s="10">
        <v>16</v>
      </c>
      <c r="F35" s="4">
        <f t="shared" si="1"/>
        <v>16</v>
      </c>
      <c r="G35" s="4">
        <f t="shared" ref="G35:G66" si="14">(G34+F35)</f>
        <v>248</v>
      </c>
      <c r="H35" s="4">
        <f t="shared" si="3"/>
        <v>960</v>
      </c>
      <c r="I35" s="15">
        <f>(SQRT(4*J34*J34*V*V + 'Drilling Spec'!$C$42*J34 + W*('Drilling Spec'!$C$43 + 2*l*V*(s*W + 2*V*H35/(1+e)) + 'Drilling Spec'!$C$44)) - 'Drilling Spec'!$C$45)/(2*V)</f>
        <v>323.60862919440467</v>
      </c>
      <c r="J35" s="16">
        <f>IF(AND(OR(J34=0,J34=""),G35=0),IF(G36=0,"",'Drilling Spec'!$C$26),I35)</f>
        <v>323.60862919440467</v>
      </c>
      <c r="K35" s="16">
        <f>MAX(0,J35-'Drilling Spec'!$C$30)</f>
        <v>243.60862919440467</v>
      </c>
      <c r="L35" s="18">
        <f>IFERROR(K35/'Drilling Spec'!$C$31,0)</f>
        <v>16.240575279626977</v>
      </c>
      <c r="M35" s="21">
        <f t="shared" ref="M35:M66" si="15">IF(D35="Bailing",E35,0)</f>
        <v>0</v>
      </c>
      <c r="N35" s="4">
        <f t="shared" si="11"/>
        <v>0</v>
      </c>
      <c r="O35" s="21">
        <f t="shared" si="5"/>
        <v>0</v>
      </c>
      <c r="P35" s="18">
        <f>(SQRT(4*P34*P34*vB*vB + 'Drilling Spec'!$C$48*P34 + WB*('Drilling Spec'!$C$49 + 2*lB*vB*(sB*WB + 2*vB*O35/(1+eB)) + 'Drilling Spec'!$C$50)) - 'Drilling Spec'!$C$51)/(2*vB)</f>
        <v>0</v>
      </c>
      <c r="Q35" s="18" t="str">
        <f>IF(AND(OR(R34=0,R34=""),N35=0),IF(N36=0,"",'Drilling Spec'!$C$30),P35)</f>
        <v/>
      </c>
      <c r="S35">
        <f t="shared" si="13"/>
        <v>22</v>
      </c>
      <c r="T35" s="10"/>
      <c r="U35">
        <f>IF('Baseline 2 - Good, 16hr'!L36&gt;'Baseline 2 - Good, 16hr'!S35,'Drilling Spec'!$C$36,)</f>
        <v>0</v>
      </c>
      <c r="W35" s="17">
        <f>(J35-'Drilling Spec'!$C$26)/'Drilling Spec'!$C$38</f>
        <v>42.268104865734109</v>
      </c>
      <c r="X35" s="17">
        <f t="shared" ref="X35:X66" si="16">IFERROR(W35-W34,0)</f>
        <v>2.3404714276316128</v>
      </c>
      <c r="Y35" s="17">
        <f t="shared" ref="Y35:Y66" si="17">Y34+X35-Z35-AA34</f>
        <v>22.268104865734109</v>
      </c>
      <c r="Z35" s="10"/>
      <c r="AA35">
        <f>IF(Y35&lt;'Drilling Spec'!$C$39,,'Drilling Spec'!$C$39)</f>
        <v>20</v>
      </c>
      <c r="AD35" s="16">
        <f t="shared" ref="AD35:AD66" si="18">IFERROR(-J35,NA())</f>
        <v>-323.60862919440467</v>
      </c>
      <c r="AE35" s="16" t="e">
        <f t="shared" si="9"/>
        <v>#N/A</v>
      </c>
      <c r="AF35">
        <f>-'Drilling Spec'!$C$29</f>
        <v>-720</v>
      </c>
      <c r="AG35">
        <f>-'Drilling Spec'!$C$27</f>
        <v>-624</v>
      </c>
      <c r="AH35">
        <f>-'Drilling Spec'!$C$28</f>
        <v>-688</v>
      </c>
      <c r="AI35" t="e">
        <f t="shared" si="10"/>
        <v>#N/A</v>
      </c>
      <c r="AJ35" t="e">
        <f>IF(T35=0,NA(),-'Drilling Spec'!$C$26/2)</f>
        <v>#N/A</v>
      </c>
      <c r="AK35" t="e">
        <f>IF(U35=0,NA(),-'Drilling Spec'!$C$26/2)</f>
        <v>#N/A</v>
      </c>
      <c r="AL35" t="e">
        <f>IF(Z35=0,NA(),-'Drilling Spec'!$C$26*3/2)</f>
        <v>#N/A</v>
      </c>
      <c r="AM35">
        <f>IF(AA35=0,NA(),-'Drilling Spec'!$C$26*3/2)</f>
        <v>-105</v>
      </c>
    </row>
    <row r="36" spans="2:44" x14ac:dyDescent="0.35">
      <c r="B36" s="2">
        <f t="shared" si="12"/>
        <v>46004</v>
      </c>
      <c r="C36" t="str">
        <f t="shared" si="0"/>
        <v>Sat</v>
      </c>
      <c r="D36" s="10" t="s">
        <v>9</v>
      </c>
      <c r="E36" s="10">
        <v>16</v>
      </c>
      <c r="F36" s="4">
        <f t="shared" si="1"/>
        <v>16</v>
      </c>
      <c r="G36" s="4">
        <f t="shared" si="14"/>
        <v>264</v>
      </c>
      <c r="H36" s="4">
        <f t="shared" si="3"/>
        <v>960</v>
      </c>
      <c r="I36" s="15">
        <f>(SQRT(4*J35*J35*V*V + 'Drilling Spec'!$C$42*J35 + W*('Drilling Spec'!$C$43 + 2*l*V*(s*W + 2*V*H36/(1+e)) + 'Drilling Spec'!$C$44)) - 'Drilling Spec'!$C$45)/(2*V)</f>
        <v>337.42376378429043</v>
      </c>
      <c r="J36" s="16">
        <f>IF(AND(OR(J35=0,J35=""),G36=0),IF(G37=0,"",'Drilling Spec'!$C$26),I36)</f>
        <v>337.42376378429043</v>
      </c>
      <c r="K36" s="16">
        <f>MAX(0,J36-'Drilling Spec'!$C$30)</f>
        <v>257.42376378429043</v>
      </c>
      <c r="L36" s="18">
        <f>IFERROR(K36/'Drilling Spec'!$C$31,0)</f>
        <v>17.16158425228603</v>
      </c>
      <c r="M36" s="21">
        <f t="shared" si="15"/>
        <v>0</v>
      </c>
      <c r="N36" s="4">
        <f t="shared" si="11"/>
        <v>0</v>
      </c>
      <c r="O36" s="21">
        <f t="shared" si="5"/>
        <v>0</v>
      </c>
      <c r="P36" s="18">
        <f>(SQRT(4*P35*P35*vB*vB + 'Drilling Spec'!$C$48*P35 + WB*('Drilling Spec'!$C$49 + 2*lB*vB*(sB*WB + 2*vB*O36/(1+eB)) + 'Drilling Spec'!$C$50)) - 'Drilling Spec'!$C$51)/(2*vB)</f>
        <v>0</v>
      </c>
      <c r="Q36" s="18" t="str">
        <f>IF(AND(OR(R35=0,R35=""),N36=0),IF(N37=0,"",'Drilling Spec'!$C$30),P36)</f>
        <v/>
      </c>
      <c r="S36">
        <f t="shared" si="13"/>
        <v>22</v>
      </c>
      <c r="T36" s="10"/>
      <c r="U36">
        <f>IF('Baseline 2 - Good, 16hr'!L37&gt;'Baseline 2 - Good, 16hr'!S36,'Drilling Spec'!$C$36,)</f>
        <v>0</v>
      </c>
      <c r="W36" s="17">
        <f>(J36-'Drilling Spec'!$C$26)/'Drilling Spec'!$C$38</f>
        <v>44.570627297381741</v>
      </c>
      <c r="X36" s="17">
        <f t="shared" si="16"/>
        <v>2.3025224316476312</v>
      </c>
      <c r="Y36" s="17">
        <f t="shared" si="17"/>
        <v>4.5706272973817406</v>
      </c>
      <c r="Z36" s="10"/>
      <c r="AA36">
        <f>IF(Y36&lt;'Drilling Spec'!$C$39,,'Drilling Spec'!$C$39)</f>
        <v>0</v>
      </c>
      <c r="AD36" s="16">
        <f t="shared" si="18"/>
        <v>-337.42376378429043</v>
      </c>
      <c r="AE36" s="16" t="e">
        <f t="shared" si="9"/>
        <v>#N/A</v>
      </c>
      <c r="AF36">
        <f>-'Drilling Spec'!$C$29</f>
        <v>-720</v>
      </c>
      <c r="AG36">
        <f>-'Drilling Spec'!$C$27</f>
        <v>-624</v>
      </c>
      <c r="AH36">
        <f>-'Drilling Spec'!$C$28</f>
        <v>-688</v>
      </c>
      <c r="AI36" t="e">
        <f t="shared" si="10"/>
        <v>#N/A</v>
      </c>
      <c r="AJ36" t="e">
        <f>IF(T36=0,NA(),-'Drilling Spec'!$C$26/2)</f>
        <v>#N/A</v>
      </c>
      <c r="AK36" t="e">
        <f>IF(U36=0,NA(),-'Drilling Spec'!$C$26/2)</f>
        <v>#N/A</v>
      </c>
      <c r="AL36" t="e">
        <f>IF(Z36=0,NA(),-'Drilling Spec'!$C$26*3/2)</f>
        <v>#N/A</v>
      </c>
      <c r="AM36" t="e">
        <f>IF(AA36=0,NA(),-'Drilling Spec'!$C$26*3/2)</f>
        <v>#N/A</v>
      </c>
    </row>
    <row r="37" spans="2:44" x14ac:dyDescent="0.35">
      <c r="B37" s="2">
        <f t="shared" si="12"/>
        <v>46005</v>
      </c>
      <c r="C37" t="str">
        <f t="shared" si="0"/>
        <v>Sun</v>
      </c>
      <c r="D37" s="10" t="s">
        <v>9</v>
      </c>
      <c r="E37" s="10">
        <v>16</v>
      </c>
      <c r="F37" s="4">
        <f t="shared" si="1"/>
        <v>16</v>
      </c>
      <c r="G37" s="4">
        <f t="shared" si="14"/>
        <v>280</v>
      </c>
      <c r="H37" s="4">
        <f t="shared" si="3"/>
        <v>960</v>
      </c>
      <c r="I37" s="15">
        <f>(SQRT(4*J36*J36*V*V + 'Drilling Spec'!$C$42*J36 + W*('Drilling Spec'!$C$43 + 2*l*V*(s*W + 2*V*H37/(1+e)) + 'Drilling Spec'!$C$44)) - 'Drilling Spec'!$C$45)/(2*V)</f>
        <v>351.02193349884237</v>
      </c>
      <c r="J37" s="16">
        <f>IF(AND(OR(J36=0,J36=""),G37=0),IF(G38=0,"",'Drilling Spec'!$C$26),I37)</f>
        <v>351.02193349884237</v>
      </c>
      <c r="K37" s="16">
        <f>MAX(0,J37-'Drilling Spec'!$C$30)</f>
        <v>271.02193349884237</v>
      </c>
      <c r="L37" s="18">
        <f>IFERROR(K37/'Drilling Spec'!$C$31,0)</f>
        <v>18.068128899922826</v>
      </c>
      <c r="M37" s="21">
        <f t="shared" si="15"/>
        <v>0</v>
      </c>
      <c r="N37" s="4">
        <f t="shared" si="11"/>
        <v>0</v>
      </c>
      <c r="O37" s="21">
        <f t="shared" si="5"/>
        <v>0</v>
      </c>
      <c r="P37" s="18">
        <f>(SQRT(4*P36*P36*vB*vB + 'Drilling Spec'!$C$48*P36 + WB*('Drilling Spec'!$C$49 + 2*lB*vB*(sB*WB + 2*vB*O37/(1+eB)) + 'Drilling Spec'!$C$50)) - 'Drilling Spec'!$C$51)/(2*vB)</f>
        <v>0</v>
      </c>
      <c r="Q37" s="18" t="str">
        <f>IF(AND(OR(R36=0,R36=""),N37=0),IF(N38=0,"",'Drilling Spec'!$C$30),P37)</f>
        <v/>
      </c>
      <c r="S37">
        <f t="shared" si="13"/>
        <v>22</v>
      </c>
      <c r="T37" s="10"/>
      <c r="U37">
        <f>IF('Baseline 2 - Good, 16hr'!L38&gt;'Baseline 2 - Good, 16hr'!S37,'Drilling Spec'!$C$36,)</f>
        <v>0</v>
      </c>
      <c r="W37" s="17">
        <f>(J37-'Drilling Spec'!$C$26)/'Drilling Spec'!$C$38</f>
        <v>46.836988916473729</v>
      </c>
      <c r="X37" s="17">
        <f t="shared" si="16"/>
        <v>2.2663616190919882</v>
      </c>
      <c r="Y37" s="17">
        <f t="shared" si="17"/>
        <v>6.8369889164737288</v>
      </c>
      <c r="Z37" s="10"/>
      <c r="AA37">
        <f>IF(Y37&lt;'Drilling Spec'!$C$39,,'Drilling Spec'!$C$39)</f>
        <v>0</v>
      </c>
      <c r="AD37" s="16">
        <f t="shared" si="18"/>
        <v>-351.02193349884237</v>
      </c>
      <c r="AE37" s="16" t="e">
        <f t="shared" si="9"/>
        <v>#N/A</v>
      </c>
      <c r="AF37">
        <f>-'Drilling Spec'!$C$29</f>
        <v>-720</v>
      </c>
      <c r="AG37">
        <f>-'Drilling Spec'!$C$27</f>
        <v>-624</v>
      </c>
      <c r="AH37">
        <f>-'Drilling Spec'!$C$28</f>
        <v>-688</v>
      </c>
      <c r="AI37" t="e">
        <f t="shared" si="10"/>
        <v>#N/A</v>
      </c>
      <c r="AJ37" t="e">
        <f>IF(T37=0,NA(),-'Drilling Spec'!$C$26/2)</f>
        <v>#N/A</v>
      </c>
      <c r="AK37" t="e">
        <f>IF(U37=0,NA(),-'Drilling Spec'!$C$26/2)</f>
        <v>#N/A</v>
      </c>
      <c r="AL37" t="e">
        <f>IF(Z37=0,NA(),-'Drilling Spec'!$C$26*3/2)</f>
        <v>#N/A</v>
      </c>
      <c r="AM37" t="e">
        <f>IF(AA37=0,NA(),-'Drilling Spec'!$C$26*3/2)</f>
        <v>#N/A</v>
      </c>
    </row>
    <row r="38" spans="2:44" x14ac:dyDescent="0.35">
      <c r="B38" s="2">
        <f t="shared" si="12"/>
        <v>46006</v>
      </c>
      <c r="C38" t="str">
        <f t="shared" si="0"/>
        <v>Mon</v>
      </c>
      <c r="D38" s="10" t="s">
        <v>9</v>
      </c>
      <c r="E38" s="10">
        <v>16</v>
      </c>
      <c r="F38" s="4">
        <f t="shared" si="1"/>
        <v>16</v>
      </c>
      <c r="G38" s="4">
        <f t="shared" si="14"/>
        <v>296</v>
      </c>
      <c r="H38" s="4">
        <f t="shared" si="3"/>
        <v>960</v>
      </c>
      <c r="I38" s="15">
        <f>(SQRT(4*J37*J37*V*V + 'Drilling Spec'!$C$42*J37 + W*('Drilling Spec'!$C$43 + 2*l*V*(s*W + 2*V*H38/(1+e)) + 'Drilling Spec'!$C$44)) - 'Drilling Spec'!$C$45)/(2*V)</f>
        <v>364.41305040252013</v>
      </c>
      <c r="J38" s="16">
        <f>IF(AND(OR(J37=0,J37=""),G38=0),IF(G39=0,"",'Drilling Spec'!$C$26),I38)</f>
        <v>364.41305040252013</v>
      </c>
      <c r="K38" s="16">
        <f>MAX(0,J38-'Drilling Spec'!$C$30)</f>
        <v>284.41305040252013</v>
      </c>
      <c r="L38" s="18">
        <f>IFERROR(K38/'Drilling Spec'!$C$31,0)</f>
        <v>18.960870026834677</v>
      </c>
      <c r="M38" s="21">
        <f t="shared" si="15"/>
        <v>0</v>
      </c>
      <c r="N38" s="4">
        <f t="shared" si="11"/>
        <v>0</v>
      </c>
      <c r="O38" s="21">
        <f t="shared" si="5"/>
        <v>0</v>
      </c>
      <c r="P38" s="18">
        <f>(SQRT(4*P37*P37*vB*vB + 'Drilling Spec'!$C$48*P37 + WB*('Drilling Spec'!$C$49 + 2*lB*vB*(sB*WB + 2*vB*O38/(1+eB)) + 'Drilling Spec'!$C$50)) - 'Drilling Spec'!$C$51)/(2*vB)</f>
        <v>0</v>
      </c>
      <c r="Q38" s="18" t="str">
        <f>IF(AND(OR(R37=0,R37=""),N38=0),IF(N39=0,"",'Drilling Spec'!$C$30),P38)</f>
        <v/>
      </c>
      <c r="S38">
        <f t="shared" si="13"/>
        <v>22</v>
      </c>
      <c r="T38" s="10"/>
      <c r="U38">
        <f>IF('Baseline 2 - Good, 16hr'!L39&gt;'Baseline 2 - Good, 16hr'!S38,'Drilling Spec'!$C$36,)</f>
        <v>0</v>
      </c>
      <c r="W38" s="17">
        <f>(J38-'Drilling Spec'!$C$26)/'Drilling Spec'!$C$38</f>
        <v>49.068841733753352</v>
      </c>
      <c r="X38" s="17">
        <f t="shared" si="16"/>
        <v>2.2318528172796235</v>
      </c>
      <c r="Y38" s="17">
        <f t="shared" si="17"/>
        <v>9.0688417337533522</v>
      </c>
      <c r="Z38" s="10"/>
      <c r="AA38">
        <f>IF(Y38&lt;'Drilling Spec'!$C$39,,'Drilling Spec'!$C$39)</f>
        <v>0</v>
      </c>
      <c r="AD38" s="16">
        <f t="shared" si="18"/>
        <v>-364.41305040252013</v>
      </c>
      <c r="AE38" s="16" t="e">
        <f t="shared" si="9"/>
        <v>#N/A</v>
      </c>
      <c r="AF38">
        <f>-'Drilling Spec'!$C$29</f>
        <v>-720</v>
      </c>
      <c r="AG38">
        <f>-'Drilling Spec'!$C$27</f>
        <v>-624</v>
      </c>
      <c r="AH38">
        <f>-'Drilling Spec'!$C$28</f>
        <v>-688</v>
      </c>
      <c r="AI38" t="e">
        <f t="shared" si="10"/>
        <v>#N/A</v>
      </c>
      <c r="AJ38" t="e">
        <f>IF(T38=0,NA(),-'Drilling Spec'!$C$26/2)</f>
        <v>#N/A</v>
      </c>
      <c r="AK38" t="e">
        <f>IF(U38=0,NA(),-'Drilling Spec'!$C$26/2)</f>
        <v>#N/A</v>
      </c>
      <c r="AL38" t="e">
        <f>IF(Z38=0,NA(),-'Drilling Spec'!$C$26*3/2)</f>
        <v>#N/A</v>
      </c>
      <c r="AM38" t="e">
        <f>IF(AA38=0,NA(),-'Drilling Spec'!$C$26*3/2)</f>
        <v>#N/A</v>
      </c>
    </row>
    <row r="39" spans="2:44" x14ac:dyDescent="0.35">
      <c r="B39" s="2">
        <f t="shared" si="12"/>
        <v>46007</v>
      </c>
      <c r="C39" t="str">
        <f t="shared" si="0"/>
        <v>Tue</v>
      </c>
      <c r="D39" s="10" t="s">
        <v>9</v>
      </c>
      <c r="E39" s="10">
        <v>16</v>
      </c>
      <c r="F39" s="4">
        <f t="shared" si="1"/>
        <v>16</v>
      </c>
      <c r="G39" s="4">
        <f t="shared" si="14"/>
        <v>312</v>
      </c>
      <c r="H39" s="4">
        <f t="shared" si="3"/>
        <v>960</v>
      </c>
      <c r="I39" s="15">
        <f>(SQRT(4*J38*J38*V*V + 'Drilling Spec'!$C$42*J38 + W*('Drilling Spec'!$C$43 + 2*l*V*(s*W + 2*V*H39/(1+e)) + 'Drilling Spec'!$C$44)) - 'Drilling Spec'!$C$45)/(2*V)</f>
        <v>377.60629406387062</v>
      </c>
      <c r="J39" s="16">
        <f>IF(AND(OR(J38=0,J38=""),G39=0),IF(G40=0,"",'Drilling Spec'!$C$26),I39)</f>
        <v>377.60629406387062</v>
      </c>
      <c r="K39" s="16">
        <f>MAX(0,J39-'Drilling Spec'!$C$30)</f>
        <v>297.60629406387062</v>
      </c>
      <c r="L39" s="18">
        <f>IFERROR(K39/'Drilling Spec'!$C$31,0)</f>
        <v>19.840419604258042</v>
      </c>
      <c r="M39" s="21">
        <f t="shared" si="15"/>
        <v>0</v>
      </c>
      <c r="N39" s="4">
        <f t="shared" si="11"/>
        <v>0</v>
      </c>
      <c r="O39" s="21">
        <f t="shared" si="5"/>
        <v>0</v>
      </c>
      <c r="P39" s="18">
        <f>(SQRT(4*P38*P38*vB*vB + 'Drilling Spec'!$C$48*P38 + WB*('Drilling Spec'!$C$49 + 2*lB*vB*(sB*WB + 2*vB*O39/(1+eB)) + 'Drilling Spec'!$C$50)) - 'Drilling Spec'!$C$51)/(2*vB)</f>
        <v>0</v>
      </c>
      <c r="Q39" s="18" t="str">
        <f>IF(AND(OR(R38=0,R38=""),N39=0),IF(N40=0,"",'Drilling Spec'!$C$30),P39)</f>
        <v/>
      </c>
      <c r="S39">
        <f t="shared" si="13"/>
        <v>22</v>
      </c>
      <c r="T39" s="10"/>
      <c r="U39">
        <f>IF('Baseline 2 - Good, 16hr'!L40&gt;'Baseline 2 - Good, 16hr'!S39,'Drilling Spec'!$C$36,)</f>
        <v>0</v>
      </c>
      <c r="W39" s="17">
        <f>(J39-'Drilling Spec'!$C$26)/'Drilling Spec'!$C$38</f>
        <v>51.26771567731177</v>
      </c>
      <c r="X39" s="17">
        <f t="shared" si="16"/>
        <v>2.1988739435584179</v>
      </c>
      <c r="Y39" s="17">
        <f t="shared" si="17"/>
        <v>11.26771567731177</v>
      </c>
      <c r="Z39" s="10"/>
      <c r="AA39">
        <f>IF(Y39&lt;'Drilling Spec'!$C$39,,'Drilling Spec'!$C$39)</f>
        <v>0</v>
      </c>
      <c r="AD39" s="16">
        <f t="shared" si="18"/>
        <v>-377.60629406387062</v>
      </c>
      <c r="AE39" s="16" t="e">
        <f t="shared" si="9"/>
        <v>#N/A</v>
      </c>
      <c r="AF39">
        <f>-'Drilling Spec'!$C$29</f>
        <v>-720</v>
      </c>
      <c r="AG39">
        <f>-'Drilling Spec'!$C$27</f>
        <v>-624</v>
      </c>
      <c r="AH39">
        <f>-'Drilling Spec'!$C$28</f>
        <v>-688</v>
      </c>
      <c r="AI39" t="e">
        <f t="shared" si="10"/>
        <v>#N/A</v>
      </c>
      <c r="AJ39" t="e">
        <f>IF(T39=0,NA(),-'Drilling Spec'!$C$26/2)</f>
        <v>#N/A</v>
      </c>
      <c r="AK39" t="e">
        <f>IF(U39=0,NA(),-'Drilling Spec'!$C$26/2)</f>
        <v>#N/A</v>
      </c>
      <c r="AL39" t="e">
        <f>IF(Z39=0,NA(),-'Drilling Spec'!$C$26*3/2)</f>
        <v>#N/A</v>
      </c>
      <c r="AM39" t="e">
        <f>IF(AA39=0,NA(),-'Drilling Spec'!$C$26*3/2)</f>
        <v>#N/A</v>
      </c>
    </row>
    <row r="40" spans="2:44" x14ac:dyDescent="0.35">
      <c r="B40" s="2">
        <f t="shared" si="12"/>
        <v>46008</v>
      </c>
      <c r="C40" t="str">
        <f t="shared" si="0"/>
        <v>Wed</v>
      </c>
      <c r="D40" s="10" t="s">
        <v>7</v>
      </c>
      <c r="E40" s="10">
        <v>0</v>
      </c>
      <c r="F40" s="4">
        <f t="shared" si="1"/>
        <v>0</v>
      </c>
      <c r="G40" s="4">
        <f t="shared" si="14"/>
        <v>312</v>
      </c>
      <c r="H40" s="4">
        <f t="shared" si="3"/>
        <v>0</v>
      </c>
      <c r="I40" s="15">
        <f>(SQRT(4*J39*J39*V*V + 'Drilling Spec'!$C$42*J39 + W*('Drilling Spec'!$C$43 + 2*l*V*(s*W + 2*V*H40/(1+e)) + 'Drilling Spec'!$C$44)) - 'Drilling Spec'!$C$45)/(2*V)</f>
        <v>377.60629406387062</v>
      </c>
      <c r="J40" s="16">
        <f>IF(AND(OR(J39=0,J39=""),G40=0),IF(G41=0,"",'Drilling Spec'!$C$26),I40)</f>
        <v>377.60629406387062</v>
      </c>
      <c r="K40" s="16">
        <f>MAX(0,J40-'Drilling Spec'!$C$30)</f>
        <v>297.60629406387062</v>
      </c>
      <c r="L40" s="18">
        <f>IFERROR(K40/'Drilling Spec'!$C$31,0)</f>
        <v>19.840419604258042</v>
      </c>
      <c r="M40" s="21">
        <f t="shared" si="15"/>
        <v>0</v>
      </c>
      <c r="N40" s="4">
        <f t="shared" si="11"/>
        <v>0</v>
      </c>
      <c r="O40" s="21">
        <f t="shared" si="5"/>
        <v>0</v>
      </c>
      <c r="P40" s="18">
        <f>(SQRT(4*P39*P39*vB*vB + 'Drilling Spec'!$C$48*P39 + WB*('Drilling Spec'!$C$49 + 2*lB*vB*(sB*WB + 2*vB*O40/(1+eB)) + 'Drilling Spec'!$C$50)) - 'Drilling Spec'!$C$51)/(2*vB)</f>
        <v>0</v>
      </c>
      <c r="Q40" s="18" t="str">
        <f>IF(AND(OR(R39=0,R39=""),N40=0),IF(N41=0,"",'Drilling Spec'!$C$30),P40)</f>
        <v/>
      </c>
      <c r="S40">
        <f t="shared" si="13"/>
        <v>22</v>
      </c>
      <c r="T40" s="10"/>
      <c r="U40">
        <f>IF('Baseline 2 - Good, 16hr'!L41&gt;'Baseline 2 - Good, 16hr'!S40,'Drilling Spec'!$C$36,)</f>
        <v>0</v>
      </c>
      <c r="W40" s="17">
        <f>(J40-'Drilling Spec'!$C$26)/'Drilling Spec'!$C$38</f>
        <v>51.26771567731177</v>
      </c>
      <c r="X40" s="17">
        <f t="shared" si="16"/>
        <v>0</v>
      </c>
      <c r="Y40" s="17">
        <f t="shared" si="17"/>
        <v>11.26771567731177</v>
      </c>
      <c r="Z40" s="10"/>
      <c r="AA40">
        <f>IF(Y40&lt;'Drilling Spec'!$C$39,,'Drilling Spec'!$C$39)</f>
        <v>0</v>
      </c>
      <c r="AD40" s="16">
        <f t="shared" si="18"/>
        <v>-377.60629406387062</v>
      </c>
      <c r="AE40" s="16" t="e">
        <f t="shared" si="9"/>
        <v>#N/A</v>
      </c>
      <c r="AF40">
        <f>-'Drilling Spec'!$C$29</f>
        <v>-720</v>
      </c>
      <c r="AG40">
        <f>-'Drilling Spec'!$C$27</f>
        <v>-624</v>
      </c>
      <c r="AH40">
        <f>-'Drilling Spec'!$C$28</f>
        <v>-688</v>
      </c>
      <c r="AI40" t="e">
        <f t="shared" si="10"/>
        <v>#N/A</v>
      </c>
      <c r="AJ40" t="e">
        <f>IF(T40=0,NA(),-'Drilling Spec'!$C$26/2)</f>
        <v>#N/A</v>
      </c>
      <c r="AK40" t="e">
        <f>IF(U40=0,NA(),-'Drilling Spec'!$C$26/2)</f>
        <v>#N/A</v>
      </c>
      <c r="AL40" t="e">
        <f>IF(Z40=0,NA(),-'Drilling Spec'!$C$26*3/2)</f>
        <v>#N/A</v>
      </c>
      <c r="AM40" t="e">
        <f>IF(AA40=0,NA(),-'Drilling Spec'!$C$26*3/2)</f>
        <v>#N/A</v>
      </c>
    </row>
    <row r="41" spans="2:44" x14ac:dyDescent="0.35">
      <c r="B41" s="2">
        <f t="shared" si="12"/>
        <v>46009</v>
      </c>
      <c r="C41" t="str">
        <f t="shared" si="0"/>
        <v>Thu</v>
      </c>
      <c r="D41" s="10" t="s">
        <v>9</v>
      </c>
      <c r="E41" s="10">
        <v>16</v>
      </c>
      <c r="F41" s="4">
        <f t="shared" si="1"/>
        <v>16</v>
      </c>
      <c r="G41" s="4">
        <f t="shared" si="14"/>
        <v>328</v>
      </c>
      <c r="H41" s="4">
        <f t="shared" si="3"/>
        <v>960</v>
      </c>
      <c r="I41" s="15">
        <f>(SQRT(4*J40*J40*V*V + 'Drilling Spec'!$C$42*J40 + W*('Drilling Spec'!$C$43 + 2*l*V*(s*W + 2*V*H41/(1+e)) + 'Drilling Spec'!$C$44)) - 'Drilling Spec'!$C$45)/(2*V)</f>
        <v>390.61018517072768</v>
      </c>
      <c r="J41" s="16">
        <f>IF(AND(OR(J40=0,J40=""),G41=0),IF(G42=0,"",'Drilling Spec'!$C$26),I41)</f>
        <v>390.61018517072768</v>
      </c>
      <c r="K41" s="16">
        <f>MAX(0,J41-'Drilling Spec'!$C$30)</f>
        <v>310.61018517072768</v>
      </c>
      <c r="L41" s="18">
        <f>IFERROR(K41/'Drilling Spec'!$C$31,0)</f>
        <v>20.707345678048512</v>
      </c>
      <c r="M41" s="21">
        <f t="shared" si="15"/>
        <v>0</v>
      </c>
      <c r="N41" s="4">
        <f t="shared" si="11"/>
        <v>0</v>
      </c>
      <c r="O41" s="21">
        <f t="shared" si="5"/>
        <v>0</v>
      </c>
      <c r="P41" s="18">
        <f>(SQRT(4*P40*P40*vB*vB + 'Drilling Spec'!$C$48*P40 + WB*('Drilling Spec'!$C$49 + 2*lB*vB*(sB*WB + 2*vB*O41/(1+eB)) + 'Drilling Spec'!$C$50)) - 'Drilling Spec'!$C$51)/(2*vB)</f>
        <v>0</v>
      </c>
      <c r="Q41" s="18" t="str">
        <f>IF(AND(OR(R40=0,R40=""),N41=0),IF(N42=0,"",'Drilling Spec'!$C$30),P41)</f>
        <v/>
      </c>
      <c r="S41">
        <f t="shared" si="13"/>
        <v>22</v>
      </c>
      <c r="T41" s="10"/>
      <c r="U41">
        <f>IF('Baseline 2 - Good, 16hr'!L42&gt;'Baseline 2 - Good, 16hr'!S41,'Drilling Spec'!$C$36,)</f>
        <v>0</v>
      </c>
      <c r="W41" s="17">
        <f>(J41-'Drilling Spec'!$C$26)/'Drilling Spec'!$C$38</f>
        <v>53.435030861787943</v>
      </c>
      <c r="X41" s="17">
        <f t="shared" si="16"/>
        <v>2.1673151844761733</v>
      </c>
      <c r="Y41" s="17">
        <f t="shared" si="17"/>
        <v>13.435030861787943</v>
      </c>
      <c r="Z41" s="10"/>
      <c r="AA41">
        <f>IF(Y41&lt;'Drilling Spec'!$C$39,,'Drilling Spec'!$C$39)</f>
        <v>0</v>
      </c>
      <c r="AD41" s="16">
        <f t="shared" si="18"/>
        <v>-390.61018517072768</v>
      </c>
      <c r="AE41" s="16" t="e">
        <f t="shared" si="9"/>
        <v>#N/A</v>
      </c>
      <c r="AF41">
        <f>-'Drilling Spec'!$C$29</f>
        <v>-720</v>
      </c>
      <c r="AG41">
        <f>-'Drilling Spec'!$C$27</f>
        <v>-624</v>
      </c>
      <c r="AH41">
        <f>-'Drilling Spec'!$C$28</f>
        <v>-688</v>
      </c>
      <c r="AI41" t="e">
        <f t="shared" si="10"/>
        <v>#N/A</v>
      </c>
      <c r="AJ41" t="e">
        <f>IF(T41=0,NA(),-'Drilling Spec'!$C$26/2)</f>
        <v>#N/A</v>
      </c>
      <c r="AK41" t="e">
        <f>IF(U41=0,NA(),-'Drilling Spec'!$C$26/2)</f>
        <v>#N/A</v>
      </c>
      <c r="AL41" t="e">
        <f>IF(Z41=0,NA(),-'Drilling Spec'!$C$26*3/2)</f>
        <v>#N/A</v>
      </c>
      <c r="AM41" t="e">
        <f>IF(AA41=0,NA(),-'Drilling Spec'!$C$26*3/2)</f>
        <v>#N/A</v>
      </c>
    </row>
    <row r="42" spans="2:44" x14ac:dyDescent="0.35">
      <c r="B42" s="2">
        <f t="shared" si="12"/>
        <v>46010</v>
      </c>
      <c r="C42" t="str">
        <f t="shared" si="0"/>
        <v>Fri</v>
      </c>
      <c r="D42" s="10" t="s">
        <v>9</v>
      </c>
      <c r="E42" s="10">
        <v>16</v>
      </c>
      <c r="F42" s="4">
        <f t="shared" si="1"/>
        <v>16</v>
      </c>
      <c r="G42" s="4">
        <f t="shared" si="14"/>
        <v>344</v>
      </c>
      <c r="H42" s="4">
        <f t="shared" si="3"/>
        <v>960</v>
      </c>
      <c r="I42" s="15">
        <f>(SQRT(4*J41*J41*V*V + 'Drilling Spec'!$C$42*J41 + W*('Drilling Spec'!$C$43 + 2*l*V*(s*W + 2*V*H42/(1+e)) + 'Drilling Spec'!$C$44)) - 'Drilling Spec'!$C$45)/(2*V)</f>
        <v>403.43264989796455</v>
      </c>
      <c r="J42" s="16">
        <f>IF(AND(OR(J41=0,J41=""),G42=0),IF(G43=0,"",'Drilling Spec'!$C$26),I42)</f>
        <v>403.43264989796455</v>
      </c>
      <c r="K42" s="16">
        <f>MAX(0,J42-'Drilling Spec'!$C$30)</f>
        <v>323.43264989796455</v>
      </c>
      <c r="L42" s="18">
        <f>IFERROR(K42/'Drilling Spec'!$C$31,0)</f>
        <v>21.562176659864303</v>
      </c>
      <c r="M42" s="21">
        <f t="shared" si="15"/>
        <v>0</v>
      </c>
      <c r="N42" s="4">
        <f t="shared" si="11"/>
        <v>0</v>
      </c>
      <c r="O42" s="21">
        <f t="shared" si="5"/>
        <v>0</v>
      </c>
      <c r="P42" s="18">
        <f>(SQRT(4*P41*P41*vB*vB + 'Drilling Spec'!$C$48*P41 + WB*('Drilling Spec'!$C$49 + 2*lB*vB*(sB*WB + 2*vB*O42/(1+eB)) + 'Drilling Spec'!$C$50)) - 'Drilling Spec'!$C$51)/(2*vB)</f>
        <v>0</v>
      </c>
      <c r="Q42" s="18" t="str">
        <f>IF(AND(OR(R41=0,R41=""),N42=0),IF(N43=0,"",'Drilling Spec'!$C$30),P42)</f>
        <v/>
      </c>
      <c r="S42">
        <f t="shared" si="13"/>
        <v>22</v>
      </c>
      <c r="T42" s="10"/>
      <c r="U42">
        <f>IF('Baseline 2 - Good, 16hr'!L43&gt;'Baseline 2 - Good, 16hr'!S42,'Drilling Spec'!$C$36,)</f>
        <v>6</v>
      </c>
      <c r="W42" s="17">
        <f>(J42-'Drilling Spec'!$C$26)/'Drilling Spec'!$C$38</f>
        <v>55.572108316327423</v>
      </c>
      <c r="X42" s="17">
        <f t="shared" si="16"/>
        <v>2.1370774545394795</v>
      </c>
      <c r="Y42" s="17">
        <f t="shared" si="17"/>
        <v>15.572108316327423</v>
      </c>
      <c r="Z42" s="10"/>
      <c r="AA42">
        <f>IF(Y42&lt;'Drilling Spec'!$C$39,,'Drilling Spec'!$C$39)</f>
        <v>0</v>
      </c>
      <c r="AD42" s="16">
        <f t="shared" si="18"/>
        <v>-403.43264989796455</v>
      </c>
      <c r="AE42" s="16" t="e">
        <f t="shared" si="9"/>
        <v>#N/A</v>
      </c>
      <c r="AF42">
        <f>-'Drilling Spec'!$C$29</f>
        <v>-720</v>
      </c>
      <c r="AG42">
        <f>-'Drilling Spec'!$C$27</f>
        <v>-624</v>
      </c>
      <c r="AH42">
        <f>-'Drilling Spec'!$C$28</f>
        <v>-688</v>
      </c>
      <c r="AI42" t="e">
        <f t="shared" si="10"/>
        <v>#N/A</v>
      </c>
      <c r="AJ42" t="e">
        <f>IF(T42=0,NA(),-'Drilling Spec'!$C$26/2)</f>
        <v>#N/A</v>
      </c>
      <c r="AK42">
        <f>IF(U42=0,NA(),-'Drilling Spec'!$C$26/2)</f>
        <v>-35</v>
      </c>
      <c r="AL42" t="e">
        <f>IF(Z42=0,NA(),-'Drilling Spec'!$C$26*3/2)</f>
        <v>#N/A</v>
      </c>
      <c r="AM42" t="e">
        <f>IF(AA42=0,NA(),-'Drilling Spec'!$C$26*3/2)</f>
        <v>#N/A</v>
      </c>
    </row>
    <row r="43" spans="2:44" x14ac:dyDescent="0.35">
      <c r="B43" s="2">
        <f t="shared" si="12"/>
        <v>46011</v>
      </c>
      <c r="C43" t="str">
        <f t="shared" si="0"/>
        <v>Sat</v>
      </c>
      <c r="D43" s="10" t="s">
        <v>9</v>
      </c>
      <c r="E43" s="10">
        <v>16</v>
      </c>
      <c r="F43" s="4">
        <f t="shared" si="1"/>
        <v>16</v>
      </c>
      <c r="G43" s="4">
        <f t="shared" si="14"/>
        <v>360</v>
      </c>
      <c r="H43" s="4">
        <f t="shared" si="3"/>
        <v>960</v>
      </c>
      <c r="I43" s="15">
        <f>(SQRT(4*J42*J42*V*V + 'Drilling Spec'!$C$42*J42 + W*('Drilling Spec'!$C$43 + 2*l*V*(s*W + 2*V*H43/(1+e)) + 'Drilling Spec'!$C$44)) - 'Drilling Spec'!$C$45)/(2*V)</f>
        <v>416.08107640916643</v>
      </c>
      <c r="J43" s="16">
        <f>IF(AND(OR(J42=0,J42=""),G43=0),IF(G44=0,"",'Drilling Spec'!$C$26),I43)</f>
        <v>416.08107640916643</v>
      </c>
      <c r="K43" s="16">
        <f>MAX(0,J43-'Drilling Spec'!$C$30)</f>
        <v>336.08107640916643</v>
      </c>
      <c r="L43" s="18">
        <f>IFERROR(K43/'Drilling Spec'!$C$31,0)</f>
        <v>22.405405093944427</v>
      </c>
      <c r="M43" s="21">
        <f t="shared" si="15"/>
        <v>0</v>
      </c>
      <c r="N43" s="4">
        <f t="shared" si="11"/>
        <v>0</v>
      </c>
      <c r="O43" s="21">
        <f t="shared" si="5"/>
        <v>0</v>
      </c>
      <c r="P43" s="18">
        <f>(SQRT(4*P42*P42*vB*vB + 'Drilling Spec'!$C$48*P42 + WB*('Drilling Spec'!$C$49 + 2*lB*vB*(sB*WB + 2*vB*O43/(1+eB)) + 'Drilling Spec'!$C$50)) - 'Drilling Spec'!$C$51)/(2*vB)</f>
        <v>0</v>
      </c>
      <c r="Q43" s="18" t="str">
        <f>IF(AND(OR(R42=0,R42=""),N43=0),IF(N44=0,"",'Drilling Spec'!$C$30),P43)</f>
        <v/>
      </c>
      <c r="S43">
        <f t="shared" si="13"/>
        <v>28</v>
      </c>
      <c r="T43" s="10"/>
      <c r="U43">
        <f>IF('Baseline 2 - Good, 16hr'!L44&gt;'Baseline 2 - Good, 16hr'!S43,'Drilling Spec'!$C$36,)</f>
        <v>0</v>
      </c>
      <c r="W43" s="17">
        <f>(J43-'Drilling Spec'!$C$26)/'Drilling Spec'!$C$38</f>
        <v>57.680179401527738</v>
      </c>
      <c r="X43" s="17">
        <f t="shared" si="16"/>
        <v>2.1080710852003151</v>
      </c>
      <c r="Y43" s="17">
        <f t="shared" si="17"/>
        <v>17.680179401527738</v>
      </c>
      <c r="Z43" s="10"/>
      <c r="AA43">
        <f>IF(Y43&lt;'Drilling Spec'!$C$39,,'Drilling Spec'!$C$39)</f>
        <v>0</v>
      </c>
      <c r="AD43" s="16">
        <f t="shared" si="18"/>
        <v>-416.08107640916643</v>
      </c>
      <c r="AE43" s="16" t="e">
        <f t="shared" si="9"/>
        <v>#N/A</v>
      </c>
      <c r="AF43">
        <f>-'Drilling Spec'!$C$29</f>
        <v>-720</v>
      </c>
      <c r="AG43">
        <f>-'Drilling Spec'!$C$27</f>
        <v>-624</v>
      </c>
      <c r="AH43">
        <f>-'Drilling Spec'!$C$28</f>
        <v>-688</v>
      </c>
      <c r="AI43" t="e">
        <f t="shared" si="10"/>
        <v>#N/A</v>
      </c>
      <c r="AJ43" t="e">
        <f>IF(T43=0,NA(),-'Drilling Spec'!$C$26/2)</f>
        <v>#N/A</v>
      </c>
      <c r="AK43" t="e">
        <f>IF(U43=0,NA(),-'Drilling Spec'!$C$26/2)</f>
        <v>#N/A</v>
      </c>
      <c r="AL43" t="e">
        <f>IF(Z43=0,NA(),-'Drilling Spec'!$C$26*3/2)</f>
        <v>#N/A</v>
      </c>
      <c r="AM43" t="e">
        <f>IF(AA43=0,NA(),-'Drilling Spec'!$C$26*3/2)</f>
        <v>#N/A</v>
      </c>
      <c r="AN43" s="5" t="s">
        <v>110</v>
      </c>
      <c r="AO43" s="5">
        <f>COUNTIF(D3:D112,"Drilling")</f>
        <v>52</v>
      </c>
      <c r="AP43" s="5" t="s">
        <v>112</v>
      </c>
      <c r="AQ43" s="5">
        <f>MAX(G3:G112)</f>
        <v>808</v>
      </c>
      <c r="AR43" s="5" t="s">
        <v>111</v>
      </c>
    </row>
    <row r="44" spans="2:44" x14ac:dyDescent="0.35">
      <c r="B44" s="2">
        <f t="shared" si="12"/>
        <v>46012</v>
      </c>
      <c r="C44" t="str">
        <f t="shared" si="0"/>
        <v>Sun</v>
      </c>
      <c r="D44" s="10" t="s">
        <v>9</v>
      </c>
      <c r="E44" s="10">
        <v>16</v>
      </c>
      <c r="F44" s="4">
        <f t="shared" si="1"/>
        <v>16</v>
      </c>
      <c r="G44" s="4">
        <f t="shared" si="14"/>
        <v>376</v>
      </c>
      <c r="H44" s="4">
        <f t="shared" si="3"/>
        <v>960</v>
      </c>
      <c r="I44" s="15">
        <f>(SQRT(4*J43*J43*V*V + 'Drilling Spec'!$C$42*J43 + W*('Drilling Spec'!$C$43 + 2*l*V*(s*W + 2*V*H44/(1+e)) + 'Drilling Spec'!$C$44)) - 'Drilling Spec'!$C$45)/(2*V)</f>
        <v>428.56236463615431</v>
      </c>
      <c r="J44" s="16">
        <f>IF(AND(OR(J43=0,J43=""),G44=0),IF(G45=0,"",'Drilling Spec'!$C$26),I44)</f>
        <v>428.56236463615431</v>
      </c>
      <c r="K44" s="16">
        <f>MAX(0,J44-'Drilling Spec'!$C$30)</f>
        <v>348.56236463615431</v>
      </c>
      <c r="L44" s="18">
        <f>IFERROR(K44/'Drilling Spec'!$C$31,0)</f>
        <v>23.237490975743622</v>
      </c>
      <c r="M44" s="21">
        <f t="shared" si="15"/>
        <v>0</v>
      </c>
      <c r="N44" s="4">
        <f t="shared" si="11"/>
        <v>0</v>
      </c>
      <c r="O44" s="21">
        <f t="shared" si="5"/>
        <v>0</v>
      </c>
      <c r="P44" s="18">
        <f>(SQRT(4*P43*P43*vB*vB + 'Drilling Spec'!$C$48*P43 + WB*('Drilling Spec'!$C$49 + 2*lB*vB*(sB*WB + 2*vB*O44/(1+eB)) + 'Drilling Spec'!$C$50)) - 'Drilling Spec'!$C$51)/(2*vB)</f>
        <v>0</v>
      </c>
      <c r="Q44" s="18" t="str">
        <f>IF(AND(OR(R43=0,R43=""),N44=0),IF(N45=0,"",'Drilling Spec'!$C$30),P44)</f>
        <v/>
      </c>
      <c r="S44">
        <f t="shared" si="13"/>
        <v>28</v>
      </c>
      <c r="T44" s="10"/>
      <c r="U44">
        <f>IF('Baseline 2 - Good, 16hr'!L45&gt;'Baseline 2 - Good, 16hr'!S44,'Drilling Spec'!$C$36,)</f>
        <v>0</v>
      </c>
      <c r="W44" s="17">
        <f>(J44-'Drilling Spec'!$C$26)/'Drilling Spec'!$C$38</f>
        <v>59.760394106025721</v>
      </c>
      <c r="X44" s="17">
        <f t="shared" si="16"/>
        <v>2.0802147044979833</v>
      </c>
      <c r="Y44" s="17">
        <f t="shared" si="17"/>
        <v>19.760394106025721</v>
      </c>
      <c r="Z44" s="10"/>
      <c r="AA44">
        <f>IF(Y44&lt;'Drilling Spec'!$C$39,,'Drilling Spec'!$C$39)</f>
        <v>0</v>
      </c>
      <c r="AD44" s="16">
        <f t="shared" si="18"/>
        <v>-428.56236463615431</v>
      </c>
      <c r="AE44" s="16" t="e">
        <f t="shared" si="9"/>
        <v>#N/A</v>
      </c>
      <c r="AF44">
        <f>-'Drilling Spec'!$C$29</f>
        <v>-720</v>
      </c>
      <c r="AG44">
        <f>-'Drilling Spec'!$C$27</f>
        <v>-624</v>
      </c>
      <c r="AH44">
        <f>-'Drilling Spec'!$C$28</f>
        <v>-688</v>
      </c>
      <c r="AI44" t="e">
        <f t="shared" si="10"/>
        <v>#N/A</v>
      </c>
      <c r="AJ44" t="e">
        <f>IF(T44=0,NA(),-'Drilling Spec'!$C$26/2)</f>
        <v>#N/A</v>
      </c>
      <c r="AK44" t="e">
        <f>IF(U44=0,NA(),-'Drilling Spec'!$C$26/2)</f>
        <v>#N/A</v>
      </c>
      <c r="AL44" t="e">
        <f>IF(Z44=0,NA(),-'Drilling Spec'!$C$26*3/2)</f>
        <v>#N/A</v>
      </c>
      <c r="AM44" t="e">
        <f>IF(AA44=0,NA(),-'Drilling Spec'!$C$26*3/2)</f>
        <v>#N/A</v>
      </c>
      <c r="AN44" s="5" t="s">
        <v>109</v>
      </c>
      <c r="AO44" s="5">
        <f>COUNTIF(D3:D112,"Bailing")</f>
        <v>6</v>
      </c>
      <c r="AP44" s="5" t="s">
        <v>112</v>
      </c>
      <c r="AQ44" s="5">
        <f>MAX(N3:N112)</f>
        <v>144</v>
      </c>
      <c r="AR44" s="5" t="s">
        <v>111</v>
      </c>
    </row>
    <row r="45" spans="2:44" x14ac:dyDescent="0.35">
      <c r="B45" s="2">
        <f t="shared" si="12"/>
        <v>46013</v>
      </c>
      <c r="C45" t="str">
        <f t="shared" si="0"/>
        <v>Mon</v>
      </c>
      <c r="D45" s="10" t="s">
        <v>9</v>
      </c>
      <c r="E45" s="10">
        <v>16</v>
      </c>
      <c r="F45" s="4">
        <f t="shared" si="1"/>
        <v>16</v>
      </c>
      <c r="G45" s="4">
        <f t="shared" si="14"/>
        <v>392</v>
      </c>
      <c r="H45" s="4">
        <f t="shared" si="3"/>
        <v>960</v>
      </c>
      <c r="I45" s="15">
        <f>(SQRT(4*J44*J44*V*V + 'Drilling Spec'!$C$42*J44 + W*('Drilling Spec'!$C$43 + 2*l*V*(s*W + 2*V*H45/(1+e)) + 'Drilling Spec'!$C$44)) - 'Drilling Spec'!$C$45)/(2*V)</f>
        <v>440.88297028873444</v>
      </c>
      <c r="J45" s="16">
        <f>IF(AND(OR(J44=0,J44=""),G45=0),IF(G46=0,"",'Drilling Spec'!$C$26),I45)</f>
        <v>440.88297028873444</v>
      </c>
      <c r="K45" s="16">
        <f>MAX(0,J45-'Drilling Spec'!$C$30)</f>
        <v>360.88297028873444</v>
      </c>
      <c r="L45" s="18">
        <f>IFERROR(K45/'Drilling Spec'!$C$31,0)</f>
        <v>24.05886468591563</v>
      </c>
      <c r="M45" s="21">
        <f t="shared" si="15"/>
        <v>0</v>
      </c>
      <c r="N45" s="4">
        <f t="shared" si="11"/>
        <v>0</v>
      </c>
      <c r="O45" s="21">
        <f t="shared" si="5"/>
        <v>0</v>
      </c>
      <c r="P45" s="18">
        <f>(SQRT(4*P44*P44*vB*vB + 'Drilling Spec'!$C$48*P44 + WB*('Drilling Spec'!$C$49 + 2*lB*vB*(sB*WB + 2*vB*O45/(1+eB)) + 'Drilling Spec'!$C$50)) - 'Drilling Spec'!$C$51)/(2*vB)</f>
        <v>0</v>
      </c>
      <c r="Q45" s="18" t="str">
        <f>IF(AND(OR(R44=0,R44=""),N45=0),IF(N46=0,"",'Drilling Spec'!$C$30),P45)</f>
        <v/>
      </c>
      <c r="S45">
        <f t="shared" si="13"/>
        <v>28</v>
      </c>
      <c r="T45" s="10"/>
      <c r="U45">
        <f>IF('Baseline 2 - Good, 16hr'!L46&gt;'Baseline 2 - Good, 16hr'!S45,'Drilling Spec'!$C$36,)</f>
        <v>0</v>
      </c>
      <c r="W45" s="17">
        <f>(J45-'Drilling Spec'!$C$26)/'Drilling Spec'!$C$38</f>
        <v>61.813828381455743</v>
      </c>
      <c r="X45" s="17">
        <f t="shared" si="16"/>
        <v>2.0534342754300212</v>
      </c>
      <c r="Y45" s="17">
        <f t="shared" si="17"/>
        <v>21.813828381455743</v>
      </c>
      <c r="Z45" s="10"/>
      <c r="AA45">
        <f>IF(Y45&lt;'Drilling Spec'!$C$39,,'Drilling Spec'!$C$39)</f>
        <v>20</v>
      </c>
      <c r="AD45" s="16">
        <f t="shared" si="18"/>
        <v>-440.88297028873444</v>
      </c>
      <c r="AE45" s="16" t="e">
        <f t="shared" si="9"/>
        <v>#N/A</v>
      </c>
      <c r="AF45">
        <f>-'Drilling Spec'!$C$29</f>
        <v>-720</v>
      </c>
      <c r="AG45">
        <f>-'Drilling Spec'!$C$27</f>
        <v>-624</v>
      </c>
      <c r="AH45">
        <f>-'Drilling Spec'!$C$28</f>
        <v>-688</v>
      </c>
      <c r="AI45" t="e">
        <f t="shared" si="10"/>
        <v>#N/A</v>
      </c>
      <c r="AJ45" t="e">
        <f>IF(T45=0,NA(),-'Drilling Spec'!$C$26/2)</f>
        <v>#N/A</v>
      </c>
      <c r="AK45" t="e">
        <f>IF(U45=0,NA(),-'Drilling Spec'!$C$26/2)</f>
        <v>#N/A</v>
      </c>
      <c r="AL45" t="e">
        <f>IF(Z45=0,NA(),-'Drilling Spec'!$C$26*3/2)</f>
        <v>#N/A</v>
      </c>
      <c r="AM45">
        <f>IF(AA45=0,NA(),-'Drilling Spec'!$C$26*3/2)</f>
        <v>-105</v>
      </c>
    </row>
    <row r="46" spans="2:44" x14ac:dyDescent="0.35">
      <c r="B46" s="2">
        <f t="shared" si="12"/>
        <v>46014</v>
      </c>
      <c r="C46" t="str">
        <f t="shared" si="0"/>
        <v>Tue</v>
      </c>
      <c r="D46" s="10" t="s">
        <v>9</v>
      </c>
      <c r="E46" s="10">
        <v>16</v>
      </c>
      <c r="F46" s="4">
        <f t="shared" si="1"/>
        <v>16</v>
      </c>
      <c r="G46" s="4">
        <f t="shared" si="14"/>
        <v>408</v>
      </c>
      <c r="H46" s="4">
        <f t="shared" si="3"/>
        <v>960</v>
      </c>
      <c r="I46" s="15">
        <f>(SQRT(4*J45*J45*V*V + 'Drilling Spec'!$C$42*J45 + W*('Drilling Spec'!$C$43 + 2*l*V*(s*W + 2*V*H46/(1+e)) + 'Drilling Spec'!$C$44)) - 'Drilling Spec'!$C$45)/(2*V)</f>
        <v>453.04894389157988</v>
      </c>
      <c r="J46" s="16">
        <f>IF(AND(OR(J45=0,J45=""),G46=0),IF(G47=0,"",'Drilling Spec'!$C$26),I46)</f>
        <v>453.04894389157988</v>
      </c>
      <c r="K46" s="16">
        <f>MAX(0,J46-'Drilling Spec'!$C$30)</f>
        <v>373.04894389157988</v>
      </c>
      <c r="L46" s="18">
        <f>IFERROR(K46/'Drilling Spec'!$C$31,0)</f>
        <v>24.869929592771992</v>
      </c>
      <c r="M46" s="21">
        <f t="shared" si="15"/>
        <v>0</v>
      </c>
      <c r="N46" s="4">
        <f t="shared" si="11"/>
        <v>0</v>
      </c>
      <c r="O46" s="21">
        <f t="shared" si="5"/>
        <v>0</v>
      </c>
      <c r="P46" s="18">
        <f>(SQRT(4*P45*P45*vB*vB + 'Drilling Spec'!$C$48*P45 + WB*('Drilling Spec'!$C$49 + 2*lB*vB*(sB*WB + 2*vB*O46/(1+eB)) + 'Drilling Spec'!$C$50)) - 'Drilling Spec'!$C$51)/(2*vB)</f>
        <v>0</v>
      </c>
      <c r="Q46" s="18" t="str">
        <f>IF(AND(OR(R45=0,R45=""),N46=0),IF(N47=0,"",'Drilling Spec'!$C$30),P46)</f>
        <v/>
      </c>
      <c r="S46">
        <f t="shared" si="13"/>
        <v>28</v>
      </c>
      <c r="T46" s="10"/>
      <c r="U46">
        <f>IF('Baseline 2 - Good, 16hr'!L47&gt;'Baseline 2 - Good, 16hr'!S46,'Drilling Spec'!$C$36,)</f>
        <v>0</v>
      </c>
      <c r="W46" s="17">
        <f>(J46-'Drilling Spec'!$C$26)/'Drilling Spec'!$C$38</f>
        <v>63.841490648596647</v>
      </c>
      <c r="X46" s="17">
        <f t="shared" si="16"/>
        <v>2.0276622671409044</v>
      </c>
      <c r="Y46" s="17">
        <f t="shared" si="17"/>
        <v>3.8414906485966469</v>
      </c>
      <c r="Z46" s="10"/>
      <c r="AA46">
        <f>IF(Y46&lt;'Drilling Spec'!$C$39,,'Drilling Spec'!$C$39)</f>
        <v>0</v>
      </c>
      <c r="AD46" s="16">
        <f t="shared" si="18"/>
        <v>-453.04894389157988</v>
      </c>
      <c r="AE46" s="16" t="e">
        <f t="shared" si="9"/>
        <v>#N/A</v>
      </c>
      <c r="AF46">
        <f>-'Drilling Spec'!$C$29</f>
        <v>-720</v>
      </c>
      <c r="AG46">
        <f>-'Drilling Spec'!$C$27</f>
        <v>-624</v>
      </c>
      <c r="AH46">
        <f>-'Drilling Spec'!$C$28</f>
        <v>-688</v>
      </c>
      <c r="AI46" t="e">
        <f t="shared" si="10"/>
        <v>#N/A</v>
      </c>
      <c r="AJ46" t="e">
        <f>IF(T46=0,NA(),-'Drilling Spec'!$C$26/2)</f>
        <v>#N/A</v>
      </c>
      <c r="AK46" t="e">
        <f>IF(U46=0,NA(),-'Drilling Spec'!$C$26/2)</f>
        <v>#N/A</v>
      </c>
      <c r="AL46" t="e">
        <f>IF(Z46=0,NA(),-'Drilling Spec'!$C$26*3/2)</f>
        <v>#N/A</v>
      </c>
      <c r="AM46" t="e">
        <f>IF(AA46=0,NA(),-'Drilling Spec'!$C$26*3/2)</f>
        <v>#N/A</v>
      </c>
      <c r="AN46" s="5" t="s">
        <v>117</v>
      </c>
      <c r="AO46" s="5">
        <f>AO49-AO47</f>
        <v>76</v>
      </c>
      <c r="AP46" s="5" t="s">
        <v>112</v>
      </c>
      <c r="AQ46" s="5">
        <f>SUM(E3:E112)</f>
        <v>1180</v>
      </c>
      <c r="AR46" s="5" t="s">
        <v>111</v>
      </c>
    </row>
    <row r="47" spans="2:44" x14ac:dyDescent="0.35">
      <c r="B47" s="2">
        <f t="shared" si="12"/>
        <v>46015</v>
      </c>
      <c r="C47" t="str">
        <f t="shared" si="0"/>
        <v>Wed</v>
      </c>
      <c r="D47" s="10" t="s">
        <v>7</v>
      </c>
      <c r="E47" s="10">
        <v>0</v>
      </c>
      <c r="F47" s="4">
        <f t="shared" si="1"/>
        <v>0</v>
      </c>
      <c r="G47" s="4">
        <f t="shared" si="14"/>
        <v>408</v>
      </c>
      <c r="H47" s="4">
        <f t="shared" si="3"/>
        <v>0</v>
      </c>
      <c r="I47" s="15">
        <f>(SQRT(4*J46*J46*V*V + 'Drilling Spec'!$C$42*J46 + W*('Drilling Spec'!$C$43 + 2*l*V*(s*W + 2*V*H47/(1+e)) + 'Drilling Spec'!$C$44)) - 'Drilling Spec'!$C$45)/(2*V)</f>
        <v>453.04894389157988</v>
      </c>
      <c r="J47" s="16">
        <f>IF(AND(OR(J46=0,J46=""),G47=0),IF(G48=0,"",'Drilling Spec'!$C$26),I47)</f>
        <v>453.04894389157988</v>
      </c>
      <c r="K47" s="16">
        <f>MAX(0,J47-'Drilling Spec'!$C$30)</f>
        <v>373.04894389157988</v>
      </c>
      <c r="L47" s="18">
        <f>IFERROR(K47/'Drilling Spec'!$C$31,0)</f>
        <v>24.869929592771992</v>
      </c>
      <c r="M47" s="21">
        <f t="shared" si="15"/>
        <v>0</v>
      </c>
      <c r="N47" s="4">
        <f t="shared" si="11"/>
        <v>0</v>
      </c>
      <c r="O47" s="21">
        <f t="shared" si="5"/>
        <v>0</v>
      </c>
      <c r="P47" s="18">
        <f>(SQRT(4*P46*P46*vB*vB + 'Drilling Spec'!$C$48*P46 + WB*('Drilling Spec'!$C$49 + 2*lB*vB*(sB*WB + 2*vB*O47/(1+eB)) + 'Drilling Spec'!$C$50)) - 'Drilling Spec'!$C$51)/(2*vB)</f>
        <v>0</v>
      </c>
      <c r="Q47" s="18" t="str">
        <f>IF(AND(OR(R46=0,R46=""),N47=0),IF(N48=0,"",'Drilling Spec'!$C$30),P47)</f>
        <v/>
      </c>
      <c r="S47">
        <f t="shared" si="13"/>
        <v>28</v>
      </c>
      <c r="T47" s="10"/>
      <c r="U47">
        <f>IF('Baseline 2 - Good, 16hr'!L48&gt;'Baseline 2 - Good, 16hr'!S47,'Drilling Spec'!$C$36,)</f>
        <v>0</v>
      </c>
      <c r="W47" s="17">
        <f>(J47-'Drilling Spec'!$C$26)/'Drilling Spec'!$C$38</f>
        <v>63.841490648596647</v>
      </c>
      <c r="X47" s="17">
        <f t="shared" si="16"/>
        <v>0</v>
      </c>
      <c r="Y47" s="17">
        <f t="shared" si="17"/>
        <v>3.8414906485966469</v>
      </c>
      <c r="Z47" s="10"/>
      <c r="AA47">
        <f>IF(Y47&lt;'Drilling Spec'!$C$39,,'Drilling Spec'!$C$39)</f>
        <v>0</v>
      </c>
      <c r="AD47" s="16">
        <f t="shared" si="18"/>
        <v>-453.04894389157988</v>
      </c>
      <c r="AE47" s="16" t="e">
        <f t="shared" si="9"/>
        <v>#N/A</v>
      </c>
      <c r="AF47">
        <f>-'Drilling Spec'!$C$29</f>
        <v>-720</v>
      </c>
      <c r="AG47">
        <f>-'Drilling Spec'!$C$27</f>
        <v>-624</v>
      </c>
      <c r="AH47">
        <f>-'Drilling Spec'!$C$28</f>
        <v>-688</v>
      </c>
      <c r="AI47" t="e">
        <f t="shared" si="10"/>
        <v>#N/A</v>
      </c>
      <c r="AJ47" t="e">
        <f>IF(T47=0,NA(),-'Drilling Spec'!$C$26/2)</f>
        <v>#N/A</v>
      </c>
      <c r="AK47" t="e">
        <f>IF(U47=0,NA(),-'Drilling Spec'!$C$26/2)</f>
        <v>#N/A</v>
      </c>
      <c r="AL47" t="e">
        <f>IF(Z47=0,NA(),-'Drilling Spec'!$C$26*3/2)</f>
        <v>#N/A</v>
      </c>
      <c r="AM47" t="e">
        <f>IF(AA47=0,NA(),-'Drilling Spec'!$C$26*3/2)</f>
        <v>#N/A</v>
      </c>
      <c r="AN47" s="5" t="s">
        <v>108</v>
      </c>
      <c r="AO47" s="5">
        <f>COUNTIF(D3:D112,"REST")</f>
        <v>12</v>
      </c>
      <c r="AP47" s="5" t="s">
        <v>112</v>
      </c>
    </row>
    <row r="48" spans="2:44" x14ac:dyDescent="0.35">
      <c r="B48" s="2">
        <f t="shared" si="12"/>
        <v>46016</v>
      </c>
      <c r="C48" t="str">
        <f t="shared" si="0"/>
        <v>Thu</v>
      </c>
      <c r="D48" s="10" t="s">
        <v>9</v>
      </c>
      <c r="E48" s="10">
        <v>16</v>
      </c>
      <c r="F48" s="4">
        <f t="shared" si="1"/>
        <v>16</v>
      </c>
      <c r="G48" s="4">
        <f t="shared" si="14"/>
        <v>424</v>
      </c>
      <c r="H48" s="4">
        <f t="shared" si="3"/>
        <v>960</v>
      </c>
      <c r="I48" s="15">
        <f>(SQRT(4*J47*J47*V*V + 'Drilling Spec'!$C$42*J47 + W*('Drilling Spec'!$C$43 + 2*l*V*(s*W + 2*V*H48/(1+e)) + 'Drilling Spec'!$C$44)) - 'Drilling Spec'!$C$45)/(2*V)</f>
        <v>465.06596551824731</v>
      </c>
      <c r="J48" s="16">
        <f>IF(AND(OR(J47=0,J47=""),G48=0),IF(G49=0,"",'Drilling Spec'!$C$26),I48)</f>
        <v>465.06596551824731</v>
      </c>
      <c r="K48" s="16">
        <f>MAX(0,J48-'Drilling Spec'!$C$30)</f>
        <v>385.06596551824731</v>
      </c>
      <c r="L48" s="18">
        <f>IFERROR(K48/'Drilling Spec'!$C$31,0)</f>
        <v>25.671064367883154</v>
      </c>
      <c r="M48" s="21">
        <f t="shared" si="15"/>
        <v>0</v>
      </c>
      <c r="N48" s="4">
        <f t="shared" si="11"/>
        <v>0</v>
      </c>
      <c r="O48" s="21">
        <f t="shared" si="5"/>
        <v>0</v>
      </c>
      <c r="P48" s="18">
        <f>(SQRT(4*P47*P47*vB*vB + 'Drilling Spec'!$C$48*P47 + WB*('Drilling Spec'!$C$49 + 2*lB*vB*(sB*WB + 2*vB*O48/(1+eB)) + 'Drilling Spec'!$C$50)) - 'Drilling Spec'!$C$51)/(2*vB)</f>
        <v>0</v>
      </c>
      <c r="Q48" s="18" t="str">
        <f>IF(AND(OR(R47=0,R47=""),N48=0),IF(N49=0,"",'Drilling Spec'!$C$30),P48)</f>
        <v/>
      </c>
      <c r="S48">
        <f t="shared" si="13"/>
        <v>28</v>
      </c>
      <c r="T48" s="10"/>
      <c r="U48">
        <f>IF('Baseline 2 - Good, 16hr'!L49&gt;'Baseline 2 - Good, 16hr'!S48,'Drilling Spec'!$C$36,)</f>
        <v>0</v>
      </c>
      <c r="W48" s="17">
        <f>(J48-'Drilling Spec'!$C$26)/'Drilling Spec'!$C$38</f>
        <v>65.844327586374547</v>
      </c>
      <c r="X48" s="17">
        <f t="shared" si="16"/>
        <v>2.0028369377779001</v>
      </c>
      <c r="Y48" s="17">
        <f t="shared" si="17"/>
        <v>5.844327586374547</v>
      </c>
      <c r="Z48" s="10"/>
      <c r="AA48">
        <f>IF(Y48&lt;'Drilling Spec'!$C$39,,'Drilling Spec'!$C$39)</f>
        <v>0</v>
      </c>
      <c r="AD48" s="16">
        <f t="shared" si="18"/>
        <v>-465.06596551824731</v>
      </c>
      <c r="AE48" s="16" t="e">
        <f t="shared" si="9"/>
        <v>#N/A</v>
      </c>
      <c r="AF48">
        <f>-'Drilling Spec'!$C$29</f>
        <v>-720</v>
      </c>
      <c r="AG48">
        <f>-'Drilling Spec'!$C$27</f>
        <v>-624</v>
      </c>
      <c r="AH48">
        <f>-'Drilling Spec'!$C$28</f>
        <v>-688</v>
      </c>
      <c r="AI48" t="e">
        <f t="shared" si="10"/>
        <v>#N/A</v>
      </c>
      <c r="AJ48" t="e">
        <f>IF(T48=0,NA(),-'Drilling Spec'!$C$26/2)</f>
        <v>#N/A</v>
      </c>
      <c r="AK48" t="e">
        <f>IF(U48=0,NA(),-'Drilling Spec'!$C$26/2)</f>
        <v>#N/A</v>
      </c>
      <c r="AL48" t="e">
        <f>IF(Z48=0,NA(),-'Drilling Spec'!$C$26*3/2)</f>
        <v>#N/A</v>
      </c>
      <c r="AM48" t="e">
        <f>IF(AA48=0,NA(),-'Drilling Spec'!$C$26*3/2)</f>
        <v>#N/A</v>
      </c>
    </row>
    <row r="49" spans="2:42" x14ac:dyDescent="0.35">
      <c r="B49" s="2">
        <f t="shared" si="12"/>
        <v>46017</v>
      </c>
      <c r="C49" t="str">
        <f t="shared" si="0"/>
        <v>Fri</v>
      </c>
      <c r="D49" s="10" t="s">
        <v>9</v>
      </c>
      <c r="E49" s="10">
        <v>16</v>
      </c>
      <c r="F49" s="4">
        <f t="shared" si="1"/>
        <v>16</v>
      </c>
      <c r="G49" s="4">
        <f t="shared" si="14"/>
        <v>440</v>
      </c>
      <c r="H49" s="4">
        <f t="shared" si="3"/>
        <v>960</v>
      </c>
      <c r="I49" s="15">
        <f>(SQRT(4*J48*J48*V*V + 'Drilling Spec'!$C$42*J48 + W*('Drilling Spec'!$C$43 + 2*l*V*(s*W + 2*V*H49/(1+e)) + 'Drilling Spec'!$C$44)) - 'Drilling Spec'!$C$45)/(2*V)</f>
        <v>476.93937578819299</v>
      </c>
      <c r="J49" s="16">
        <f>IF(AND(OR(J48=0,J48=""),G49=0),IF(G50=0,"",'Drilling Spec'!$C$26),I49)</f>
        <v>476.93937578819299</v>
      </c>
      <c r="K49" s="16">
        <f>MAX(0,J49-'Drilling Spec'!$C$30)</f>
        <v>396.93937578819299</v>
      </c>
      <c r="L49" s="18">
        <f>IFERROR(K49/'Drilling Spec'!$C$31,0)</f>
        <v>26.462625052546198</v>
      </c>
      <c r="M49" s="21">
        <f t="shared" si="15"/>
        <v>0</v>
      </c>
      <c r="N49" s="4">
        <f t="shared" si="11"/>
        <v>0</v>
      </c>
      <c r="O49" s="21">
        <f t="shared" si="5"/>
        <v>0</v>
      </c>
      <c r="P49" s="18">
        <f>(SQRT(4*P48*P48*vB*vB + 'Drilling Spec'!$C$48*P48 + WB*('Drilling Spec'!$C$49 + 2*lB*vB*(sB*WB + 2*vB*O49/(1+eB)) + 'Drilling Spec'!$C$50)) - 'Drilling Spec'!$C$51)/(2*vB)</f>
        <v>0</v>
      </c>
      <c r="Q49" s="18" t="str">
        <f>IF(AND(OR(R48=0,R48=""),N49=0),IF(N50=0,"",'Drilling Spec'!$C$30),P49)</f>
        <v/>
      </c>
      <c r="S49">
        <f t="shared" si="13"/>
        <v>28</v>
      </c>
      <c r="T49" s="10"/>
      <c r="U49">
        <f>IF('Baseline 2 - Good, 16hr'!L50&gt;'Baseline 2 - Good, 16hr'!S49,'Drilling Spec'!$C$36,)</f>
        <v>0</v>
      </c>
      <c r="W49" s="17">
        <f>(J49-'Drilling Spec'!$C$26)/'Drilling Spec'!$C$38</f>
        <v>67.82322929803216</v>
      </c>
      <c r="X49" s="17">
        <f t="shared" si="16"/>
        <v>1.9789017116576133</v>
      </c>
      <c r="Y49" s="17">
        <f t="shared" si="17"/>
        <v>7.8232292980321603</v>
      </c>
      <c r="Z49" s="10"/>
      <c r="AA49">
        <f>IF(Y49&lt;'Drilling Spec'!$C$39,,'Drilling Spec'!$C$39)</f>
        <v>0</v>
      </c>
      <c r="AD49" s="16">
        <f t="shared" si="18"/>
        <v>-476.93937578819299</v>
      </c>
      <c r="AE49" s="16" t="e">
        <f t="shared" si="9"/>
        <v>#N/A</v>
      </c>
      <c r="AF49">
        <f>-'Drilling Spec'!$C$29</f>
        <v>-720</v>
      </c>
      <c r="AG49">
        <f>-'Drilling Spec'!$C$27</f>
        <v>-624</v>
      </c>
      <c r="AH49">
        <f>-'Drilling Spec'!$C$28</f>
        <v>-688</v>
      </c>
      <c r="AI49" t="e">
        <f t="shared" si="10"/>
        <v>#N/A</v>
      </c>
      <c r="AJ49" t="e">
        <f>IF(T49=0,NA(),-'Drilling Spec'!$C$26/2)</f>
        <v>#N/A</v>
      </c>
      <c r="AK49" t="e">
        <f>IF(U49=0,NA(),-'Drilling Spec'!$C$26/2)</f>
        <v>#N/A</v>
      </c>
      <c r="AL49" t="e">
        <f>IF(Z49=0,NA(),-'Drilling Spec'!$C$26*3/2)</f>
        <v>#N/A</v>
      </c>
      <c r="AM49" t="e">
        <f>IF(AA49=0,NA(),-'Drilling Spec'!$C$26*3/2)</f>
        <v>#N/A</v>
      </c>
      <c r="AN49" s="5" t="s">
        <v>113</v>
      </c>
      <c r="AO49" s="5">
        <f>_xlfn.XLOOKUP("Camp Closed",D3:D112,B3:B112)-_xlfn.XLOOKUP("Open Camp",D3:D112,B3:B112)</f>
        <v>88</v>
      </c>
      <c r="AP49" s="5" t="s">
        <v>112</v>
      </c>
    </row>
    <row r="50" spans="2:42" x14ac:dyDescent="0.35">
      <c r="B50" s="2">
        <f t="shared" si="12"/>
        <v>46018</v>
      </c>
      <c r="C50" t="str">
        <f t="shared" si="0"/>
        <v>Sat</v>
      </c>
      <c r="D50" s="10" t="s">
        <v>9</v>
      </c>
      <c r="E50" s="10">
        <v>16</v>
      </c>
      <c r="F50" s="4">
        <f t="shared" si="1"/>
        <v>16</v>
      </c>
      <c r="G50" s="4">
        <f t="shared" si="14"/>
        <v>456</v>
      </c>
      <c r="H50" s="4">
        <f t="shared" si="3"/>
        <v>960</v>
      </c>
      <c r="I50" s="15">
        <f>(SQRT(4*J49*J49*V*V + 'Drilling Spec'!$C$42*J49 + W*('Drilling Spec'!$C$43 + 2*l*V*(s*W + 2*V*H50/(1+e)) + 'Drilling Spec'!$C$44)) - 'Drilling Spec'!$C$45)/(2*V)</f>
        <v>488.67420360675334</v>
      </c>
      <c r="J50" s="16">
        <f>IF(AND(OR(J49=0,J49=""),G50=0),IF(G51=0,"",'Drilling Spec'!$C$26),I50)</f>
        <v>488.67420360675334</v>
      </c>
      <c r="K50" s="16">
        <f>MAX(0,J50-'Drilling Spec'!$C$30)</f>
        <v>408.67420360675334</v>
      </c>
      <c r="L50" s="18">
        <f>IFERROR(K50/'Drilling Spec'!$C$31,0)</f>
        <v>27.244946907116891</v>
      </c>
      <c r="M50" s="21">
        <f t="shared" si="15"/>
        <v>0</v>
      </c>
      <c r="N50" s="4">
        <f t="shared" si="11"/>
        <v>0</v>
      </c>
      <c r="O50" s="21">
        <f t="shared" si="5"/>
        <v>0</v>
      </c>
      <c r="P50" s="18">
        <f>(SQRT(4*P49*P49*vB*vB + 'Drilling Spec'!$C$48*P49 + WB*('Drilling Spec'!$C$49 + 2*lB*vB*(sB*WB + 2*vB*O50/(1+eB)) + 'Drilling Spec'!$C$50)) - 'Drilling Spec'!$C$51)/(2*vB)</f>
        <v>0</v>
      </c>
      <c r="Q50" s="18" t="str">
        <f>IF(AND(OR(R49=0,R49=""),N50=0),IF(N51=0,"",'Drilling Spec'!$C$30),P50)</f>
        <v/>
      </c>
      <c r="S50">
        <f t="shared" si="13"/>
        <v>28</v>
      </c>
      <c r="T50" s="10"/>
      <c r="U50">
        <f>IF('Baseline 2 - Good, 16hr'!L51&gt;'Baseline 2 - Good, 16hr'!S50,'Drilling Spec'!$C$36,)</f>
        <v>0</v>
      </c>
      <c r="W50" s="17">
        <f>(J50-'Drilling Spec'!$C$26)/'Drilling Spec'!$C$38</f>
        <v>69.779033934458894</v>
      </c>
      <c r="X50" s="17">
        <f t="shared" si="16"/>
        <v>1.9558046364267341</v>
      </c>
      <c r="Y50" s="17">
        <f t="shared" si="17"/>
        <v>9.7790339344588944</v>
      </c>
      <c r="Z50" s="10"/>
      <c r="AA50">
        <f>IF(Y50&lt;'Drilling Spec'!$C$39,,'Drilling Spec'!$C$39)</f>
        <v>0</v>
      </c>
      <c r="AD50" s="16">
        <f t="shared" si="18"/>
        <v>-488.67420360675334</v>
      </c>
      <c r="AE50" s="16" t="e">
        <f t="shared" si="9"/>
        <v>#N/A</v>
      </c>
      <c r="AF50">
        <f>-'Drilling Spec'!$C$29</f>
        <v>-720</v>
      </c>
      <c r="AG50">
        <f>-'Drilling Spec'!$C$27</f>
        <v>-624</v>
      </c>
      <c r="AH50">
        <f>-'Drilling Spec'!$C$28</f>
        <v>-688</v>
      </c>
      <c r="AI50" t="e">
        <f t="shared" si="10"/>
        <v>#N/A</v>
      </c>
      <c r="AJ50" t="e">
        <f>IF(T50=0,NA(),-'Drilling Spec'!$C$26/2)</f>
        <v>#N/A</v>
      </c>
      <c r="AK50" t="e">
        <f>IF(U50=0,NA(),-'Drilling Spec'!$C$26/2)</f>
        <v>#N/A</v>
      </c>
      <c r="AL50" t="e">
        <f>IF(Z50=0,NA(),-'Drilling Spec'!$C$26*3/2)</f>
        <v>#N/A</v>
      </c>
      <c r="AM50" t="e">
        <f>IF(AA50=0,NA(),-'Drilling Spec'!$C$26*3/2)</f>
        <v>#N/A</v>
      </c>
      <c r="AN50" s="5" t="s">
        <v>114</v>
      </c>
      <c r="AO50" s="5">
        <f>'04-07-25-Scen3-Good,24-16hr'!BF5-B3 - AO49</f>
        <v>-4</v>
      </c>
      <c r="AP50" s="5" t="s">
        <v>112</v>
      </c>
    </row>
    <row r="51" spans="2:42" x14ac:dyDescent="0.35">
      <c r="B51" s="2">
        <f t="shared" si="12"/>
        <v>46019</v>
      </c>
      <c r="C51" t="str">
        <f t="shared" si="0"/>
        <v>Sun</v>
      </c>
      <c r="D51" s="10" t="s">
        <v>7</v>
      </c>
      <c r="E51" s="10">
        <v>0</v>
      </c>
      <c r="F51" s="4">
        <f t="shared" si="1"/>
        <v>0</v>
      </c>
      <c r="G51" s="4">
        <f t="shared" si="14"/>
        <v>456</v>
      </c>
      <c r="H51" s="4">
        <f t="shared" si="3"/>
        <v>0</v>
      </c>
      <c r="I51" s="15">
        <f>(SQRT(4*J50*J50*V*V + 'Drilling Spec'!$C$42*J50 + W*('Drilling Spec'!$C$43 + 2*l*V*(s*W + 2*V*H51/(1+e)) + 'Drilling Spec'!$C$44)) - 'Drilling Spec'!$C$45)/(2*V)</f>
        <v>488.67420360675334</v>
      </c>
      <c r="J51" s="16">
        <f>IF(AND(OR(J50=0,J50=""),G51=0),IF(G52=0,"",'Drilling Spec'!$C$26),I51)</f>
        <v>488.67420360675334</v>
      </c>
      <c r="K51" s="16">
        <f>MAX(0,J51-'Drilling Spec'!$C$30)</f>
        <v>408.67420360675334</v>
      </c>
      <c r="L51" s="18">
        <f>IFERROR(K51/'Drilling Spec'!$C$31,0)</f>
        <v>27.244946907116891</v>
      </c>
      <c r="M51" s="21">
        <f t="shared" si="15"/>
        <v>0</v>
      </c>
      <c r="N51" s="4">
        <f>(N50+M51)</f>
        <v>0</v>
      </c>
      <c r="O51" s="21">
        <f t="shared" si="5"/>
        <v>0</v>
      </c>
      <c r="P51" s="18">
        <f>(SQRT(4*P50*P50*vB*vB + 'Drilling Spec'!$C$48*P50 + WB*('Drilling Spec'!$C$49 + 2*lB*vB*(sB*WB + 2*vB*O51/(1+eB)) + 'Drilling Spec'!$C$50)) - 'Drilling Spec'!$C$51)/(2*vB)</f>
        <v>0</v>
      </c>
      <c r="Q51" s="18" t="str">
        <f>IF(AND(OR(R50=0,R50=""),N51=0),IF(N52=0,"",'Drilling Spec'!$C$30),P51)</f>
        <v/>
      </c>
      <c r="S51">
        <f t="shared" si="13"/>
        <v>28</v>
      </c>
      <c r="T51" s="10"/>
      <c r="U51">
        <f>IF('Baseline 2 - Good, 16hr'!L52&gt;'Baseline 2 - Good, 16hr'!S51,'Drilling Spec'!$C$36,)</f>
        <v>6</v>
      </c>
      <c r="W51" s="17">
        <f>(J51-'Drilling Spec'!$C$26)/'Drilling Spec'!$C$38</f>
        <v>69.779033934458894</v>
      </c>
      <c r="X51" s="17">
        <f t="shared" si="16"/>
        <v>0</v>
      </c>
      <c r="Y51" s="17">
        <f t="shared" si="17"/>
        <v>9.7790339344588944</v>
      </c>
      <c r="Z51" s="10"/>
      <c r="AA51">
        <f>IF(Y51&lt;'Drilling Spec'!$C$39,,'Drilling Spec'!$C$39)</f>
        <v>0</v>
      </c>
      <c r="AD51" s="16">
        <f t="shared" si="18"/>
        <v>-488.67420360675334</v>
      </c>
      <c r="AE51" s="16" t="e">
        <f t="shared" si="9"/>
        <v>#N/A</v>
      </c>
      <c r="AF51">
        <f>-'Drilling Spec'!$C$29</f>
        <v>-720</v>
      </c>
      <c r="AG51">
        <f>-'Drilling Spec'!$C$27</f>
        <v>-624</v>
      </c>
      <c r="AH51">
        <f>-'Drilling Spec'!$C$28</f>
        <v>-688</v>
      </c>
      <c r="AI51" t="e">
        <f t="shared" si="10"/>
        <v>#N/A</v>
      </c>
      <c r="AJ51" t="e">
        <f>IF(T51=0,NA(),-'Drilling Spec'!$C$26/2)</f>
        <v>#N/A</v>
      </c>
      <c r="AK51">
        <f>IF(U51=0,NA(),-'Drilling Spec'!$C$26/2)</f>
        <v>-35</v>
      </c>
      <c r="AL51" t="e">
        <f>IF(Z51=0,NA(),-'Drilling Spec'!$C$26*3/2)</f>
        <v>#N/A</v>
      </c>
      <c r="AM51" t="e">
        <f>IF(AA51=0,NA(),-'Drilling Spec'!$C$26*3/2)</f>
        <v>#N/A</v>
      </c>
    </row>
    <row r="52" spans="2:42" x14ac:dyDescent="0.35">
      <c r="B52" s="2">
        <f t="shared" si="12"/>
        <v>46020</v>
      </c>
      <c r="C52" t="str">
        <f t="shared" si="0"/>
        <v>Mon</v>
      </c>
      <c r="D52" s="10" t="s">
        <v>9</v>
      </c>
      <c r="E52" s="10">
        <v>16</v>
      </c>
      <c r="F52" s="4">
        <f t="shared" si="1"/>
        <v>16</v>
      </c>
      <c r="G52" s="4">
        <f t="shared" si="14"/>
        <v>472</v>
      </c>
      <c r="H52" s="4">
        <f t="shared" si="3"/>
        <v>960</v>
      </c>
      <c r="I52" s="15">
        <f>(SQRT(4*J51*J51*V*V + 'Drilling Spec'!$C$42*J51 + W*('Drilling Spec'!$C$43 + 2*l*V*(s*W + 2*V*H52/(1+e)) + 'Drilling Spec'!$C$44)) - 'Drilling Spec'!$C$45)/(2*V)</f>
        <v>500.27519105685997</v>
      </c>
      <c r="J52" s="16">
        <f>IF(AND(OR(J51=0,J51=""),G52=0),IF(G53=0,"",'Drilling Spec'!$C$26),I52)</f>
        <v>500.27519105685997</v>
      </c>
      <c r="K52" s="16">
        <f>MAX(0,J52-'Drilling Spec'!$C$30)</f>
        <v>420.27519105685997</v>
      </c>
      <c r="L52" s="18">
        <f>IFERROR(K52/'Drilling Spec'!$C$31,0)</f>
        <v>28.01834607045733</v>
      </c>
      <c r="M52" s="21">
        <f t="shared" si="15"/>
        <v>0</v>
      </c>
      <c r="N52" s="4">
        <f t="shared" si="11"/>
        <v>0</v>
      </c>
      <c r="O52" s="21">
        <f t="shared" si="5"/>
        <v>0</v>
      </c>
      <c r="P52" s="18">
        <f>(SQRT(4*P51*P51*vB*vB + 'Drilling Spec'!$C$48*P51 + WB*('Drilling Spec'!$C$49 + 2*lB*vB*(sB*WB + 2*vB*O52/(1+eB)) + 'Drilling Spec'!$C$50)) - 'Drilling Spec'!$C$51)/(2*vB)</f>
        <v>0</v>
      </c>
      <c r="Q52" s="18" t="str">
        <f>IF(AND(OR(R51=0,R51=""),N52=0),IF(N53=0,"",'Drilling Spec'!$C$30),P52)</f>
        <v/>
      </c>
      <c r="S52">
        <f t="shared" si="13"/>
        <v>34</v>
      </c>
      <c r="T52" s="10"/>
      <c r="U52">
        <f>IF('Baseline 2 - Good, 16hr'!L53&gt;'Baseline 2 - Good, 16hr'!S52,'Drilling Spec'!$C$36,)</f>
        <v>0</v>
      </c>
      <c r="W52" s="17">
        <f>(J52-'Drilling Spec'!$C$26)/'Drilling Spec'!$C$38</f>
        <v>71.712531842809994</v>
      </c>
      <c r="X52" s="17">
        <f t="shared" si="16"/>
        <v>1.9334979083511001</v>
      </c>
      <c r="Y52" s="17">
        <f t="shared" si="17"/>
        <v>11.712531842809994</v>
      </c>
      <c r="Z52" s="10"/>
      <c r="AA52">
        <f>IF(Y52&lt;'Drilling Spec'!$C$39,,'Drilling Spec'!$C$39)</f>
        <v>0</v>
      </c>
      <c r="AD52" s="16">
        <f t="shared" si="18"/>
        <v>-500.27519105685997</v>
      </c>
      <c r="AE52" s="16" t="e">
        <f t="shared" si="9"/>
        <v>#N/A</v>
      </c>
      <c r="AF52">
        <f>-'Drilling Spec'!$C$29</f>
        <v>-720</v>
      </c>
      <c r="AG52">
        <f>-'Drilling Spec'!$C$27</f>
        <v>-624</v>
      </c>
      <c r="AH52">
        <f>-'Drilling Spec'!$C$28</f>
        <v>-688</v>
      </c>
      <c r="AI52" t="e">
        <f t="shared" si="10"/>
        <v>#N/A</v>
      </c>
      <c r="AJ52" t="e">
        <f>IF(T52=0,NA(),-'Drilling Spec'!$C$26/2)</f>
        <v>#N/A</v>
      </c>
      <c r="AK52" t="e">
        <f>IF(U52=0,NA(),-'Drilling Spec'!$C$26/2)</f>
        <v>#N/A</v>
      </c>
      <c r="AL52" t="e">
        <f>IF(Z52=0,NA(),-'Drilling Spec'!$C$26*3/2)</f>
        <v>#N/A</v>
      </c>
      <c r="AM52" t="e">
        <f>IF(AA52=0,NA(),-'Drilling Spec'!$C$26*3/2)</f>
        <v>#N/A</v>
      </c>
    </row>
    <row r="53" spans="2:42" x14ac:dyDescent="0.35">
      <c r="B53" s="2">
        <f t="shared" si="12"/>
        <v>46021</v>
      </c>
      <c r="C53" t="str">
        <f t="shared" si="0"/>
        <v>Tue</v>
      </c>
      <c r="D53" s="10" t="s">
        <v>9</v>
      </c>
      <c r="E53" s="10">
        <v>16</v>
      </c>
      <c r="F53" s="4">
        <f t="shared" si="1"/>
        <v>16</v>
      </c>
      <c r="G53" s="4">
        <f t="shared" si="14"/>
        <v>488</v>
      </c>
      <c r="H53" s="4">
        <f t="shared" si="3"/>
        <v>960</v>
      </c>
      <c r="I53" s="15">
        <f>(SQRT(4*J52*J52*V*V + 'Drilling Spec'!$C$42*J52 + W*('Drilling Spec'!$C$43 + 2*l*V*(s*W + 2*V*H53/(1+e)) + 'Drilling Spec'!$C$44)) - 'Drilling Spec'!$C$45)/(2*V)</f>
        <v>511.74681579197869</v>
      </c>
      <c r="J53" s="16">
        <f>IF(AND(OR(J52=0,J52=""),G53=0),IF(G54=0,"",'Drilling Spec'!$C$26),I53)</f>
        <v>511.74681579197869</v>
      </c>
      <c r="K53" s="16">
        <f>MAX(0,J53-'Drilling Spec'!$C$30)</f>
        <v>431.74681579197869</v>
      </c>
      <c r="L53" s="18">
        <f>IFERROR(K53/'Drilling Spec'!$C$31,0)</f>
        <v>28.783121052798581</v>
      </c>
      <c r="M53" s="21">
        <f t="shared" si="15"/>
        <v>0</v>
      </c>
      <c r="N53" s="4">
        <f>(N52+M53)</f>
        <v>0</v>
      </c>
      <c r="O53" s="21">
        <f t="shared" si="5"/>
        <v>0</v>
      </c>
      <c r="P53" s="18">
        <f>(SQRT(4*P52*P52*vB*vB + 'Drilling Spec'!$C$48*P52 + WB*('Drilling Spec'!$C$49 + 2*lB*vB*(sB*WB + 2*vB*O53/(1+eB)) + 'Drilling Spec'!$C$50)) - 'Drilling Spec'!$C$51)/(2*vB)</f>
        <v>0</v>
      </c>
      <c r="Q53" s="18" t="str">
        <f>IF(AND(OR(R52=0,R52=""),N53=0),IF(N54=0,"",'Drilling Spec'!$C$30),P53)</f>
        <v/>
      </c>
      <c r="S53">
        <f t="shared" si="13"/>
        <v>34</v>
      </c>
      <c r="T53" s="10"/>
      <c r="U53">
        <f>IF('Baseline 2 - Good, 16hr'!L54&gt;'Baseline 2 - Good, 16hr'!S53,'Drilling Spec'!$C$36,)</f>
        <v>0</v>
      </c>
      <c r="W53" s="17">
        <f>(J53-'Drilling Spec'!$C$26)/'Drilling Spec'!$C$38</f>
        <v>73.624469298663115</v>
      </c>
      <c r="X53" s="17">
        <f t="shared" si="16"/>
        <v>1.9119374558531206</v>
      </c>
      <c r="Y53" s="17">
        <f t="shared" si="17"/>
        <v>13.624469298663115</v>
      </c>
      <c r="Z53" s="10"/>
      <c r="AA53">
        <f>IF(Y53&lt;'Drilling Spec'!$C$39,,'Drilling Spec'!$C$39)</f>
        <v>0</v>
      </c>
      <c r="AD53" s="16">
        <f t="shared" si="18"/>
        <v>-511.74681579197869</v>
      </c>
      <c r="AE53" s="16" t="e">
        <f t="shared" si="9"/>
        <v>#N/A</v>
      </c>
      <c r="AF53">
        <f>-'Drilling Spec'!$C$29</f>
        <v>-720</v>
      </c>
      <c r="AG53">
        <f>-'Drilling Spec'!$C$27</f>
        <v>-624</v>
      </c>
      <c r="AH53">
        <f>-'Drilling Spec'!$C$28</f>
        <v>-688</v>
      </c>
      <c r="AI53" t="e">
        <f t="shared" si="10"/>
        <v>#N/A</v>
      </c>
      <c r="AJ53" t="e">
        <f>IF(T53=0,NA(),-'Drilling Spec'!$C$26/2)</f>
        <v>#N/A</v>
      </c>
      <c r="AK53" t="e">
        <f>IF(U53=0,NA(),-'Drilling Spec'!$C$26/2)</f>
        <v>#N/A</v>
      </c>
      <c r="AL53" t="e">
        <f>IF(Z53=0,NA(),-'Drilling Spec'!$C$26*3/2)</f>
        <v>#N/A</v>
      </c>
      <c r="AM53" t="e">
        <f>IF(AA53=0,NA(),-'Drilling Spec'!$C$26*3/2)</f>
        <v>#N/A</v>
      </c>
    </row>
    <row r="54" spans="2:42" x14ac:dyDescent="0.35">
      <c r="B54" s="2">
        <f t="shared" si="12"/>
        <v>46022</v>
      </c>
      <c r="C54" t="str">
        <f t="shared" si="0"/>
        <v>Wed</v>
      </c>
      <c r="D54" s="10" t="s">
        <v>9</v>
      </c>
      <c r="E54" s="10">
        <v>16</v>
      </c>
      <c r="F54" s="4">
        <f t="shared" si="1"/>
        <v>16</v>
      </c>
      <c r="G54" s="4">
        <f t="shared" si="14"/>
        <v>504</v>
      </c>
      <c r="H54" s="4">
        <f t="shared" si="3"/>
        <v>960</v>
      </c>
      <c r="I54" s="15">
        <f>(SQRT(4*J53*J53*V*V + 'Drilling Spec'!$C$42*J53 + W*('Drilling Spec'!$C$43 + 2*l*V*(s*W + 2*V*H54/(1+e)) + 'Drilling Spec'!$C$44)) - 'Drilling Spec'!$C$45)/(2*V)</f>
        <v>523.09331123018478</v>
      </c>
      <c r="J54" s="16">
        <f>IF(AND(OR(J53=0,J53=""),G54=0),IF(G55=0,"",'Drilling Spec'!$C$26),I54)</f>
        <v>523.09331123018478</v>
      </c>
      <c r="K54" s="16">
        <f>MAX(0,J54-'Drilling Spec'!$C$30)</f>
        <v>443.09331123018478</v>
      </c>
      <c r="L54" s="18">
        <f>IFERROR(K54/'Drilling Spec'!$C$31,0)</f>
        <v>29.539554082012319</v>
      </c>
      <c r="M54" s="21">
        <f t="shared" si="15"/>
        <v>0</v>
      </c>
      <c r="N54" s="4">
        <f t="shared" si="11"/>
        <v>0</v>
      </c>
      <c r="O54" s="21">
        <f t="shared" si="5"/>
        <v>0</v>
      </c>
      <c r="P54" s="18">
        <f>(SQRT(4*P53*P53*vB*vB + 'Drilling Spec'!$C$48*P53 + WB*('Drilling Spec'!$C$49 + 2*lB*vB*(sB*WB + 2*vB*O54/(1+eB)) + 'Drilling Spec'!$C$50)) - 'Drilling Spec'!$C$51)/(2*vB)</f>
        <v>0</v>
      </c>
      <c r="Q54" s="18" t="str">
        <f>IF(AND(OR(R53=0,R53=""),N54=0),IF(N55=0,"",'Drilling Spec'!$C$30),P54)</f>
        <v/>
      </c>
      <c r="S54">
        <f t="shared" si="13"/>
        <v>34</v>
      </c>
      <c r="T54" s="10"/>
      <c r="U54">
        <f>IF('Baseline 2 - Good, 16hr'!L55&gt;'Baseline 2 - Good, 16hr'!S54,'Drilling Spec'!$C$36,)</f>
        <v>0</v>
      </c>
      <c r="W54" s="17">
        <f>(J54-'Drilling Spec'!$C$26)/'Drilling Spec'!$C$38</f>
        <v>75.515551871697468</v>
      </c>
      <c r="X54" s="17">
        <f t="shared" si="16"/>
        <v>1.8910825730343532</v>
      </c>
      <c r="Y54" s="17">
        <f t="shared" si="17"/>
        <v>15.515551871697468</v>
      </c>
      <c r="Z54" s="10"/>
      <c r="AA54">
        <f>IF(Y54&lt;'Drilling Spec'!$C$39,,'Drilling Spec'!$C$39)</f>
        <v>0</v>
      </c>
      <c r="AD54" s="16">
        <f t="shared" si="18"/>
        <v>-523.09331123018478</v>
      </c>
      <c r="AE54" s="16" t="e">
        <f t="shared" si="9"/>
        <v>#N/A</v>
      </c>
      <c r="AF54">
        <f>-'Drilling Spec'!$C$29</f>
        <v>-720</v>
      </c>
      <c r="AG54">
        <f>-'Drilling Spec'!$C$27</f>
        <v>-624</v>
      </c>
      <c r="AH54">
        <f>-'Drilling Spec'!$C$28</f>
        <v>-688</v>
      </c>
      <c r="AI54" t="e">
        <f t="shared" si="10"/>
        <v>#N/A</v>
      </c>
      <c r="AJ54" t="e">
        <f>IF(T54=0,NA(),-'Drilling Spec'!$C$26/2)</f>
        <v>#N/A</v>
      </c>
      <c r="AK54" t="e">
        <f>IF(U54=0,NA(),-'Drilling Spec'!$C$26/2)</f>
        <v>#N/A</v>
      </c>
      <c r="AL54" t="e">
        <f>IF(Z54=0,NA(),-'Drilling Spec'!$C$26*3/2)</f>
        <v>#N/A</v>
      </c>
      <c r="AM54" t="e">
        <f>IF(AA54=0,NA(),-'Drilling Spec'!$C$26*3/2)</f>
        <v>#N/A</v>
      </c>
    </row>
    <row r="55" spans="2:42" x14ac:dyDescent="0.35">
      <c r="B55" s="2">
        <f>B54+1</f>
        <v>46023</v>
      </c>
      <c r="C55" t="str">
        <f t="shared" si="0"/>
        <v>Thu</v>
      </c>
      <c r="D55" s="10" t="s">
        <v>9</v>
      </c>
      <c r="E55" s="10">
        <v>16</v>
      </c>
      <c r="F55" s="4">
        <f t="shared" si="1"/>
        <v>16</v>
      </c>
      <c r="G55" s="4">
        <f t="shared" si="14"/>
        <v>520</v>
      </c>
      <c r="H55" s="4">
        <f t="shared" si="3"/>
        <v>960</v>
      </c>
      <c r="I55" s="15">
        <f>(SQRT(4*J54*J54*V*V + 'Drilling Spec'!$C$42*J54 + W*('Drilling Spec'!$C$43 + 2*l*V*(s*W + 2*V*H55/(1+e)) + 'Drilling Spec'!$C$44)) - 'Drilling Spec'!$C$45)/(2*V)</f>
        <v>534.31868480765161</v>
      </c>
      <c r="J55" s="16">
        <f>IF(AND(OR(J54=0,J54=""),G55=0),IF(G56=0,"",'Drilling Spec'!$C$26),I55)</f>
        <v>534.31868480765161</v>
      </c>
      <c r="K55" s="16">
        <f>MAX(0,J55-'Drilling Spec'!$C$30)</f>
        <v>454.31868480765161</v>
      </c>
      <c r="L55" s="18">
        <f>IFERROR(K55/'Drilling Spec'!$C$31,0)</f>
        <v>30.287912320510106</v>
      </c>
      <c r="M55" s="21">
        <f t="shared" si="15"/>
        <v>0</v>
      </c>
      <c r="N55" s="4">
        <f t="shared" si="11"/>
        <v>0</v>
      </c>
      <c r="O55" s="21">
        <f t="shared" si="5"/>
        <v>0</v>
      </c>
      <c r="P55" s="18">
        <f>(SQRT(4*P54*P54*vB*vB + 'Drilling Spec'!$C$48*P54 + WB*('Drilling Spec'!$C$49 + 2*lB*vB*(sB*WB + 2*vB*O55/(1+eB)) + 'Drilling Spec'!$C$50)) - 'Drilling Spec'!$C$51)/(2*vB)</f>
        <v>0</v>
      </c>
      <c r="Q55" s="18" t="str">
        <f>IF(AND(OR(R54=0,R54=""),N55=0),IF(N56=0,"",'Drilling Spec'!$C$30),P55)</f>
        <v/>
      </c>
      <c r="S55">
        <f t="shared" si="13"/>
        <v>34</v>
      </c>
      <c r="T55" s="10"/>
      <c r="U55">
        <f>IF('Baseline 2 - Good, 16hr'!L56&gt;'Baseline 2 - Good, 16hr'!S55,'Drilling Spec'!$C$36,)</f>
        <v>0</v>
      </c>
      <c r="W55" s="17">
        <f>(J55-'Drilling Spec'!$C$26)/'Drilling Spec'!$C$38</f>
        <v>77.386447467941935</v>
      </c>
      <c r="X55" s="17">
        <f t="shared" si="16"/>
        <v>1.8708955962444662</v>
      </c>
      <c r="Y55" s="17">
        <f t="shared" si="17"/>
        <v>17.386447467941935</v>
      </c>
      <c r="Z55" s="10"/>
      <c r="AA55">
        <f>IF(Y55&lt;'Drilling Spec'!$C$39,,'Drilling Spec'!$C$39)</f>
        <v>0</v>
      </c>
      <c r="AD55" s="16">
        <f t="shared" si="18"/>
        <v>-534.31868480765161</v>
      </c>
      <c r="AE55" s="16" t="e">
        <f t="shared" si="9"/>
        <v>#N/A</v>
      </c>
      <c r="AF55">
        <f>-'Drilling Spec'!$C$29</f>
        <v>-720</v>
      </c>
      <c r="AG55">
        <f>-'Drilling Spec'!$C$27</f>
        <v>-624</v>
      </c>
      <c r="AH55">
        <f>-'Drilling Spec'!$C$28</f>
        <v>-688</v>
      </c>
      <c r="AI55" t="e">
        <f t="shared" si="10"/>
        <v>#N/A</v>
      </c>
      <c r="AJ55" t="e">
        <f>IF(T55=0,NA(),-'Drilling Spec'!$C$26/2)</f>
        <v>#N/A</v>
      </c>
      <c r="AK55" t="e">
        <f>IF(U55=0,NA(),-'Drilling Spec'!$C$26/2)</f>
        <v>#N/A</v>
      </c>
      <c r="AL55" t="e">
        <f>IF(Z55=0,NA(),-'Drilling Spec'!$C$26*3/2)</f>
        <v>#N/A</v>
      </c>
      <c r="AM55" t="e">
        <f>IF(AA55=0,NA(),-'Drilling Spec'!$C$26*3/2)</f>
        <v>#N/A</v>
      </c>
    </row>
    <row r="56" spans="2:42" x14ac:dyDescent="0.35">
      <c r="B56" s="2">
        <f t="shared" si="12"/>
        <v>46024</v>
      </c>
      <c r="C56" t="str">
        <f t="shared" si="0"/>
        <v>Fri</v>
      </c>
      <c r="D56" s="10" t="s">
        <v>9</v>
      </c>
      <c r="E56" s="10">
        <v>16</v>
      </c>
      <c r="F56" s="4">
        <f t="shared" si="1"/>
        <v>16</v>
      </c>
      <c r="G56" s="4">
        <f t="shared" si="14"/>
        <v>536</v>
      </c>
      <c r="H56" s="4">
        <f t="shared" si="3"/>
        <v>960</v>
      </c>
      <c r="I56" s="15">
        <f>(SQRT(4*J55*J55*V*V + 'Drilling Spec'!$C$42*J55 + W*('Drilling Spec'!$C$43 + 2*l*V*(s*W + 2*V*H56/(1+e)) + 'Drilling Spec'!$C$44)) - 'Drilling Spec'!$C$45)/(2*V)</f>
        <v>545.42673451472353</v>
      </c>
      <c r="J56" s="16">
        <f>IF(AND(OR(J55=0,J55=""),G56=0),IF(G57=0,"",'Drilling Spec'!$C$26),I56)</f>
        <v>545.42673451472353</v>
      </c>
      <c r="K56" s="16">
        <f>MAX(0,J56-'Drilling Spec'!$C$30)</f>
        <v>465.42673451472353</v>
      </c>
      <c r="L56" s="18">
        <f>IFERROR(K56/'Drilling Spec'!$C$31,0)</f>
        <v>31.028448967648234</v>
      </c>
      <c r="M56" s="21">
        <f t="shared" si="15"/>
        <v>0</v>
      </c>
      <c r="N56" s="4">
        <f t="shared" si="11"/>
        <v>0</v>
      </c>
      <c r="O56" s="21">
        <f t="shared" si="5"/>
        <v>0</v>
      </c>
      <c r="P56" s="18">
        <f>(SQRT(4*P55*P55*vB*vB + 'Drilling Spec'!$C$48*P55 + WB*('Drilling Spec'!$C$49 + 2*lB*vB*(sB*WB + 2*vB*O56/(1+eB)) + 'Drilling Spec'!$C$50)) - 'Drilling Spec'!$C$51)/(2*vB)</f>
        <v>0</v>
      </c>
      <c r="Q56" s="18" t="str">
        <f>IF(AND(OR(R55=0,R55=""),N56=0),IF(N57=0,"",'Drilling Spec'!$C$30),P56)</f>
        <v/>
      </c>
      <c r="S56">
        <f t="shared" si="13"/>
        <v>34</v>
      </c>
      <c r="T56" s="10"/>
      <c r="U56">
        <f>IF('Baseline 2 - Good, 16hr'!L57&gt;'Baseline 2 - Good, 16hr'!S56,'Drilling Spec'!$C$36,)</f>
        <v>0</v>
      </c>
      <c r="W56" s="17">
        <f>(J56-'Drilling Spec'!$C$26)/'Drilling Spec'!$C$38</f>
        <v>79.237789085787256</v>
      </c>
      <c r="X56" s="17">
        <f t="shared" si="16"/>
        <v>1.8513416178453213</v>
      </c>
      <c r="Y56" s="17">
        <f t="shared" si="17"/>
        <v>19.237789085787256</v>
      </c>
      <c r="Z56" s="10"/>
      <c r="AA56">
        <f>IF(Y56&lt;'Drilling Spec'!$C$39,,'Drilling Spec'!$C$39)</f>
        <v>0</v>
      </c>
      <c r="AD56" s="16">
        <f t="shared" si="18"/>
        <v>-545.42673451472353</v>
      </c>
      <c r="AE56" s="16" t="e">
        <f t="shared" si="9"/>
        <v>#N/A</v>
      </c>
      <c r="AF56">
        <f>-'Drilling Spec'!$C$29</f>
        <v>-720</v>
      </c>
      <c r="AG56">
        <f>-'Drilling Spec'!$C$27</f>
        <v>-624</v>
      </c>
      <c r="AH56">
        <f>-'Drilling Spec'!$C$28</f>
        <v>-688</v>
      </c>
      <c r="AI56" t="e">
        <f t="shared" si="10"/>
        <v>#N/A</v>
      </c>
      <c r="AJ56" t="e">
        <f>IF(T56=0,NA(),-'Drilling Spec'!$C$26/2)</f>
        <v>#N/A</v>
      </c>
      <c r="AK56" t="e">
        <f>IF(U56=0,NA(),-'Drilling Spec'!$C$26/2)</f>
        <v>#N/A</v>
      </c>
      <c r="AL56" t="e">
        <f>IF(Z56=0,NA(),-'Drilling Spec'!$C$26*3/2)</f>
        <v>#N/A</v>
      </c>
      <c r="AM56" t="e">
        <f>IF(AA56=0,NA(),-'Drilling Spec'!$C$26*3/2)</f>
        <v>#N/A</v>
      </c>
    </row>
    <row r="57" spans="2:42" x14ac:dyDescent="0.35">
      <c r="B57" s="2">
        <f t="shared" si="12"/>
        <v>46025</v>
      </c>
      <c r="C57" t="str">
        <f t="shared" si="0"/>
        <v>Sat</v>
      </c>
      <c r="D57" s="10" t="s">
        <v>7</v>
      </c>
      <c r="E57" s="10">
        <v>0</v>
      </c>
      <c r="F57" s="4">
        <f t="shared" si="1"/>
        <v>0</v>
      </c>
      <c r="G57" s="4">
        <f t="shared" si="14"/>
        <v>536</v>
      </c>
      <c r="H57" s="4">
        <f t="shared" si="3"/>
        <v>0</v>
      </c>
      <c r="I57" s="15">
        <f>(SQRT(4*J56*J56*V*V + 'Drilling Spec'!$C$42*J56 + W*('Drilling Spec'!$C$43 + 2*l*V*(s*W + 2*V*H57/(1+e)) + 'Drilling Spec'!$C$44)) - 'Drilling Spec'!$C$45)/(2*V)</f>
        <v>545.42673451472353</v>
      </c>
      <c r="J57" s="16">
        <f>IF(AND(OR(J56=0,J56=""),G57=0),IF(G58=0,"",'Drilling Spec'!$C$26),I57)</f>
        <v>545.42673451472353</v>
      </c>
      <c r="K57" s="16">
        <f>MAX(0,J57-'Drilling Spec'!$C$30)</f>
        <v>465.42673451472353</v>
      </c>
      <c r="L57" s="18">
        <f>IFERROR(K57/'Drilling Spec'!$C$31,0)</f>
        <v>31.028448967648234</v>
      </c>
      <c r="M57" s="21">
        <f t="shared" si="15"/>
        <v>0</v>
      </c>
      <c r="N57" s="4">
        <f t="shared" si="11"/>
        <v>0</v>
      </c>
      <c r="O57" s="21">
        <f t="shared" si="5"/>
        <v>0</v>
      </c>
      <c r="P57" s="18">
        <f>(SQRT(4*P56*P56*vB*vB + 'Drilling Spec'!$C$48*P56 + WB*('Drilling Spec'!$C$49 + 2*lB*vB*(sB*WB + 2*vB*O57/(1+eB)) + 'Drilling Spec'!$C$50)) - 'Drilling Spec'!$C$51)/(2*vB)</f>
        <v>0</v>
      </c>
      <c r="Q57" s="18" t="str">
        <f>IF(AND(OR(R56=0,R56=""),N57=0),IF(N58=0,"",'Drilling Spec'!$C$30),P57)</f>
        <v/>
      </c>
      <c r="S57">
        <f t="shared" si="13"/>
        <v>34</v>
      </c>
      <c r="T57" s="10"/>
      <c r="U57">
        <f>IF('Baseline 2 - Good, 16hr'!L58&gt;'Baseline 2 - Good, 16hr'!S57,'Drilling Spec'!$C$36,)</f>
        <v>0</v>
      </c>
      <c r="W57" s="17">
        <f>(J57-'Drilling Spec'!$C$26)/'Drilling Spec'!$C$38</f>
        <v>79.237789085787256</v>
      </c>
      <c r="X57" s="17">
        <f t="shared" si="16"/>
        <v>0</v>
      </c>
      <c r="Y57" s="17">
        <f t="shared" si="17"/>
        <v>19.237789085787256</v>
      </c>
      <c r="Z57" s="10"/>
      <c r="AA57">
        <f>IF(Y57&lt;'Drilling Spec'!$C$39,,'Drilling Spec'!$C$39)</f>
        <v>0</v>
      </c>
      <c r="AD57" s="16">
        <f t="shared" si="18"/>
        <v>-545.42673451472353</v>
      </c>
      <c r="AE57" s="16" t="e">
        <f t="shared" si="9"/>
        <v>#N/A</v>
      </c>
      <c r="AF57">
        <f>-'Drilling Spec'!$C$29</f>
        <v>-720</v>
      </c>
      <c r="AG57">
        <f>-'Drilling Spec'!$C$27</f>
        <v>-624</v>
      </c>
      <c r="AH57">
        <f>-'Drilling Spec'!$C$28</f>
        <v>-688</v>
      </c>
      <c r="AI57" t="e">
        <f t="shared" si="10"/>
        <v>#N/A</v>
      </c>
      <c r="AJ57" t="e">
        <f>IF(T57=0,NA(),-'Drilling Spec'!$C$26/2)</f>
        <v>#N/A</v>
      </c>
      <c r="AK57" t="e">
        <f>IF(U57=0,NA(),-'Drilling Spec'!$C$26/2)</f>
        <v>#N/A</v>
      </c>
      <c r="AL57" t="e">
        <f>IF(Z57=0,NA(),-'Drilling Spec'!$C$26*3/2)</f>
        <v>#N/A</v>
      </c>
      <c r="AM57" t="e">
        <f>IF(AA57=0,NA(),-'Drilling Spec'!$C$26*3/2)</f>
        <v>#N/A</v>
      </c>
    </row>
    <row r="58" spans="2:42" x14ac:dyDescent="0.35">
      <c r="B58" s="2">
        <f t="shared" si="12"/>
        <v>46026</v>
      </c>
      <c r="C58" t="str">
        <f t="shared" si="0"/>
        <v>Sun</v>
      </c>
      <c r="D58" s="10" t="s">
        <v>9</v>
      </c>
      <c r="E58" s="10">
        <v>16</v>
      </c>
      <c r="F58" s="4">
        <f t="shared" si="1"/>
        <v>16</v>
      </c>
      <c r="G58" s="4">
        <f t="shared" si="14"/>
        <v>552</v>
      </c>
      <c r="H58" s="4">
        <f t="shared" si="3"/>
        <v>960</v>
      </c>
      <c r="I58" s="15">
        <f>(SQRT(4*J57*J57*V*V + 'Drilling Spec'!$C$42*J57 + W*('Drilling Spec'!$C$43 + 2*l*V*(s*W + 2*V*H58/(1+e)) + 'Drilling Spec'!$C$44)) - 'Drilling Spec'!$C$45)/(2*V)</f>
        <v>556.42106390803451</v>
      </c>
      <c r="J58" s="16">
        <f>IF(AND(OR(J57=0,J57=""),G58=0),IF(G59=0,"",'Drilling Spec'!$C$26),I58)</f>
        <v>556.42106390803451</v>
      </c>
      <c r="K58" s="16">
        <f>MAX(0,J58-'Drilling Spec'!$C$30)</f>
        <v>476.42106390803451</v>
      </c>
      <c r="L58" s="18">
        <f>IFERROR(K58/'Drilling Spec'!$C$31,0)</f>
        <v>31.761404260535635</v>
      </c>
      <c r="M58" s="21">
        <f t="shared" si="15"/>
        <v>0</v>
      </c>
      <c r="N58" s="4">
        <f t="shared" si="11"/>
        <v>0</v>
      </c>
      <c r="O58" s="21">
        <f t="shared" si="5"/>
        <v>0</v>
      </c>
      <c r="P58" s="18">
        <f>(SQRT(4*P57*P57*vB*vB + 'Drilling Spec'!$C$48*P57 + WB*('Drilling Spec'!$C$49 + 2*lB*vB*(sB*WB + 2*vB*O58/(1+eB)) + 'Drilling Spec'!$C$50)) - 'Drilling Spec'!$C$51)/(2*vB)</f>
        <v>0</v>
      </c>
      <c r="Q58" s="18" t="str">
        <f>IF(AND(OR(R57=0,R57=""),N58=0),IF(N59=0,"",'Drilling Spec'!$C$30),P58)</f>
        <v/>
      </c>
      <c r="S58">
        <f t="shared" si="13"/>
        <v>34</v>
      </c>
      <c r="T58" s="10"/>
      <c r="U58">
        <f>IF('Baseline 2 - Good, 16hr'!L59&gt;'Baseline 2 - Good, 16hr'!S58,'Drilling Spec'!$C$36,)</f>
        <v>0</v>
      </c>
      <c r="W58" s="17">
        <f>(J58-'Drilling Spec'!$C$26)/'Drilling Spec'!$C$38</f>
        <v>81.070177318005747</v>
      </c>
      <c r="X58" s="17">
        <f t="shared" si="16"/>
        <v>1.8323882322184915</v>
      </c>
      <c r="Y58" s="17">
        <f t="shared" si="17"/>
        <v>21.070177318005747</v>
      </c>
      <c r="Z58" s="10"/>
      <c r="AA58">
        <f>IF(Y58&lt;'Drilling Spec'!$C$39,,'Drilling Spec'!$C$39)</f>
        <v>20</v>
      </c>
      <c r="AD58" s="16">
        <f t="shared" si="18"/>
        <v>-556.42106390803451</v>
      </c>
      <c r="AE58" s="16" t="e">
        <f t="shared" si="9"/>
        <v>#N/A</v>
      </c>
      <c r="AF58">
        <f>-'Drilling Spec'!$C$29</f>
        <v>-720</v>
      </c>
      <c r="AG58">
        <f>-'Drilling Spec'!$C$27</f>
        <v>-624</v>
      </c>
      <c r="AH58">
        <f>-'Drilling Spec'!$C$28</f>
        <v>-688</v>
      </c>
      <c r="AI58" t="e">
        <f t="shared" si="10"/>
        <v>#N/A</v>
      </c>
      <c r="AJ58" t="e">
        <f>IF(T58=0,NA(),-'Drilling Spec'!$C$26/2)</f>
        <v>#N/A</v>
      </c>
      <c r="AK58" t="e">
        <f>IF(U58=0,NA(),-'Drilling Spec'!$C$26/2)</f>
        <v>#N/A</v>
      </c>
      <c r="AL58" t="e">
        <f>IF(Z58=0,NA(),-'Drilling Spec'!$C$26*3/2)</f>
        <v>#N/A</v>
      </c>
      <c r="AM58">
        <f>IF(AA58=0,NA(),-'Drilling Spec'!$C$26*3/2)</f>
        <v>-105</v>
      </c>
    </row>
    <row r="59" spans="2:42" x14ac:dyDescent="0.35">
      <c r="B59" s="2">
        <f t="shared" si="12"/>
        <v>46027</v>
      </c>
      <c r="C59" t="str">
        <f t="shared" si="0"/>
        <v>Mon</v>
      </c>
      <c r="D59" s="10" t="s">
        <v>9</v>
      </c>
      <c r="E59" s="10">
        <v>16</v>
      </c>
      <c r="F59" s="4">
        <f t="shared" si="1"/>
        <v>16</v>
      </c>
      <c r="G59" s="4">
        <f t="shared" si="14"/>
        <v>568</v>
      </c>
      <c r="H59" s="4">
        <f t="shared" si="3"/>
        <v>960</v>
      </c>
      <c r="I59" s="15">
        <f>(SQRT(4*J58*J58*V*V + 'Drilling Spec'!$C$42*J58 + W*('Drilling Spec'!$C$43 + 2*l*V*(s*W + 2*V*H59/(1+e)) + 'Drilling Spec'!$C$44)) - 'Drilling Spec'!$C$45)/(2*V)</f>
        <v>567.30509576689167</v>
      </c>
      <c r="J59" s="16">
        <f>IF(AND(OR(J58=0,J58=""),G59=0),IF(G60=0,"",'Drilling Spec'!$C$26),I59)</f>
        <v>567.30509576689167</v>
      </c>
      <c r="K59" s="16">
        <f>MAX(0,J59-'Drilling Spec'!$C$30)</f>
        <v>487.30509576689167</v>
      </c>
      <c r="L59" s="18">
        <f>IFERROR(K59/'Drilling Spec'!$C$31,0)</f>
        <v>32.487006384459441</v>
      </c>
      <c r="M59" s="21">
        <f t="shared" si="15"/>
        <v>0</v>
      </c>
      <c r="N59" s="4">
        <f t="shared" si="11"/>
        <v>0</v>
      </c>
      <c r="O59" s="21">
        <f t="shared" si="5"/>
        <v>0</v>
      </c>
      <c r="P59" s="18">
        <f>(SQRT(4*P58*P58*vB*vB + 'Drilling Spec'!$C$48*P58 + WB*('Drilling Spec'!$C$49 + 2*lB*vB*(sB*WB + 2*vB*O59/(1+eB)) + 'Drilling Spec'!$C$50)) - 'Drilling Spec'!$C$51)/(2*vB)</f>
        <v>0</v>
      </c>
      <c r="Q59" s="18" t="str">
        <f>IF(AND(OR(R58=0,R58=""),N59=0),IF(N60=0,"",'Drilling Spec'!$C$30),P59)</f>
        <v/>
      </c>
      <c r="S59">
        <f t="shared" si="13"/>
        <v>34</v>
      </c>
      <c r="T59" s="10"/>
      <c r="U59">
        <f>IF('Baseline 2 - Good, 16hr'!L60&gt;'Baseline 2 - Good, 16hr'!S59,'Drilling Spec'!$C$36,)</f>
        <v>0</v>
      </c>
      <c r="W59" s="17">
        <f>(J59-'Drilling Spec'!$C$26)/'Drilling Spec'!$C$38</f>
        <v>82.884182627815278</v>
      </c>
      <c r="X59" s="17">
        <f t="shared" si="16"/>
        <v>1.8140053098095308</v>
      </c>
      <c r="Y59" s="17">
        <f t="shared" si="17"/>
        <v>2.884182627815278</v>
      </c>
      <c r="Z59" s="10"/>
      <c r="AA59">
        <f>IF(Y59&lt;'Drilling Spec'!$C$39,,'Drilling Spec'!$C$39)</f>
        <v>0</v>
      </c>
      <c r="AD59" s="16">
        <f t="shared" si="18"/>
        <v>-567.30509576689167</v>
      </c>
      <c r="AE59" s="16" t="e">
        <f t="shared" si="9"/>
        <v>#N/A</v>
      </c>
      <c r="AF59">
        <f>-'Drilling Spec'!$C$29</f>
        <v>-720</v>
      </c>
      <c r="AG59">
        <f>-'Drilling Spec'!$C$27</f>
        <v>-624</v>
      </c>
      <c r="AH59">
        <f>-'Drilling Spec'!$C$28</f>
        <v>-688</v>
      </c>
      <c r="AI59" t="e">
        <f t="shared" si="10"/>
        <v>#N/A</v>
      </c>
      <c r="AJ59" t="e">
        <f>IF(T59=0,NA(),-'Drilling Spec'!$C$26/2)</f>
        <v>#N/A</v>
      </c>
      <c r="AK59" t="e">
        <f>IF(U59=0,NA(),-'Drilling Spec'!$C$26/2)</f>
        <v>#N/A</v>
      </c>
      <c r="AL59" t="e">
        <f>IF(Z59=0,NA(),-'Drilling Spec'!$C$26*3/2)</f>
        <v>#N/A</v>
      </c>
      <c r="AM59" t="e">
        <f>IF(AA59=0,NA(),-'Drilling Spec'!$C$26*3/2)</f>
        <v>#N/A</v>
      </c>
    </row>
    <row r="60" spans="2:42" x14ac:dyDescent="0.35">
      <c r="B60" s="2">
        <f t="shared" si="12"/>
        <v>46028</v>
      </c>
      <c r="C60" t="str">
        <f t="shared" si="0"/>
        <v>Tue</v>
      </c>
      <c r="D60" s="10" t="s">
        <v>9</v>
      </c>
      <c r="E60" s="10">
        <v>16</v>
      </c>
      <c r="F60" s="4">
        <f t="shared" si="1"/>
        <v>16</v>
      </c>
      <c r="G60" s="4">
        <f t="shared" si="14"/>
        <v>584</v>
      </c>
      <c r="H60" s="4">
        <f t="shared" si="3"/>
        <v>960</v>
      </c>
      <c r="I60" s="15">
        <f>(SQRT(4*J59*J59*V*V + 'Drilling Spec'!$C$42*J59 + W*('Drilling Spec'!$C$43 + 2*l*V*(s*W + 2*V*H60/(1+e)) + 'Drilling Spec'!$C$44)) - 'Drilling Spec'!$C$45)/(2*V)</f>
        <v>578.08208454063117</v>
      </c>
      <c r="J60" s="16">
        <f>IF(AND(OR(J59=0,J59=""),G60=0),IF(G61=0,"",'Drilling Spec'!$C$26),I60)</f>
        <v>578.08208454063117</v>
      </c>
      <c r="K60" s="16">
        <f>MAX(0,J60-'Drilling Spec'!$C$30)</f>
        <v>498.08208454063117</v>
      </c>
      <c r="L60" s="18">
        <f>IFERROR(K60/'Drilling Spec'!$C$31,0)</f>
        <v>33.205472302708742</v>
      </c>
      <c r="M60" s="21">
        <f t="shared" si="15"/>
        <v>0</v>
      </c>
      <c r="N60" s="4">
        <f t="shared" si="11"/>
        <v>0</v>
      </c>
      <c r="O60" s="21">
        <f t="shared" si="5"/>
        <v>0</v>
      </c>
      <c r="P60" s="18">
        <f>(SQRT(4*P59*P59*vB*vB + 'Drilling Spec'!$C$48*P59 + WB*('Drilling Spec'!$C$49 + 2*lB*vB*(sB*WB + 2*vB*O60/(1+eB)) + 'Drilling Spec'!$C$50)) - 'Drilling Spec'!$C$51)/(2*vB)</f>
        <v>0</v>
      </c>
      <c r="Q60" s="18" t="str">
        <f>IF(AND(OR(R59=0,R59=""),N60=0),IF(N61=0,"",'Drilling Spec'!$C$30),P60)</f>
        <v/>
      </c>
      <c r="S60">
        <f t="shared" si="13"/>
        <v>34</v>
      </c>
      <c r="T60" s="10"/>
      <c r="U60">
        <f>IF('Baseline 2 - Good, 16hr'!L61&gt;'Baseline 2 - Good, 16hr'!S60,'Drilling Spec'!$C$36,)</f>
        <v>0</v>
      </c>
      <c r="W60" s="17">
        <f>(J60-'Drilling Spec'!$C$26)/'Drilling Spec'!$C$38</f>
        <v>84.680347423438533</v>
      </c>
      <c r="X60" s="17">
        <f t="shared" si="16"/>
        <v>1.7961647956232554</v>
      </c>
      <c r="Y60" s="17">
        <f t="shared" si="17"/>
        <v>4.6803474234385334</v>
      </c>
      <c r="Z60" s="10"/>
      <c r="AA60">
        <f>IF(Y60&lt;'Drilling Spec'!$C$39,,'Drilling Spec'!$C$39)</f>
        <v>0</v>
      </c>
      <c r="AD60" s="16">
        <f t="shared" si="18"/>
        <v>-578.08208454063117</v>
      </c>
      <c r="AE60" s="16" t="e">
        <f t="shared" si="9"/>
        <v>#N/A</v>
      </c>
      <c r="AF60">
        <f>-'Drilling Spec'!$C$29</f>
        <v>-720</v>
      </c>
      <c r="AG60">
        <f>-'Drilling Spec'!$C$27</f>
        <v>-624</v>
      </c>
      <c r="AH60">
        <f>-'Drilling Spec'!$C$28</f>
        <v>-688</v>
      </c>
      <c r="AI60" t="e">
        <f t="shared" si="10"/>
        <v>#N/A</v>
      </c>
      <c r="AJ60" t="e">
        <f>IF(T60=0,NA(),-'Drilling Spec'!$C$26/2)</f>
        <v>#N/A</v>
      </c>
      <c r="AK60" t="e">
        <f>IF(U60=0,NA(),-'Drilling Spec'!$C$26/2)</f>
        <v>#N/A</v>
      </c>
      <c r="AL60" t="e">
        <f>IF(Z60=0,NA(),-'Drilling Spec'!$C$26*3/2)</f>
        <v>#N/A</v>
      </c>
      <c r="AM60" t="e">
        <f>IF(AA60=0,NA(),-'Drilling Spec'!$C$26*3/2)</f>
        <v>#N/A</v>
      </c>
    </row>
    <row r="61" spans="2:42" x14ac:dyDescent="0.35">
      <c r="B61" s="2">
        <f t="shared" si="12"/>
        <v>46029</v>
      </c>
      <c r="C61" t="str">
        <f t="shared" si="0"/>
        <v>Wed</v>
      </c>
      <c r="D61" s="10" t="s">
        <v>7</v>
      </c>
      <c r="E61" s="10">
        <v>0</v>
      </c>
      <c r="F61" s="4">
        <f t="shared" si="1"/>
        <v>0</v>
      </c>
      <c r="G61" s="4">
        <f t="shared" si="14"/>
        <v>584</v>
      </c>
      <c r="H61" s="4">
        <f t="shared" si="3"/>
        <v>0</v>
      </c>
      <c r="I61" s="15">
        <f>(SQRT(4*J60*J60*V*V + 'Drilling Spec'!$C$42*J60 + W*('Drilling Spec'!$C$43 + 2*l*V*(s*W + 2*V*H61/(1+e)) + 'Drilling Spec'!$C$44)) - 'Drilling Spec'!$C$45)/(2*V)</f>
        <v>578.08208454063117</v>
      </c>
      <c r="J61" s="16">
        <f>IF(AND(OR(J60=0,J60=""),G61=0),IF(G62=0,"",'Drilling Spec'!$C$26),I61)</f>
        <v>578.08208454063117</v>
      </c>
      <c r="K61" s="16">
        <f>MAX(0,J61-'Drilling Spec'!$C$30)</f>
        <v>498.08208454063117</v>
      </c>
      <c r="L61" s="18">
        <f>IFERROR(K61/'Drilling Spec'!$C$31,0)</f>
        <v>33.205472302708742</v>
      </c>
      <c r="M61" s="21">
        <f t="shared" si="15"/>
        <v>0</v>
      </c>
      <c r="N61" s="4">
        <f t="shared" si="11"/>
        <v>0</v>
      </c>
      <c r="O61" s="21">
        <f t="shared" si="5"/>
        <v>0</v>
      </c>
      <c r="P61" s="18">
        <f>(SQRT(4*P60*P60*vB*vB + 'Drilling Spec'!$C$48*P60 + WB*('Drilling Spec'!$C$49 + 2*lB*vB*(sB*WB + 2*vB*O61/(1+eB)) + 'Drilling Spec'!$C$50)) - 'Drilling Spec'!$C$51)/(2*vB)</f>
        <v>0</v>
      </c>
      <c r="Q61" s="18" t="str">
        <f>IF(AND(OR(R60=0,R60=""),N61=0),IF(N62=0,"",'Drilling Spec'!$C$30),P61)</f>
        <v/>
      </c>
      <c r="S61">
        <f t="shared" si="13"/>
        <v>34</v>
      </c>
      <c r="T61" s="10"/>
      <c r="U61">
        <f>IF('Baseline 2 - Good, 16hr'!L62&gt;'Baseline 2 - Good, 16hr'!S61,'Drilling Spec'!$C$36,)</f>
        <v>0</v>
      </c>
      <c r="W61" s="17">
        <f>(J61-'Drilling Spec'!$C$26)/'Drilling Spec'!$C$38</f>
        <v>84.680347423438533</v>
      </c>
      <c r="X61" s="17">
        <f t="shared" si="16"/>
        <v>0</v>
      </c>
      <c r="Y61" s="17">
        <f t="shared" si="17"/>
        <v>4.6803474234385334</v>
      </c>
      <c r="Z61" s="10"/>
      <c r="AA61">
        <f>IF(Y61&lt;'Drilling Spec'!$C$39,,'Drilling Spec'!$C$39)</f>
        <v>0</v>
      </c>
      <c r="AD61" s="16">
        <f t="shared" si="18"/>
        <v>-578.08208454063117</v>
      </c>
      <c r="AE61" s="16" t="e">
        <f t="shared" si="9"/>
        <v>#N/A</v>
      </c>
      <c r="AF61">
        <f>-'Drilling Spec'!$C$29</f>
        <v>-720</v>
      </c>
      <c r="AG61">
        <f>-'Drilling Spec'!$C$27</f>
        <v>-624</v>
      </c>
      <c r="AH61">
        <f>-'Drilling Spec'!$C$28</f>
        <v>-688</v>
      </c>
      <c r="AI61" t="e">
        <f t="shared" si="10"/>
        <v>#N/A</v>
      </c>
      <c r="AJ61" t="e">
        <f>IF(T61=0,NA(),-'Drilling Spec'!$C$26/2)</f>
        <v>#N/A</v>
      </c>
      <c r="AK61" t="e">
        <f>IF(U61=0,NA(),-'Drilling Spec'!$C$26/2)</f>
        <v>#N/A</v>
      </c>
      <c r="AL61" t="e">
        <f>IF(Z61=0,NA(),-'Drilling Spec'!$C$26*3/2)</f>
        <v>#N/A</v>
      </c>
      <c r="AM61" t="e">
        <f>IF(AA61=0,NA(),-'Drilling Spec'!$C$26*3/2)</f>
        <v>#N/A</v>
      </c>
    </row>
    <row r="62" spans="2:42" x14ac:dyDescent="0.35">
      <c r="B62" s="2">
        <f t="shared" si="12"/>
        <v>46030</v>
      </c>
      <c r="C62" t="str">
        <f t="shared" si="0"/>
        <v>Thu</v>
      </c>
      <c r="D62" s="10" t="s">
        <v>9</v>
      </c>
      <c r="E62" s="10">
        <v>16</v>
      </c>
      <c r="F62" s="4">
        <f t="shared" si="1"/>
        <v>16</v>
      </c>
      <c r="G62" s="4">
        <f t="shared" si="14"/>
        <v>600</v>
      </c>
      <c r="H62" s="4">
        <f t="shared" si="3"/>
        <v>960</v>
      </c>
      <c r="I62" s="15">
        <f>(SQRT(4*J61*J61*V*V + 'Drilling Spec'!$C$42*J61 + W*('Drilling Spec'!$C$43 + 2*l*V*(s*W + 2*V*H62/(1+e)) + 'Drilling Spec'!$C$44)) - 'Drilling Spec'!$C$45)/(2*V)</f>
        <v>588.75512771525189</v>
      </c>
      <c r="J62" s="16">
        <f>IF(AND(OR(J61=0,J61=""),G62=0),IF(G63=0,"",'Drilling Spec'!$C$26),I62)</f>
        <v>588.75512771525189</v>
      </c>
      <c r="K62" s="16">
        <f>MAX(0,J62-'Drilling Spec'!$C$30)</f>
        <v>508.75512771525189</v>
      </c>
      <c r="L62" s="18">
        <f>IFERROR(K62/'Drilling Spec'!$C$31,0)</f>
        <v>33.917008514350123</v>
      </c>
      <c r="M62" s="21">
        <f t="shared" si="15"/>
        <v>0</v>
      </c>
      <c r="N62" s="4">
        <f t="shared" si="11"/>
        <v>0</v>
      </c>
      <c r="O62" s="21">
        <f t="shared" si="5"/>
        <v>0</v>
      </c>
      <c r="P62" s="18">
        <f>(SQRT(4*P61*P61*vB*vB + 'Drilling Spec'!$C$48*P61 + WB*('Drilling Spec'!$C$49 + 2*lB*vB*(sB*WB + 2*vB*O62/(1+eB)) + 'Drilling Spec'!$C$50)) - 'Drilling Spec'!$C$51)/(2*vB)</f>
        <v>0</v>
      </c>
      <c r="Q62" s="18" t="str">
        <f>IF(AND(OR(R61=0,R61=""),N62=0),IF(N63=0,"",'Drilling Spec'!$C$30),P62)</f>
        <v/>
      </c>
      <c r="S62">
        <f t="shared" si="13"/>
        <v>34</v>
      </c>
      <c r="T62" s="10"/>
      <c r="U62">
        <f>IF('Baseline 2 - Good, 16hr'!L63&gt;'Baseline 2 - Good, 16hr'!S62,'Drilling Spec'!$C$36,)</f>
        <v>6</v>
      </c>
      <c r="W62" s="17">
        <f>(J62-'Drilling Spec'!$C$26)/'Drilling Spec'!$C$38</f>
        <v>86.459187952541981</v>
      </c>
      <c r="X62" s="17">
        <f t="shared" si="16"/>
        <v>1.7788405291034479</v>
      </c>
      <c r="Y62" s="17">
        <f t="shared" si="17"/>
        <v>6.4591879525419813</v>
      </c>
      <c r="Z62" s="10"/>
      <c r="AA62">
        <f>IF(Y62&lt;'Drilling Spec'!$C$39,,'Drilling Spec'!$C$39)</f>
        <v>0</v>
      </c>
      <c r="AD62" s="16">
        <f t="shared" si="18"/>
        <v>-588.75512771525189</v>
      </c>
      <c r="AE62" s="16" t="e">
        <f t="shared" si="9"/>
        <v>#N/A</v>
      </c>
      <c r="AF62">
        <f>-'Drilling Spec'!$C$29</f>
        <v>-720</v>
      </c>
      <c r="AG62">
        <f>-'Drilling Spec'!$C$27</f>
        <v>-624</v>
      </c>
      <c r="AH62">
        <f>-'Drilling Spec'!$C$28</f>
        <v>-688</v>
      </c>
      <c r="AI62" t="e">
        <f t="shared" si="10"/>
        <v>#N/A</v>
      </c>
      <c r="AJ62" t="e">
        <f>IF(T62=0,NA(),-'Drilling Spec'!$C$26/2)</f>
        <v>#N/A</v>
      </c>
      <c r="AK62">
        <f>IF(U62=0,NA(),-'Drilling Spec'!$C$26/2)</f>
        <v>-35</v>
      </c>
      <c r="AL62" t="e">
        <f>IF(Z62=0,NA(),-'Drilling Spec'!$C$26*3/2)</f>
        <v>#N/A</v>
      </c>
      <c r="AM62" t="e">
        <f>IF(AA62=0,NA(),-'Drilling Spec'!$C$26*3/2)</f>
        <v>#N/A</v>
      </c>
    </row>
    <row r="63" spans="2:42" x14ac:dyDescent="0.35">
      <c r="B63" s="2">
        <f t="shared" si="12"/>
        <v>46031</v>
      </c>
      <c r="C63" t="str">
        <f t="shared" si="0"/>
        <v>Fri</v>
      </c>
      <c r="D63" s="10" t="s">
        <v>9</v>
      </c>
      <c r="E63" s="10">
        <v>16</v>
      </c>
      <c r="F63" s="4">
        <f t="shared" si="1"/>
        <v>16</v>
      </c>
      <c r="G63" s="4">
        <f t="shared" si="14"/>
        <v>616</v>
      </c>
      <c r="H63" s="4">
        <f t="shared" si="3"/>
        <v>960</v>
      </c>
      <c r="I63" s="15">
        <f>(SQRT(4*J62*J62*V*V + 'Drilling Spec'!$C$42*J62 + W*('Drilling Spec'!$C$43 + 2*l*V*(s*W + 2*V*H63/(1+e)) + 'Drilling Spec'!$C$44)) - 'Drilling Spec'!$C$45)/(2*V)</f>
        <v>599.32717621184429</v>
      </c>
      <c r="J63" s="16">
        <f>IF(AND(OR(J62=0,J62=""),G63=0),IF(G64=0,"",'Drilling Spec'!$C$26),I63)</f>
        <v>599.32717621184429</v>
      </c>
      <c r="K63" s="16">
        <f>MAX(0,J63-'Drilling Spec'!$C$30)</f>
        <v>519.32717621184429</v>
      </c>
      <c r="L63" s="18">
        <f>IFERROR(K63/'Drilling Spec'!$C$31,0)</f>
        <v>34.621811747456285</v>
      </c>
      <c r="M63" s="21">
        <f t="shared" si="15"/>
        <v>0</v>
      </c>
      <c r="N63" s="4">
        <f t="shared" si="11"/>
        <v>0</v>
      </c>
      <c r="O63" s="21">
        <f t="shared" si="5"/>
        <v>0</v>
      </c>
      <c r="P63" s="18">
        <f>(SQRT(4*P62*P62*vB*vB + 'Drilling Spec'!$C$48*P62 + WB*('Drilling Spec'!$C$49 + 2*lB*vB*(sB*WB + 2*vB*O63/(1+eB)) + 'Drilling Spec'!$C$50)) - 'Drilling Spec'!$C$51)/(2*vB)</f>
        <v>0</v>
      </c>
      <c r="Q63" s="18" t="str">
        <f>IF(AND(OR(R62=0,R62=""),N63=0),IF(N64=0,"",'Drilling Spec'!$C$30),P63)</f>
        <v/>
      </c>
      <c r="S63">
        <f t="shared" si="13"/>
        <v>40</v>
      </c>
      <c r="T63" s="10"/>
      <c r="U63">
        <f>IF('Baseline 2 - Good, 16hr'!L64&gt;'Baseline 2 - Good, 16hr'!S63,'Drilling Spec'!$C$36,)</f>
        <v>0</v>
      </c>
      <c r="W63" s="17">
        <f>(J63-'Drilling Spec'!$C$26)/'Drilling Spec'!$C$38</f>
        <v>88.221196035307386</v>
      </c>
      <c r="X63" s="17">
        <f t="shared" si="16"/>
        <v>1.762008082765405</v>
      </c>
      <c r="Y63" s="17">
        <f t="shared" si="17"/>
        <v>8.2211960353073863</v>
      </c>
      <c r="Z63" s="10"/>
      <c r="AA63">
        <f>IF(Y63&lt;'Drilling Spec'!$C$39,,'Drilling Spec'!$C$39)</f>
        <v>0</v>
      </c>
      <c r="AD63" s="16">
        <f t="shared" si="18"/>
        <v>-599.32717621184429</v>
      </c>
      <c r="AE63" s="16" t="e">
        <f t="shared" si="9"/>
        <v>#N/A</v>
      </c>
      <c r="AF63">
        <f>-'Drilling Spec'!$C$29</f>
        <v>-720</v>
      </c>
      <c r="AG63">
        <f>-'Drilling Spec'!$C$27</f>
        <v>-624</v>
      </c>
      <c r="AH63">
        <f>-'Drilling Spec'!$C$28</f>
        <v>-688</v>
      </c>
      <c r="AI63" t="e">
        <f t="shared" si="10"/>
        <v>#N/A</v>
      </c>
      <c r="AJ63" t="e">
        <f>IF(T63=0,NA(),-'Drilling Spec'!$C$26/2)</f>
        <v>#N/A</v>
      </c>
      <c r="AK63" t="e">
        <f>IF(U63=0,NA(),-'Drilling Spec'!$C$26/2)</f>
        <v>#N/A</v>
      </c>
      <c r="AL63" t="e">
        <f>IF(Z63=0,NA(),-'Drilling Spec'!$C$26*3/2)</f>
        <v>#N/A</v>
      </c>
      <c r="AM63" t="e">
        <f>IF(AA63=0,NA(),-'Drilling Spec'!$C$26*3/2)</f>
        <v>#N/A</v>
      </c>
    </row>
    <row r="64" spans="2:42" x14ac:dyDescent="0.35">
      <c r="B64" s="2">
        <f t="shared" si="12"/>
        <v>46032</v>
      </c>
      <c r="C64" t="str">
        <f t="shared" si="0"/>
        <v>Sat</v>
      </c>
      <c r="D64" s="10" t="s">
        <v>9</v>
      </c>
      <c r="E64" s="10">
        <v>16</v>
      </c>
      <c r="F64" s="4">
        <f t="shared" si="1"/>
        <v>16</v>
      </c>
      <c r="G64" s="4">
        <f t="shared" si="14"/>
        <v>632</v>
      </c>
      <c r="H64" s="4">
        <f t="shared" si="3"/>
        <v>960</v>
      </c>
      <c r="I64" s="15">
        <f>(SQRT(4*J63*J63*V*V + 'Drilling Spec'!$C$42*J63 + W*('Drilling Spec'!$C$43 + 2*l*V*(s*W + 2*V*H64/(1+e)) + 'Drilling Spec'!$C$44)) - 'Drilling Spec'!$C$45)/(2*V)</f>
        <v>609.80104391574457</v>
      </c>
      <c r="J64" s="16">
        <f>IF(AND(OR(J63=0,J63=""),G64=0),IF(G65=0,"",'Drilling Spec'!$C$26),I64)</f>
        <v>609.80104391574457</v>
      </c>
      <c r="K64" s="16">
        <f>MAX(0,J64-'Drilling Spec'!$C$30)</f>
        <v>529.80104391574457</v>
      </c>
      <c r="L64" s="18">
        <f>IFERROR(K64/'Drilling Spec'!$C$31,0)</f>
        <v>35.320069594382971</v>
      </c>
      <c r="M64" s="21">
        <f t="shared" si="15"/>
        <v>0</v>
      </c>
      <c r="N64" s="4">
        <f t="shared" si="11"/>
        <v>0</v>
      </c>
      <c r="O64" s="21">
        <f t="shared" si="5"/>
        <v>0</v>
      </c>
      <c r="P64" s="18">
        <f>(SQRT(4*P63*P63*vB*vB + 'Drilling Spec'!$C$48*P63 + WB*('Drilling Spec'!$C$49 + 2*lB*vB*(sB*WB + 2*vB*O64/(1+eB)) + 'Drilling Spec'!$C$50)) - 'Drilling Spec'!$C$51)/(2*vB)</f>
        <v>0</v>
      </c>
      <c r="Q64" s="18" t="str">
        <f>IF(AND(OR(R63=0,R63=""),N64=0),IF(N65=0,"",'Drilling Spec'!$C$30),P64)</f>
        <v/>
      </c>
      <c r="S64">
        <f t="shared" si="13"/>
        <v>40</v>
      </c>
      <c r="T64" s="10"/>
      <c r="U64">
        <f>IF('Baseline 2 - Good, 16hr'!L65&gt;'Baseline 2 - Good, 16hr'!S64,'Drilling Spec'!$C$36,)</f>
        <v>0</v>
      </c>
      <c r="W64" s="17">
        <f>(J64-'Drilling Spec'!$C$26)/'Drilling Spec'!$C$38</f>
        <v>89.9668406526241</v>
      </c>
      <c r="X64" s="17">
        <f t="shared" si="16"/>
        <v>1.7456446173167137</v>
      </c>
      <c r="Y64" s="17">
        <f t="shared" si="17"/>
        <v>9.9668406526241</v>
      </c>
      <c r="Z64" s="10"/>
      <c r="AA64">
        <f>IF(Y64&lt;'Drilling Spec'!$C$39,,'Drilling Spec'!$C$39)</f>
        <v>0</v>
      </c>
      <c r="AD64" s="16">
        <f t="shared" si="18"/>
        <v>-609.80104391574457</v>
      </c>
      <c r="AE64" s="16" t="e">
        <f t="shared" si="9"/>
        <v>#N/A</v>
      </c>
      <c r="AF64">
        <f>-'Drilling Spec'!$C$29</f>
        <v>-720</v>
      </c>
      <c r="AG64">
        <f>-'Drilling Spec'!$C$27</f>
        <v>-624</v>
      </c>
      <c r="AH64">
        <f>-'Drilling Spec'!$C$28</f>
        <v>-688</v>
      </c>
      <c r="AI64" t="e">
        <f t="shared" si="10"/>
        <v>#N/A</v>
      </c>
      <c r="AJ64" t="e">
        <f>IF(T64=0,NA(),-'Drilling Spec'!$C$26/2)</f>
        <v>#N/A</v>
      </c>
      <c r="AK64" t="e">
        <f>IF(U64=0,NA(),-'Drilling Spec'!$C$26/2)</f>
        <v>#N/A</v>
      </c>
      <c r="AL64" t="e">
        <f>IF(Z64=0,NA(),-'Drilling Spec'!$C$26*3/2)</f>
        <v>#N/A</v>
      </c>
      <c r="AM64" t="e">
        <f>IF(AA64=0,NA(),-'Drilling Spec'!$C$26*3/2)</f>
        <v>#N/A</v>
      </c>
    </row>
    <row r="65" spans="2:39" x14ac:dyDescent="0.35">
      <c r="B65" s="2">
        <f t="shared" si="12"/>
        <v>46033</v>
      </c>
      <c r="C65" t="str">
        <f t="shared" si="0"/>
        <v>Sun</v>
      </c>
      <c r="D65" s="10" t="s">
        <v>9</v>
      </c>
      <c r="E65" s="10">
        <v>16</v>
      </c>
      <c r="F65" s="4">
        <f t="shared" si="1"/>
        <v>16</v>
      </c>
      <c r="G65" s="4">
        <f t="shared" si="14"/>
        <v>648</v>
      </c>
      <c r="H65" s="4">
        <f t="shared" si="3"/>
        <v>960</v>
      </c>
      <c r="I65" s="15">
        <f>(SQRT(4*J64*J64*V*V + 'Drilling Spec'!$C$42*J64 + W*('Drilling Spec'!$C$43 + 2*l*V*(s*W + 2*V*H65/(1+e)) + 'Drilling Spec'!$C$44)) - 'Drilling Spec'!$C$45)/(2*V)</f>
        <v>620.17941642361563</v>
      </c>
      <c r="J65" s="16">
        <f>IF(AND(OR(J64=0,J64=""),G65=0),IF(G66=0,"",'Drilling Spec'!$C$26),I65)</f>
        <v>620.17941642361563</v>
      </c>
      <c r="K65" s="16">
        <f>MAX(0,J65-'Drilling Spec'!$C$30)</f>
        <v>540.17941642361563</v>
      </c>
      <c r="L65" s="18">
        <f>IFERROR(K65/'Drilling Spec'!$C$31,0)</f>
        <v>36.011961094907711</v>
      </c>
      <c r="M65" s="21">
        <f t="shared" si="15"/>
        <v>0</v>
      </c>
      <c r="N65" s="4">
        <f t="shared" si="11"/>
        <v>0</v>
      </c>
      <c r="O65" s="21">
        <f t="shared" si="5"/>
        <v>0</v>
      </c>
      <c r="P65" s="18">
        <f>(SQRT(4*P64*P64*vB*vB + 'Drilling Spec'!$C$48*P64 + WB*('Drilling Spec'!$C$49 + 2*lB*vB*(sB*WB + 2*vB*O65/(1+eB)) + 'Drilling Spec'!$C$50)) - 'Drilling Spec'!$C$51)/(2*vB)</f>
        <v>0</v>
      </c>
      <c r="Q65" s="18" t="str">
        <f>IF(AND(OR(R64=0,R64=""),N65=0),IF(N66=0,"",'Drilling Spec'!$C$30),P65)</f>
        <v/>
      </c>
      <c r="S65">
        <f t="shared" si="13"/>
        <v>40</v>
      </c>
      <c r="T65" s="10"/>
      <c r="U65">
        <f>IF('Baseline 2 - Good, 16hr'!L66&gt;'Baseline 2 - Good, 16hr'!S65,'Drilling Spec'!$C$36,)</f>
        <v>0</v>
      </c>
      <c r="W65" s="17">
        <f>(J65-'Drilling Spec'!$C$26)/'Drilling Spec'!$C$38</f>
        <v>91.696569403935939</v>
      </c>
      <c r="X65" s="17">
        <f t="shared" si="16"/>
        <v>1.7297287513118391</v>
      </c>
      <c r="Y65" s="17">
        <f t="shared" si="17"/>
        <v>11.696569403935939</v>
      </c>
      <c r="Z65" s="10"/>
      <c r="AA65">
        <f>IF(Y65&lt;'Drilling Spec'!$C$39,,'Drilling Spec'!$C$39)</f>
        <v>0</v>
      </c>
      <c r="AD65" s="16">
        <f t="shared" si="18"/>
        <v>-620.17941642361563</v>
      </c>
      <c r="AE65" s="16" t="e">
        <f t="shared" si="9"/>
        <v>#N/A</v>
      </c>
      <c r="AF65">
        <f>-'Drilling Spec'!$C$29</f>
        <v>-720</v>
      </c>
      <c r="AG65">
        <f>-'Drilling Spec'!$C$27</f>
        <v>-624</v>
      </c>
      <c r="AH65">
        <f>-'Drilling Spec'!$C$28</f>
        <v>-688</v>
      </c>
      <c r="AI65" t="e">
        <f t="shared" si="10"/>
        <v>#N/A</v>
      </c>
      <c r="AJ65" t="e">
        <f>IF(T65=0,NA(),-'Drilling Spec'!$C$26/2)</f>
        <v>#N/A</v>
      </c>
      <c r="AK65" t="e">
        <f>IF(U65=0,NA(),-'Drilling Spec'!$C$26/2)</f>
        <v>#N/A</v>
      </c>
      <c r="AL65" t="e">
        <f>IF(Z65=0,NA(),-'Drilling Spec'!$C$26*3/2)</f>
        <v>#N/A</v>
      </c>
      <c r="AM65" t="e">
        <f>IF(AA65=0,NA(),-'Drilling Spec'!$C$26*3/2)</f>
        <v>#N/A</v>
      </c>
    </row>
    <row r="66" spans="2:39" x14ac:dyDescent="0.35">
      <c r="B66" s="2">
        <f t="shared" si="12"/>
        <v>46034</v>
      </c>
      <c r="C66" t="str">
        <f t="shared" si="0"/>
        <v>Mon</v>
      </c>
      <c r="D66" s="10" t="s">
        <v>9</v>
      </c>
      <c r="E66" s="10">
        <v>16</v>
      </c>
      <c r="F66" s="4">
        <f t="shared" si="1"/>
        <v>16</v>
      </c>
      <c r="G66" s="4">
        <f t="shared" si="14"/>
        <v>664</v>
      </c>
      <c r="H66" s="4">
        <f t="shared" si="3"/>
        <v>960</v>
      </c>
      <c r="I66" s="15">
        <f>(SQRT(4*J65*J65*V*V + 'Drilling Spec'!$C$42*J65 + W*('Drilling Spec'!$C$43 + 2*l*V*(s*W + 2*V*H66/(1+e)) + 'Drilling Spec'!$C$44)) - 'Drilling Spec'!$C$45)/(2*V)</f>
        <v>630.46485908550153</v>
      </c>
      <c r="J66" s="16">
        <f>IF(AND(OR(J65=0,J65=""),G66=0),IF(G67=0,"",'Drilling Spec'!$C$26),I66)</f>
        <v>630.46485908550153</v>
      </c>
      <c r="K66" s="16">
        <f>MAX(0,J66-'Drilling Spec'!$C$30)</f>
        <v>550.46485908550153</v>
      </c>
      <c r="L66" s="18">
        <f>IFERROR(K66/'Drilling Spec'!$C$31,0)</f>
        <v>36.697657272366769</v>
      </c>
      <c r="M66" s="21">
        <f t="shared" si="15"/>
        <v>0</v>
      </c>
      <c r="N66" s="4">
        <f t="shared" si="11"/>
        <v>0</v>
      </c>
      <c r="O66" s="21">
        <f t="shared" si="5"/>
        <v>0</v>
      </c>
      <c r="P66" s="18">
        <f>(SQRT(4*P65*P65*vB*vB + 'Drilling Spec'!$C$48*P65 + WB*('Drilling Spec'!$C$49 + 2*lB*vB*(sB*WB + 2*vB*O66/(1+eB)) + 'Drilling Spec'!$C$50)) - 'Drilling Spec'!$C$51)/(2*vB)</f>
        <v>0</v>
      </c>
      <c r="Q66" s="18" t="str">
        <f>IF(AND(OR(R65=0,R65=""),N66=0),IF(N67=0,"",'Drilling Spec'!$C$30),P66)</f>
        <v/>
      </c>
      <c r="S66">
        <f t="shared" si="13"/>
        <v>40</v>
      </c>
      <c r="T66" s="10"/>
      <c r="U66">
        <f>IF('Baseline 2 - Good, 16hr'!L67&gt;'Baseline 2 - Good, 16hr'!S66,'Drilling Spec'!$C$36,)</f>
        <v>0</v>
      </c>
      <c r="W66" s="17">
        <f>(J66-'Drilling Spec'!$C$26)/'Drilling Spec'!$C$38</f>
        <v>93.410809847583593</v>
      </c>
      <c r="X66" s="17">
        <f t="shared" si="16"/>
        <v>1.7142404436476539</v>
      </c>
      <c r="Y66" s="17">
        <f t="shared" si="17"/>
        <v>13.410809847583593</v>
      </c>
      <c r="Z66" s="10"/>
      <c r="AA66">
        <f>IF(Y66&lt;'Drilling Spec'!$C$39,,'Drilling Spec'!$C$39)</f>
        <v>0</v>
      </c>
      <c r="AD66" s="16">
        <f t="shared" si="18"/>
        <v>-630.46485908550153</v>
      </c>
      <c r="AE66" s="16" t="e">
        <f t="shared" si="9"/>
        <v>#N/A</v>
      </c>
      <c r="AF66">
        <f>-'Drilling Spec'!$C$29</f>
        <v>-720</v>
      </c>
      <c r="AG66">
        <f>-'Drilling Spec'!$C$27</f>
        <v>-624</v>
      </c>
      <c r="AH66">
        <f>-'Drilling Spec'!$C$28</f>
        <v>-688</v>
      </c>
      <c r="AI66" t="e">
        <f t="shared" si="10"/>
        <v>#N/A</v>
      </c>
      <c r="AJ66" t="e">
        <f>IF(T66=0,NA(),-'Drilling Spec'!$C$26/2)</f>
        <v>#N/A</v>
      </c>
      <c r="AK66" t="e">
        <f>IF(U66=0,NA(),-'Drilling Spec'!$C$26/2)</f>
        <v>#N/A</v>
      </c>
      <c r="AL66" t="e">
        <f>IF(Z66=0,NA(),-'Drilling Spec'!$C$26*3/2)</f>
        <v>#N/A</v>
      </c>
      <c r="AM66" t="e">
        <f>IF(AA66=0,NA(),-'Drilling Spec'!$C$26*3/2)</f>
        <v>#N/A</v>
      </c>
    </row>
    <row r="67" spans="2:39" x14ac:dyDescent="0.35">
      <c r="B67" s="2">
        <f t="shared" si="12"/>
        <v>46035</v>
      </c>
      <c r="C67" t="str">
        <f t="shared" ref="C67:C112" si="19">TEXT(B67,"ddd")</f>
        <v>Tue</v>
      </c>
      <c r="D67" s="10" t="s">
        <v>9</v>
      </c>
      <c r="E67" s="10">
        <v>16</v>
      </c>
      <c r="F67" s="4">
        <f t="shared" ref="F67:F112" si="20">IF(D67="Drilling",E67,0)</f>
        <v>16</v>
      </c>
      <c r="G67" s="4">
        <f t="shared" ref="G67:G87" si="21">(G66+F67)</f>
        <v>680</v>
      </c>
      <c r="H67" s="4">
        <f t="shared" ref="H67:H112" si="22">F67*60</f>
        <v>960</v>
      </c>
      <c r="I67" s="15">
        <f>(SQRT(4*J66*J66*V*V + 'Drilling Spec'!$C$42*J66 + W*('Drilling Spec'!$C$43 + 2*l*V*(s*W + 2*V*H67/(1+e)) + 'Drilling Spec'!$C$44)) - 'Drilling Spec'!$C$45)/(2*V)</f>
        <v>640.65982441009021</v>
      </c>
      <c r="J67" s="16">
        <f>IF(AND(OR(J66=0,J66=""),G67=0),IF(G68=0,"",'Drilling Spec'!$C$26),I67)</f>
        <v>640.65982441009021</v>
      </c>
      <c r="K67" s="16">
        <f>MAX(0,J67-'Drilling Spec'!$C$30)</f>
        <v>560.65982441009021</v>
      </c>
      <c r="L67" s="18">
        <f>IFERROR(K67/'Drilling Spec'!$C$31,0)</f>
        <v>37.377321627339349</v>
      </c>
      <c r="M67" s="21">
        <f t="shared" ref="M67:M87" si="23">IF(D67="Bailing",E67,0)</f>
        <v>0</v>
      </c>
      <c r="N67" s="4">
        <f t="shared" si="11"/>
        <v>0</v>
      </c>
      <c r="O67" s="21">
        <f t="shared" ref="O67:O112" si="24">M67*60</f>
        <v>0</v>
      </c>
      <c r="P67" s="18">
        <f>(SQRT(4*P66*P66*vB*vB + 'Drilling Spec'!$C$48*P66 + WB*('Drilling Spec'!$C$49 + 2*lB*vB*(sB*WB + 2*vB*O67/(1+eB)) + 'Drilling Spec'!$C$50)) - 'Drilling Spec'!$C$51)/(2*vB)</f>
        <v>0</v>
      </c>
      <c r="Q67" s="18" t="str">
        <f>IF(AND(OR(R66=0,R66=""),N67=0),IF(N68=0,"",'Drilling Spec'!$C$30),P67)</f>
        <v/>
      </c>
      <c r="S67">
        <f t="shared" si="13"/>
        <v>40</v>
      </c>
      <c r="T67" s="10"/>
      <c r="U67">
        <f>IF('Baseline 2 - Good, 16hr'!L68&gt;'Baseline 2 - Good, 16hr'!S67,'Drilling Spec'!$C$36,)</f>
        <v>0</v>
      </c>
      <c r="W67" s="17">
        <f>(J67-'Drilling Spec'!$C$26)/'Drilling Spec'!$C$38</f>
        <v>95.10997073501504</v>
      </c>
      <c r="X67" s="17">
        <f t="shared" ref="X67:X98" si="25">IFERROR(W67-W66,0)</f>
        <v>1.6991608874314466</v>
      </c>
      <c r="Y67" s="17">
        <f t="shared" ref="Y67:Y98" si="26">Y66+X67-Z67-AA66</f>
        <v>15.10997073501504</v>
      </c>
      <c r="Z67" s="10"/>
      <c r="AA67">
        <f>IF(Y67&lt;'Drilling Spec'!$C$39,,'Drilling Spec'!$C$39)</f>
        <v>0</v>
      </c>
      <c r="AD67" s="16">
        <f t="shared" ref="AD67:AD87" si="27">IFERROR(-J67,NA())</f>
        <v>-640.65982441009021</v>
      </c>
      <c r="AE67" s="16" t="e">
        <f t="shared" ref="AE67:AE112" si="28">IF(OR(Q67=0,Q67=""),NA(),-Q67)</f>
        <v>#N/A</v>
      </c>
      <c r="AF67">
        <f>-'Drilling Spec'!$C$29</f>
        <v>-720</v>
      </c>
      <c r="AG67">
        <f>-'Drilling Spec'!$C$27</f>
        <v>-624</v>
      </c>
      <c r="AH67">
        <f>-'Drilling Spec'!$C$28</f>
        <v>-688</v>
      </c>
      <c r="AI67" t="e">
        <f t="shared" ref="AI67:AI112" si="29">IF(D67="Camp Closed",0,NA())</f>
        <v>#N/A</v>
      </c>
      <c r="AJ67" t="e">
        <f>IF(T67=0,NA(),-'Drilling Spec'!$C$26/2)</f>
        <v>#N/A</v>
      </c>
      <c r="AK67" t="e">
        <f>IF(U67=0,NA(),-'Drilling Spec'!$C$26/2)</f>
        <v>#N/A</v>
      </c>
      <c r="AL67" t="e">
        <f>IF(Z67=0,NA(),-'Drilling Spec'!$C$26*3/2)</f>
        <v>#N/A</v>
      </c>
      <c r="AM67" t="e">
        <f>IF(AA67=0,NA(),-'Drilling Spec'!$C$26*3/2)</f>
        <v>#N/A</v>
      </c>
    </row>
    <row r="68" spans="2:39" x14ac:dyDescent="0.35">
      <c r="B68" s="2">
        <f t="shared" si="12"/>
        <v>46036</v>
      </c>
      <c r="C68" t="str">
        <f t="shared" si="19"/>
        <v>Wed</v>
      </c>
      <c r="D68" s="10" t="s">
        <v>7</v>
      </c>
      <c r="E68" s="10">
        <v>0</v>
      </c>
      <c r="F68" s="4">
        <f t="shared" si="20"/>
        <v>0</v>
      </c>
      <c r="G68" s="4">
        <f t="shared" si="21"/>
        <v>680</v>
      </c>
      <c r="H68" s="4">
        <f t="shared" si="22"/>
        <v>0</v>
      </c>
      <c r="I68" s="15">
        <f>(SQRT(4*J67*J67*V*V + 'Drilling Spec'!$C$42*J67 + W*('Drilling Spec'!$C$43 + 2*l*V*(s*W + 2*V*H68/(1+e)) + 'Drilling Spec'!$C$44)) - 'Drilling Spec'!$C$45)/(2*V)</f>
        <v>640.65982441009021</v>
      </c>
      <c r="J68" s="16">
        <f>IF(AND(OR(J67=0,J67=""),G68=0),IF(G69=0,"",'Drilling Spec'!$C$26),I68)</f>
        <v>640.65982441009021</v>
      </c>
      <c r="K68" s="16">
        <f>MAX(0,J68-'Drilling Spec'!$C$30)</f>
        <v>560.65982441009021</v>
      </c>
      <c r="L68" s="18">
        <f>IFERROR(K68/'Drilling Spec'!$C$31,0)</f>
        <v>37.377321627339349</v>
      </c>
      <c r="M68" s="21">
        <f t="shared" si="23"/>
        <v>0</v>
      </c>
      <c r="N68" s="4">
        <f t="shared" ref="N68:N112" si="30">(N67+M68)</f>
        <v>0</v>
      </c>
      <c r="O68" s="21">
        <f t="shared" si="24"/>
        <v>0</v>
      </c>
      <c r="P68" s="18">
        <f>(SQRT(4*P67*P67*vB*vB + 'Drilling Spec'!$C$48*P67 + WB*('Drilling Spec'!$C$49 + 2*lB*vB*(sB*WB + 2*vB*O68/(1+eB)) + 'Drilling Spec'!$C$50)) - 'Drilling Spec'!$C$51)/(2*vB)</f>
        <v>0</v>
      </c>
      <c r="Q68" s="18" t="str">
        <f>IF(AND(OR(R67=0,R67=""),N68=0),IF(N69=0,"",'Drilling Spec'!$C$30),P68)</f>
        <v/>
      </c>
      <c r="S68">
        <f t="shared" si="13"/>
        <v>40</v>
      </c>
      <c r="T68" s="10"/>
      <c r="U68">
        <f>IF('Baseline 2 - Good, 16hr'!L69&gt;'Baseline 2 - Good, 16hr'!S68,'Drilling Spec'!$C$36,)</f>
        <v>0</v>
      </c>
      <c r="W68" s="17">
        <f>(J68-'Drilling Spec'!$C$26)/'Drilling Spec'!$C$38</f>
        <v>95.10997073501504</v>
      </c>
      <c r="X68" s="17">
        <f t="shared" si="25"/>
        <v>0</v>
      </c>
      <c r="Y68" s="17">
        <f t="shared" si="26"/>
        <v>15.10997073501504</v>
      </c>
      <c r="Z68" s="10"/>
      <c r="AA68">
        <f>IF(Y68&lt;'Drilling Spec'!$C$39,,'Drilling Spec'!$C$39)</f>
        <v>0</v>
      </c>
      <c r="AD68" s="16">
        <f t="shared" si="27"/>
        <v>-640.65982441009021</v>
      </c>
      <c r="AE68" s="16" t="e">
        <f t="shared" si="28"/>
        <v>#N/A</v>
      </c>
      <c r="AF68">
        <f>-'Drilling Spec'!$C$29</f>
        <v>-720</v>
      </c>
      <c r="AG68">
        <f>-'Drilling Spec'!$C$27</f>
        <v>-624</v>
      </c>
      <c r="AH68">
        <f>-'Drilling Spec'!$C$28</f>
        <v>-688</v>
      </c>
      <c r="AI68" t="e">
        <f t="shared" si="29"/>
        <v>#N/A</v>
      </c>
      <c r="AJ68" t="e">
        <f>IF(T68=0,NA(),-'Drilling Spec'!$C$26/2)</f>
        <v>#N/A</v>
      </c>
      <c r="AK68" t="e">
        <f>IF(U68=0,NA(),-'Drilling Spec'!$C$26/2)</f>
        <v>#N/A</v>
      </c>
      <c r="AL68" t="e">
        <f>IF(Z68=0,NA(),-'Drilling Spec'!$C$26*3/2)</f>
        <v>#N/A</v>
      </c>
      <c r="AM68" t="e">
        <f>IF(AA68=0,NA(),-'Drilling Spec'!$C$26*3/2)</f>
        <v>#N/A</v>
      </c>
    </row>
    <row r="69" spans="2:39" x14ac:dyDescent="0.35">
      <c r="B69" s="2">
        <f t="shared" ref="B69:B84" si="31">B68+1</f>
        <v>46037</v>
      </c>
      <c r="C69" t="str">
        <f t="shared" si="19"/>
        <v>Thu</v>
      </c>
      <c r="D69" s="10" t="s">
        <v>9</v>
      </c>
      <c r="E69" s="10">
        <v>16</v>
      </c>
      <c r="F69" s="4">
        <f t="shared" si="20"/>
        <v>16</v>
      </c>
      <c r="G69" s="4">
        <f t="shared" si="21"/>
        <v>696</v>
      </c>
      <c r="H69" s="4">
        <f t="shared" si="22"/>
        <v>960</v>
      </c>
      <c r="I69" s="15">
        <f>(SQRT(4*J68*J68*V*V + 'Drilling Spec'!$C$42*J68 + W*('Drilling Spec'!$C$43 + 2*l*V*(s*W + 2*V*H69/(1+e)) + 'Drilling Spec'!$C$44)) - 'Drilling Spec'!$C$45)/(2*V)</f>
        <v>650.76665889374908</v>
      </c>
      <c r="J69" s="16">
        <f>IF(AND(OR(J68=0,J68=""),G69=0),IF(G70=0,"",'Drilling Spec'!$C$26),I69)</f>
        <v>650.76665889374908</v>
      </c>
      <c r="K69" s="16">
        <f>MAX(0,J69-'Drilling Spec'!$C$30)</f>
        <v>570.76665889374908</v>
      </c>
      <c r="L69" s="18">
        <f>IFERROR(K69/'Drilling Spec'!$C$31,0)</f>
        <v>38.051110592916608</v>
      </c>
      <c r="M69" s="21">
        <f t="shared" si="23"/>
        <v>0</v>
      </c>
      <c r="N69" s="4">
        <f t="shared" si="30"/>
        <v>0</v>
      </c>
      <c r="O69" s="21">
        <f t="shared" si="24"/>
        <v>0</v>
      </c>
      <c r="P69" s="18">
        <f>(SQRT(4*P68*P68*vB*vB + 'Drilling Spec'!$C$48*P68 + WB*('Drilling Spec'!$C$49 + 2*lB*vB*(sB*WB + 2*vB*O69/(1+eB)) + 'Drilling Spec'!$C$50)) - 'Drilling Spec'!$C$51)/(2*vB)</f>
        <v>0</v>
      </c>
      <c r="Q69" s="18" t="str">
        <f>IF(AND(OR(R68=0,R68=""),N69=0),IF(N70=0,"",'Drilling Spec'!$C$30),P69)</f>
        <v/>
      </c>
      <c r="S69">
        <f t="shared" ref="S69:S73" si="32">S68+U68+T69</f>
        <v>40</v>
      </c>
      <c r="T69" s="10"/>
      <c r="U69">
        <f>IF('Baseline 2 - Good, 16hr'!L70&gt;'Baseline 2 - Good, 16hr'!S69,'Drilling Spec'!$C$36,)</f>
        <v>0</v>
      </c>
      <c r="W69" s="17">
        <f>(J69-'Drilling Spec'!$C$26)/'Drilling Spec'!$C$38</f>
        <v>96.79444314895818</v>
      </c>
      <c r="X69" s="17">
        <f t="shared" si="25"/>
        <v>1.6844724139431406</v>
      </c>
      <c r="Y69" s="17">
        <f t="shared" si="26"/>
        <v>16.79444314895818</v>
      </c>
      <c r="Z69" s="10"/>
      <c r="AA69">
        <f>IF(Y69&lt;'Drilling Spec'!$C$39,,'Drilling Spec'!$C$39)</f>
        <v>0</v>
      </c>
      <c r="AD69" s="16">
        <f t="shared" si="27"/>
        <v>-650.76665889374908</v>
      </c>
      <c r="AE69" s="16" t="e">
        <f t="shared" si="28"/>
        <v>#N/A</v>
      </c>
      <c r="AF69">
        <f>-'Drilling Spec'!$C$29</f>
        <v>-720</v>
      </c>
      <c r="AG69">
        <f>-'Drilling Spec'!$C$27</f>
        <v>-624</v>
      </c>
      <c r="AH69">
        <f>-'Drilling Spec'!$C$28</f>
        <v>-688</v>
      </c>
      <c r="AI69" t="e">
        <f t="shared" si="29"/>
        <v>#N/A</v>
      </c>
      <c r="AJ69" t="e">
        <f>IF(T69=0,NA(),-'Drilling Spec'!$C$26/2)</f>
        <v>#N/A</v>
      </c>
      <c r="AK69" t="e">
        <f>IF(U69=0,NA(),-'Drilling Spec'!$C$26/2)</f>
        <v>#N/A</v>
      </c>
      <c r="AL69" t="e">
        <f>IF(Z69=0,NA(),-'Drilling Spec'!$C$26*3/2)</f>
        <v>#N/A</v>
      </c>
      <c r="AM69" t="e">
        <f>IF(AA69=0,NA(),-'Drilling Spec'!$C$26*3/2)</f>
        <v>#N/A</v>
      </c>
    </row>
    <row r="70" spans="2:39" x14ac:dyDescent="0.35">
      <c r="B70" s="2">
        <f t="shared" si="31"/>
        <v>46038</v>
      </c>
      <c r="C70" t="str">
        <f t="shared" si="19"/>
        <v>Fri</v>
      </c>
      <c r="D70" s="10" t="s">
        <v>9</v>
      </c>
      <c r="E70" s="10">
        <v>16</v>
      </c>
      <c r="F70" s="4">
        <f t="shared" si="20"/>
        <v>16</v>
      </c>
      <c r="G70" s="4">
        <f t="shared" si="21"/>
        <v>712</v>
      </c>
      <c r="H70" s="4">
        <f t="shared" si="22"/>
        <v>960</v>
      </c>
      <c r="I70" s="15">
        <f>(SQRT(4*J69*J69*V*V + 'Drilling Spec'!$C$42*J69 + W*('Drilling Spec'!$C$43 + 2*l*V*(s*W + 2*V*H70/(1+e)) + 'Drilling Spec'!$C$44)) - 'Drilling Spec'!$C$45)/(2*V)</f>
        <v>660.78760932720695</v>
      </c>
      <c r="J70" s="16">
        <f>IF(AND(OR(J69=0,J69=""),G70=0),IF(G71=0,"",'Drilling Spec'!$C$26),I70)</f>
        <v>660.78760932720695</v>
      </c>
      <c r="K70" s="16">
        <f>MAX(0,J70-'Drilling Spec'!$C$30)</f>
        <v>580.78760932720695</v>
      </c>
      <c r="L70" s="18">
        <f>IFERROR(K70/'Drilling Spec'!$C$31,0)</f>
        <v>38.719173955147127</v>
      </c>
      <c r="M70" s="21">
        <f t="shared" si="23"/>
        <v>0</v>
      </c>
      <c r="N70" s="4">
        <f t="shared" si="30"/>
        <v>0</v>
      </c>
      <c r="O70" s="21">
        <f t="shared" si="24"/>
        <v>0</v>
      </c>
      <c r="P70" s="18">
        <f>(SQRT(4*P69*P69*vB*vB + 'Drilling Spec'!$C$48*P69 + WB*('Drilling Spec'!$C$49 + 2*lB*vB*(sB*WB + 2*vB*O70/(1+eB)) + 'Drilling Spec'!$C$50)) - 'Drilling Spec'!$C$51)/(2*vB)</f>
        <v>0</v>
      </c>
      <c r="Q70" s="18" t="str">
        <f>IF(AND(OR(R69=0,R69=""),N70=0),IF(N71=0,"",'Drilling Spec'!$C$30),P70)</f>
        <v/>
      </c>
      <c r="S70">
        <f t="shared" si="32"/>
        <v>40</v>
      </c>
      <c r="T70" s="10"/>
      <c r="U70">
        <f>IF('Baseline 2 - Good, 16hr'!L71&gt;'Baseline 2 - Good, 16hr'!S70,'Drilling Spec'!$C$36,)</f>
        <v>0</v>
      </c>
      <c r="W70" s="17">
        <f>(J70-'Drilling Spec'!$C$26)/'Drilling Spec'!$C$38</f>
        <v>98.464601554534497</v>
      </c>
      <c r="X70" s="17">
        <f t="shared" si="25"/>
        <v>1.6701584055763163</v>
      </c>
      <c r="Y70" s="17">
        <f t="shared" si="26"/>
        <v>18.464601554534497</v>
      </c>
      <c r="Z70" s="10"/>
      <c r="AA70">
        <f>IF(Y70&lt;'Drilling Spec'!$C$39,,'Drilling Spec'!$C$39)</f>
        <v>0</v>
      </c>
      <c r="AD70" s="16">
        <f t="shared" si="27"/>
        <v>-660.78760932720695</v>
      </c>
      <c r="AE70" s="16" t="e">
        <f t="shared" si="28"/>
        <v>#N/A</v>
      </c>
      <c r="AF70">
        <f>-'Drilling Spec'!$C$29</f>
        <v>-720</v>
      </c>
      <c r="AG70">
        <f>-'Drilling Spec'!$C$27</f>
        <v>-624</v>
      </c>
      <c r="AH70">
        <f>-'Drilling Spec'!$C$28</f>
        <v>-688</v>
      </c>
      <c r="AI70" t="e">
        <f t="shared" si="29"/>
        <v>#N/A</v>
      </c>
      <c r="AJ70" t="e">
        <f>IF(T70=0,NA(),-'Drilling Spec'!$C$26/2)</f>
        <v>#N/A</v>
      </c>
      <c r="AK70" t="e">
        <f>IF(U70=0,NA(),-'Drilling Spec'!$C$26/2)</f>
        <v>#N/A</v>
      </c>
      <c r="AL70" t="e">
        <f>IF(Z70=0,NA(),-'Drilling Spec'!$C$26*3/2)</f>
        <v>#N/A</v>
      </c>
      <c r="AM70" t="e">
        <f>IF(AA70=0,NA(),-'Drilling Spec'!$C$26*3/2)</f>
        <v>#N/A</v>
      </c>
    </row>
    <row r="71" spans="2:39" x14ac:dyDescent="0.35">
      <c r="B71" s="2">
        <f t="shared" si="31"/>
        <v>46039</v>
      </c>
      <c r="C71" t="str">
        <f t="shared" si="19"/>
        <v>Sat</v>
      </c>
      <c r="D71" s="10" t="s">
        <v>9</v>
      </c>
      <c r="E71" s="10">
        <v>16</v>
      </c>
      <c r="F71" s="4">
        <f t="shared" si="20"/>
        <v>16</v>
      </c>
      <c r="G71" s="4">
        <f t="shared" si="21"/>
        <v>728</v>
      </c>
      <c r="H71" s="4">
        <f t="shared" si="22"/>
        <v>960</v>
      </c>
      <c r="I71" s="15">
        <f>(SQRT(4*J70*J70*V*V + 'Drilling Spec'!$C$42*J70 + W*('Drilling Spec'!$C$43 + 2*l*V*(s*W + 2*V*H71/(1+e)) + 'Drilling Spec'!$C$44)) - 'Drilling Spec'!$C$45)/(2*V)</f>
        <v>670.72482862789957</v>
      </c>
      <c r="J71" s="16">
        <f>IF(AND(OR(J70=0,J70=""),G71=0),IF(G72=0,"",'Drilling Spec'!$C$26),I71)</f>
        <v>670.72482862789957</v>
      </c>
      <c r="K71" s="16">
        <f>MAX(0,J71-'Drilling Spec'!$C$30)</f>
        <v>590.72482862789957</v>
      </c>
      <c r="L71" s="18">
        <f>IFERROR(K71/'Drilling Spec'!$C$31,0)</f>
        <v>39.381655241859974</v>
      </c>
      <c r="M71" s="21">
        <f t="shared" si="23"/>
        <v>0</v>
      </c>
      <c r="N71" s="4">
        <f t="shared" si="30"/>
        <v>0</v>
      </c>
      <c r="O71" s="21">
        <f t="shared" si="24"/>
        <v>0</v>
      </c>
      <c r="P71" s="18">
        <f>(SQRT(4*P70*P70*vB*vB + 'Drilling Spec'!$C$48*P70 + WB*('Drilling Spec'!$C$49 + 2*lB*vB*(sB*WB + 2*vB*O71/(1+eB)) + 'Drilling Spec'!$C$50)) - 'Drilling Spec'!$C$51)/(2*vB)</f>
        <v>0</v>
      </c>
      <c r="Q71" s="18" t="str">
        <f>IF(AND(OR(R70=0,R70=""),N71=0),IF(N72=0,"",'Drilling Spec'!$C$30),P71)</f>
        <v/>
      </c>
      <c r="S71">
        <f t="shared" si="32"/>
        <v>40</v>
      </c>
      <c r="T71" s="10"/>
      <c r="U71">
        <f>IF('Baseline 2 - Good, 16hr'!L72&gt;'Baseline 2 - Good, 16hr'!S71,'Drilling Spec'!$C$36,)</f>
        <v>6</v>
      </c>
      <c r="W71" s="17">
        <f>(J71-'Drilling Spec'!$C$26)/'Drilling Spec'!$C$38</f>
        <v>100.1208047713166</v>
      </c>
      <c r="X71" s="17">
        <f t="shared" si="25"/>
        <v>1.656203216782103</v>
      </c>
      <c r="Y71" s="17">
        <f t="shared" si="26"/>
        <v>20.1208047713166</v>
      </c>
      <c r="Z71" s="10"/>
      <c r="AA71">
        <f>IF(Y71&lt;'Drilling Spec'!$C$39,,'Drilling Spec'!$C$39)</f>
        <v>20</v>
      </c>
      <c r="AD71" s="16">
        <f t="shared" si="27"/>
        <v>-670.72482862789957</v>
      </c>
      <c r="AE71" s="16" t="e">
        <f t="shared" si="28"/>
        <v>#N/A</v>
      </c>
      <c r="AF71">
        <f>-'Drilling Spec'!$C$29</f>
        <v>-720</v>
      </c>
      <c r="AG71">
        <f>-'Drilling Spec'!$C$27</f>
        <v>-624</v>
      </c>
      <c r="AH71">
        <f>-'Drilling Spec'!$C$28</f>
        <v>-688</v>
      </c>
      <c r="AI71" t="e">
        <f t="shared" si="29"/>
        <v>#N/A</v>
      </c>
      <c r="AJ71" t="e">
        <f>IF(T71=0,NA(),-'Drilling Spec'!$C$26/2)</f>
        <v>#N/A</v>
      </c>
      <c r="AK71">
        <f>IF(U71=0,NA(),-'Drilling Spec'!$C$26/2)</f>
        <v>-35</v>
      </c>
      <c r="AL71" t="e">
        <f>IF(Z71=0,NA(),-'Drilling Spec'!$C$26*3/2)</f>
        <v>#N/A</v>
      </c>
      <c r="AM71">
        <f>IF(AA71=0,NA(),-'Drilling Spec'!$C$26*3/2)</f>
        <v>-105</v>
      </c>
    </row>
    <row r="72" spans="2:39" x14ac:dyDescent="0.35">
      <c r="B72" s="2">
        <f t="shared" si="31"/>
        <v>46040</v>
      </c>
      <c r="C72" t="str">
        <f t="shared" si="19"/>
        <v>Sun</v>
      </c>
      <c r="D72" s="10" t="s">
        <v>9</v>
      </c>
      <c r="E72" s="10">
        <v>16</v>
      </c>
      <c r="F72" s="4">
        <f t="shared" si="20"/>
        <v>16</v>
      </c>
      <c r="G72" s="4">
        <f t="shared" si="21"/>
        <v>744</v>
      </c>
      <c r="H72" s="4">
        <f t="shared" si="22"/>
        <v>960</v>
      </c>
      <c r="I72" s="15">
        <f>(SQRT(4*J71*J71*V*V + 'Drilling Spec'!$C$42*J71 + W*('Drilling Spec'!$C$43 + 2*l*V*(s*W + 2*V*H72/(1+e)) + 'Drilling Spec'!$C$44)) - 'Drilling Spec'!$C$45)/(2*V)</f>
        <v>680.58038124086852</v>
      </c>
      <c r="J72" s="16">
        <f>IF(AND(OR(J71=0,J71=""),G72=0),IF(G73=0,"",'Drilling Spec'!$C$26),I72)</f>
        <v>680.58038124086852</v>
      </c>
      <c r="K72" s="16">
        <f>MAX(0,J72-'Drilling Spec'!$C$30)</f>
        <v>600.58038124086852</v>
      </c>
      <c r="L72" s="18">
        <f>IFERROR(K72/'Drilling Spec'!$C$31,0)</f>
        <v>40.038692082724566</v>
      </c>
      <c r="M72" s="21">
        <f t="shared" si="23"/>
        <v>0</v>
      </c>
      <c r="N72" s="4">
        <f t="shared" si="30"/>
        <v>0</v>
      </c>
      <c r="O72" s="21">
        <f t="shared" si="24"/>
        <v>0</v>
      </c>
      <c r="P72" s="18">
        <f>(SQRT(4*P71*P71*vB*vB + 'Drilling Spec'!$C$48*P71 + WB*('Drilling Spec'!$C$49 + 2*lB*vB*(sB*WB + 2*vB*O72/(1+eB)) + 'Drilling Spec'!$C$50)) - 'Drilling Spec'!$C$51)/(2*vB)</f>
        <v>0</v>
      </c>
      <c r="Q72" s="18" t="str">
        <f>IF(AND(OR(R71=0,R71=""),N72=0),IF(N73=0,"",'Drilling Spec'!$C$30),P72)</f>
        <v/>
      </c>
      <c r="S72">
        <f t="shared" si="32"/>
        <v>46</v>
      </c>
      <c r="T72" s="10"/>
      <c r="U72">
        <f>IF('Baseline 2 - Good, 16hr'!L73&gt;'Baseline 2 - Good, 16hr'!S72,'Drilling Spec'!$C$36,)</f>
        <v>0</v>
      </c>
      <c r="W72" s="17">
        <f>(J72-'Drilling Spec'!$C$26)/'Drilling Spec'!$C$38</f>
        <v>101.76339687347809</v>
      </c>
      <c r="X72" s="17">
        <f t="shared" si="25"/>
        <v>1.6425921021614869</v>
      </c>
      <c r="Y72" s="17">
        <f t="shared" si="26"/>
        <v>1.7633968734780865</v>
      </c>
      <c r="Z72" s="10"/>
      <c r="AA72">
        <f>IF(Y72&lt;'Drilling Spec'!$C$39,,'Drilling Spec'!$C$39)</f>
        <v>0</v>
      </c>
      <c r="AD72" s="16">
        <f t="shared" si="27"/>
        <v>-680.58038124086852</v>
      </c>
      <c r="AE72" s="16" t="e">
        <f t="shared" si="28"/>
        <v>#N/A</v>
      </c>
      <c r="AF72">
        <f>-'Drilling Spec'!$C$29</f>
        <v>-720</v>
      </c>
      <c r="AG72">
        <f>-'Drilling Spec'!$C$27</f>
        <v>-624</v>
      </c>
      <c r="AH72">
        <f>-'Drilling Spec'!$C$28</f>
        <v>-688</v>
      </c>
      <c r="AI72" t="e">
        <f t="shared" si="29"/>
        <v>#N/A</v>
      </c>
      <c r="AJ72" t="e">
        <f>IF(T72=0,NA(),-'Drilling Spec'!$C$26/2)</f>
        <v>#N/A</v>
      </c>
      <c r="AK72" t="e">
        <f>IF(U72=0,NA(),-'Drilling Spec'!$C$26/2)</f>
        <v>#N/A</v>
      </c>
      <c r="AL72" t="e">
        <f>IF(Z72=0,NA(),-'Drilling Spec'!$C$26*3/2)</f>
        <v>#N/A</v>
      </c>
      <c r="AM72" t="e">
        <f>IF(AA72=0,NA(),-'Drilling Spec'!$C$26*3/2)</f>
        <v>#N/A</v>
      </c>
    </row>
    <row r="73" spans="2:39" x14ac:dyDescent="0.35">
      <c r="B73" s="2">
        <f t="shared" si="31"/>
        <v>46041</v>
      </c>
      <c r="C73" t="str">
        <f t="shared" si="19"/>
        <v>Mon</v>
      </c>
      <c r="D73" s="10" t="s">
        <v>9</v>
      </c>
      <c r="E73" s="10">
        <v>16</v>
      </c>
      <c r="F73" s="4">
        <f t="shared" si="20"/>
        <v>16</v>
      </c>
      <c r="G73" s="4">
        <f t="shared" si="21"/>
        <v>760</v>
      </c>
      <c r="H73" s="4">
        <f t="shared" si="22"/>
        <v>960</v>
      </c>
      <c r="I73" s="15">
        <f>(SQRT(4*J72*J72*V*V + 'Drilling Spec'!$C$42*J72 + W*('Drilling Spec'!$C$43 + 2*l*V*(s*W + 2*V*H73/(1+e)) + 'Drilling Spec'!$C$44)) - 'Drilling Spec'!$C$45)/(2*V)</f>
        <v>690.35624814659275</v>
      </c>
      <c r="J73" s="16">
        <f>IF(AND(OR(J72=0,J72=""),G73=0),IF(G74=0,"",'Drilling Spec'!$C$26),I73)</f>
        <v>690.35624814659275</v>
      </c>
      <c r="K73" s="16">
        <f>MAX(0,J73-'Drilling Spec'!$C$30)</f>
        <v>610.35624814659275</v>
      </c>
      <c r="L73" s="18">
        <f>IFERROR(K73/'Drilling Spec'!$C$31,0)</f>
        <v>40.690416543106181</v>
      </c>
      <c r="M73" s="21">
        <f t="shared" si="23"/>
        <v>0</v>
      </c>
      <c r="N73" s="4">
        <f t="shared" si="30"/>
        <v>0</v>
      </c>
      <c r="O73" s="21">
        <f t="shared" si="24"/>
        <v>0</v>
      </c>
      <c r="P73" s="18">
        <f>(SQRT(4*P72*P72*vB*vB + 'Drilling Spec'!$C$48*P72 + WB*('Drilling Spec'!$C$49 + 2*lB*vB*(sB*WB + 2*vB*O73/(1+eB)) + 'Drilling Spec'!$C$50)) - 'Drilling Spec'!$C$51)/(2*vB)</f>
        <v>0</v>
      </c>
      <c r="Q73" s="18" t="str">
        <f>IF(AND(OR(R72=0,R72=""),N73=0),IF(N74=0,"",'Drilling Spec'!$C$30),P73)</f>
        <v/>
      </c>
      <c r="S73">
        <f t="shared" si="32"/>
        <v>46</v>
      </c>
      <c r="T73" s="10"/>
      <c r="U73">
        <f>IF('Baseline 2 - Good, 16hr'!L74&gt;'Baseline 2 - Good, 16hr'!S73,'Drilling Spec'!$C$36,)</f>
        <v>0</v>
      </c>
      <c r="W73" s="17">
        <f>(J73-'Drilling Spec'!$C$26)/'Drilling Spec'!$C$38</f>
        <v>103.39270802443212</v>
      </c>
      <c r="X73" s="17">
        <f t="shared" si="25"/>
        <v>1.6293111509540381</v>
      </c>
      <c r="Y73" s="17">
        <f t="shared" si="26"/>
        <v>3.3927080244321246</v>
      </c>
      <c r="Z73" s="10"/>
      <c r="AA73">
        <f>IF(Y73&lt;'Drilling Spec'!$C$39,,'Drilling Spec'!$C$39)</f>
        <v>0</v>
      </c>
      <c r="AD73" s="16">
        <f t="shared" si="27"/>
        <v>-690.35624814659275</v>
      </c>
      <c r="AE73" s="16" t="e">
        <f t="shared" si="28"/>
        <v>#N/A</v>
      </c>
      <c r="AF73">
        <f>-'Drilling Spec'!$C$29</f>
        <v>-720</v>
      </c>
      <c r="AG73">
        <f>-'Drilling Spec'!$C$27</f>
        <v>-624</v>
      </c>
      <c r="AH73">
        <f>-'Drilling Spec'!$C$28</f>
        <v>-688</v>
      </c>
      <c r="AI73" t="e">
        <f t="shared" si="29"/>
        <v>#N/A</v>
      </c>
      <c r="AJ73" t="e">
        <f>IF(T73=0,NA(),-'Drilling Spec'!$C$26/2)</f>
        <v>#N/A</v>
      </c>
      <c r="AK73" t="e">
        <f>IF(U73=0,NA(),-'Drilling Spec'!$C$26/2)</f>
        <v>#N/A</v>
      </c>
      <c r="AL73" t="e">
        <f>IF(Z73=0,NA(),-'Drilling Spec'!$C$26*3/2)</f>
        <v>#N/A</v>
      </c>
      <c r="AM73" t="e">
        <f>IF(AA73=0,NA(),-'Drilling Spec'!$C$26*3/2)</f>
        <v>#N/A</v>
      </c>
    </row>
    <row r="74" spans="2:39" x14ac:dyDescent="0.35">
      <c r="B74" s="2">
        <f t="shared" si="31"/>
        <v>46042</v>
      </c>
      <c r="C74" t="str">
        <f t="shared" si="19"/>
        <v>Tue</v>
      </c>
      <c r="D74" s="10" t="s">
        <v>9</v>
      </c>
      <c r="E74" s="10">
        <v>16</v>
      </c>
      <c r="F74" s="4">
        <f t="shared" si="20"/>
        <v>16</v>
      </c>
      <c r="G74" s="4">
        <f t="shared" si="21"/>
        <v>776</v>
      </c>
      <c r="H74" s="4">
        <f t="shared" si="22"/>
        <v>960</v>
      </c>
      <c r="I74" s="15">
        <f>(SQRT(4*J73*J73*V*V + 'Drilling Spec'!$C$42*J73 + W*('Drilling Spec'!$C$43 + 2*l*V*(s*W + 2*V*H74/(1+e)) + 'Drilling Spec'!$C$44)) - 'Drilling Spec'!$C$45)/(2*V)</f>
        <v>700.05433151015961</v>
      </c>
      <c r="J74" s="16">
        <f>IF(AND(OR(J73=0,J73=""),G74=0),IF(G75=0,"",'Drilling Spec'!$C$26),I74)</f>
        <v>700.05433151015961</v>
      </c>
      <c r="K74" s="16">
        <f>MAX(0,J74-'Drilling Spec'!$C$30)</f>
        <v>620.05433151015961</v>
      </c>
      <c r="L74" s="18">
        <f>IFERROR(K74/'Drilling Spec'!$C$31,0)</f>
        <v>41.33695543401064</v>
      </c>
      <c r="M74" s="21">
        <f t="shared" si="23"/>
        <v>0</v>
      </c>
      <c r="N74" s="4">
        <f t="shared" si="30"/>
        <v>0</v>
      </c>
      <c r="O74" s="21">
        <f t="shared" si="24"/>
        <v>0</v>
      </c>
      <c r="P74" s="18">
        <f>(SQRT(4*P73*P73*vB*vB + 'Drilling Spec'!$C$48*P73 + WB*('Drilling Spec'!$C$49 + 2*lB*vB*(sB*WB + 2*vB*O74/(1+eB)) + 'Drilling Spec'!$C$50)) - 'Drilling Spec'!$C$51)/(2*vB)</f>
        <v>0</v>
      </c>
      <c r="Q74" s="18" t="str">
        <f>IF(AND(OR(R73=0,R73=""),N74=0),IF(N75=0,"",'Drilling Spec'!$C$30),P74)</f>
        <v/>
      </c>
      <c r="S74">
        <f>S73+U73+T74</f>
        <v>46</v>
      </c>
      <c r="T74" s="10"/>
      <c r="U74">
        <f>IF('Baseline 2 - Good, 16hr'!L75&gt;'Baseline 2 - Good, 16hr'!S74,'Drilling Spec'!$C$36,)</f>
        <v>0</v>
      </c>
      <c r="W74" s="17">
        <f>(J74-'Drilling Spec'!$C$26)/'Drilling Spec'!$C$38</f>
        <v>105.00905525169327</v>
      </c>
      <c r="X74" s="17">
        <f t="shared" si="25"/>
        <v>1.6163472272611443</v>
      </c>
      <c r="Y74" s="17">
        <f t="shared" si="26"/>
        <v>5.0090552516932689</v>
      </c>
      <c r="Z74" s="10"/>
      <c r="AA74">
        <f>IF(Y74&lt;'Drilling Spec'!$C$39,,'Drilling Spec'!$C$39)</f>
        <v>0</v>
      </c>
      <c r="AD74" s="16">
        <f t="shared" si="27"/>
        <v>-700.05433151015961</v>
      </c>
      <c r="AE74" s="16" t="e">
        <f t="shared" si="28"/>
        <v>#N/A</v>
      </c>
      <c r="AF74">
        <f>-'Drilling Spec'!$C$29</f>
        <v>-720</v>
      </c>
      <c r="AG74">
        <f>-'Drilling Spec'!$C$27</f>
        <v>-624</v>
      </c>
      <c r="AH74">
        <f>-'Drilling Spec'!$C$28</f>
        <v>-688</v>
      </c>
      <c r="AI74" t="e">
        <f t="shared" si="29"/>
        <v>#N/A</v>
      </c>
      <c r="AJ74" t="e">
        <f>IF(T74=0,NA(),-'Drilling Spec'!$C$26/2)</f>
        <v>#N/A</v>
      </c>
      <c r="AK74" t="e">
        <f>IF(U74=0,NA(),-'Drilling Spec'!$C$26/2)</f>
        <v>#N/A</v>
      </c>
      <c r="AL74" t="e">
        <f>IF(Z74=0,NA(),-'Drilling Spec'!$C$26*3/2)</f>
        <v>#N/A</v>
      </c>
      <c r="AM74" t="e">
        <f>IF(AA74=0,NA(),-'Drilling Spec'!$C$26*3/2)</f>
        <v>#N/A</v>
      </c>
    </row>
    <row r="75" spans="2:39" x14ac:dyDescent="0.35">
      <c r="B75" s="2">
        <f t="shared" si="31"/>
        <v>46043</v>
      </c>
      <c r="C75" t="str">
        <f t="shared" si="19"/>
        <v>Wed</v>
      </c>
      <c r="D75" s="10" t="s">
        <v>7</v>
      </c>
      <c r="E75" s="10">
        <v>0</v>
      </c>
      <c r="F75" s="4">
        <f t="shared" si="20"/>
        <v>0</v>
      </c>
      <c r="G75" s="4">
        <f t="shared" si="21"/>
        <v>776</v>
      </c>
      <c r="H75" s="4">
        <f t="shared" si="22"/>
        <v>0</v>
      </c>
      <c r="I75" s="15">
        <f>(SQRT(4*J74*J74*V*V + 'Drilling Spec'!$C$42*J74 + W*('Drilling Spec'!$C$43 + 2*l*V*(s*W + 2*V*H75/(1+e)) + 'Drilling Spec'!$C$44)) - 'Drilling Spec'!$C$45)/(2*V)</f>
        <v>700.05433151015961</v>
      </c>
      <c r="J75" s="16">
        <f>IF(AND(OR(J74=0,J74=""),G75=0),IF(G76=0,"",'Drilling Spec'!$C$26),I75)</f>
        <v>700.05433151015961</v>
      </c>
      <c r="K75" s="16">
        <f>MAX(0,J75-'Drilling Spec'!$C$30)</f>
        <v>620.05433151015961</v>
      </c>
      <c r="L75" s="18">
        <f>IFERROR(K75/'Drilling Spec'!$C$31,0)</f>
        <v>41.33695543401064</v>
      </c>
      <c r="M75" s="21">
        <f t="shared" si="23"/>
        <v>0</v>
      </c>
      <c r="N75" s="4">
        <f t="shared" si="30"/>
        <v>0</v>
      </c>
      <c r="O75" s="21">
        <f t="shared" si="24"/>
        <v>0</v>
      </c>
      <c r="P75" s="18">
        <f>(SQRT(4*P74*P74*vB*vB + 'Drilling Spec'!$C$48*P74 + WB*('Drilling Spec'!$C$49 + 2*lB*vB*(sB*WB + 2*vB*O75/(1+eB)) + 'Drilling Spec'!$C$50)) - 'Drilling Spec'!$C$51)/(2*vB)</f>
        <v>0</v>
      </c>
      <c r="Q75" s="18" t="str">
        <f>IF(AND(OR(R74=0,R74=""),N75=0),IF(N76=0,"",'Drilling Spec'!$C$30),P75)</f>
        <v/>
      </c>
      <c r="S75">
        <f t="shared" ref="S75:S112" si="33">S74+U74+T75</f>
        <v>46</v>
      </c>
      <c r="T75" s="10"/>
      <c r="U75">
        <f>IF('Baseline 2 - Good, 16hr'!L76&gt;'Baseline 2 - Good, 16hr'!S75,'Drilling Spec'!$C$36,)</f>
        <v>0</v>
      </c>
      <c r="W75" s="17">
        <f>(J75-'Drilling Spec'!$C$26)/'Drilling Spec'!$C$38</f>
        <v>105.00905525169327</v>
      </c>
      <c r="X75" s="17">
        <f t="shared" si="25"/>
        <v>0</v>
      </c>
      <c r="Y75" s="17">
        <f t="shared" si="26"/>
        <v>5.0090552516932689</v>
      </c>
      <c r="Z75" s="10"/>
      <c r="AA75">
        <f>IF(Y75&lt;'Drilling Spec'!$C$39,,'Drilling Spec'!$C$39)</f>
        <v>0</v>
      </c>
      <c r="AD75" s="16">
        <f t="shared" si="27"/>
        <v>-700.05433151015961</v>
      </c>
      <c r="AE75" s="16" t="e">
        <f t="shared" si="28"/>
        <v>#N/A</v>
      </c>
      <c r="AF75">
        <f>-'Drilling Spec'!$C$29</f>
        <v>-720</v>
      </c>
      <c r="AG75">
        <f>-'Drilling Spec'!$C$27</f>
        <v>-624</v>
      </c>
      <c r="AH75">
        <f>-'Drilling Spec'!$C$28</f>
        <v>-688</v>
      </c>
      <c r="AI75" t="e">
        <f t="shared" si="29"/>
        <v>#N/A</v>
      </c>
      <c r="AJ75" t="e">
        <f>IF(T75=0,NA(),-'Drilling Spec'!$C$26/2)</f>
        <v>#N/A</v>
      </c>
      <c r="AK75" t="e">
        <f>IF(U75=0,NA(),-'Drilling Spec'!$C$26/2)</f>
        <v>#N/A</v>
      </c>
      <c r="AL75" t="e">
        <f>IF(Z75=0,NA(),-'Drilling Spec'!$C$26*3/2)</f>
        <v>#N/A</v>
      </c>
      <c r="AM75" t="e">
        <f>IF(AA75=0,NA(),-'Drilling Spec'!$C$26*3/2)</f>
        <v>#N/A</v>
      </c>
    </row>
    <row r="76" spans="2:39" x14ac:dyDescent="0.35">
      <c r="B76" s="2">
        <f t="shared" si="31"/>
        <v>46044</v>
      </c>
      <c r="C76" t="str">
        <f t="shared" si="19"/>
        <v>Thu</v>
      </c>
      <c r="D76" s="10" t="s">
        <v>9</v>
      </c>
      <c r="E76" s="10">
        <v>16</v>
      </c>
      <c r="F76" s="4">
        <f t="shared" si="20"/>
        <v>16</v>
      </c>
      <c r="G76" s="4">
        <f t="shared" si="21"/>
        <v>792</v>
      </c>
      <c r="H76" s="4">
        <f t="shared" si="22"/>
        <v>960</v>
      </c>
      <c r="I76" s="15">
        <f>(SQRT(4*J75*J75*V*V + 'Drilling Spec'!$C$42*J75 + W*('Drilling Spec'!$C$43 + 2*l*V*(s*W + 2*V*H76/(1+e)) + 'Drilling Spec'!$C$44)) - 'Drilling Spec'!$C$45)/(2*V)</f>
        <v>709.67645900268076</v>
      </c>
      <c r="J76" s="16">
        <f>IF(AND(OR(J75=0,J75=""),G76=0),IF(G77=0,"",'Drilling Spec'!$C$26),I76)</f>
        <v>709.67645900268076</v>
      </c>
      <c r="K76" s="16">
        <f>MAX(0,J76-'Drilling Spec'!$C$30)</f>
        <v>629.67645900268076</v>
      </c>
      <c r="L76" s="18">
        <f>IFERROR(K76/'Drilling Spec'!$C$31,0)</f>
        <v>41.978430600178719</v>
      </c>
      <c r="M76" s="21">
        <f t="shared" si="23"/>
        <v>0</v>
      </c>
      <c r="N76" s="4">
        <f t="shared" si="30"/>
        <v>0</v>
      </c>
      <c r="O76" s="21">
        <f t="shared" si="24"/>
        <v>0</v>
      </c>
      <c r="P76" s="18">
        <f>(SQRT(4*P75*P75*vB*vB + 'Drilling Spec'!$C$48*P75 + WB*('Drilling Spec'!$C$49 + 2*lB*vB*(sB*WB + 2*vB*O76/(1+eB)) + 'Drilling Spec'!$C$50)) - 'Drilling Spec'!$C$51)/(2*vB)</f>
        <v>0</v>
      </c>
      <c r="Q76" s="18" t="str">
        <f>IF(AND(OR(R75=0,R75=""),N76=0),IF(N77=0,"",'Drilling Spec'!$C$30),P76)</f>
        <v/>
      </c>
      <c r="S76">
        <f t="shared" si="33"/>
        <v>46</v>
      </c>
      <c r="T76" s="10"/>
      <c r="U76">
        <f>IF('Baseline 2 - Good, 16hr'!L77&gt;'Baseline 2 - Good, 16hr'!S76,'Drilling Spec'!$C$36,)</f>
        <v>0</v>
      </c>
      <c r="W76" s="17">
        <f>(J76-'Drilling Spec'!$C$26)/'Drilling Spec'!$C$38</f>
        <v>106.61274316711346</v>
      </c>
      <c r="X76" s="17">
        <f t="shared" si="25"/>
        <v>1.6036879154201955</v>
      </c>
      <c r="Y76" s="17">
        <f t="shared" si="26"/>
        <v>6.6127431671134644</v>
      </c>
      <c r="Z76" s="10"/>
      <c r="AA76">
        <f>IF(Y76&lt;'Drilling Spec'!$C$39,,'Drilling Spec'!$C$39)</f>
        <v>0</v>
      </c>
      <c r="AD76" s="16">
        <f t="shared" si="27"/>
        <v>-709.67645900268076</v>
      </c>
      <c r="AE76" s="16" t="e">
        <f t="shared" si="28"/>
        <v>#N/A</v>
      </c>
      <c r="AF76">
        <f>-'Drilling Spec'!$C$29</f>
        <v>-720</v>
      </c>
      <c r="AG76">
        <f>-'Drilling Spec'!$C$27</f>
        <v>-624</v>
      </c>
      <c r="AH76">
        <f>-'Drilling Spec'!$C$28</f>
        <v>-688</v>
      </c>
      <c r="AI76" t="e">
        <f t="shared" si="29"/>
        <v>#N/A</v>
      </c>
      <c r="AJ76" t="e">
        <f>IF(T76=0,NA(),-'Drilling Spec'!$C$26/2)</f>
        <v>#N/A</v>
      </c>
      <c r="AK76" t="e">
        <f>IF(U76=0,NA(),-'Drilling Spec'!$C$26/2)</f>
        <v>#N/A</v>
      </c>
      <c r="AL76" t="e">
        <f>IF(Z76=0,NA(),-'Drilling Spec'!$C$26*3/2)</f>
        <v>#N/A</v>
      </c>
      <c r="AM76" t="e">
        <f>IF(AA76=0,NA(),-'Drilling Spec'!$C$26*3/2)</f>
        <v>#N/A</v>
      </c>
    </row>
    <row r="77" spans="2:39" x14ac:dyDescent="0.35">
      <c r="B77" s="2">
        <f t="shared" si="31"/>
        <v>46045</v>
      </c>
      <c r="C77" t="str">
        <f t="shared" si="19"/>
        <v>Fri</v>
      </c>
      <c r="D77" s="10" t="s">
        <v>9</v>
      </c>
      <c r="E77" s="10">
        <v>16</v>
      </c>
      <c r="F77" s="4">
        <f t="shared" si="20"/>
        <v>16</v>
      </c>
      <c r="G77" s="4">
        <f t="shared" si="21"/>
        <v>808</v>
      </c>
      <c r="H77" s="4">
        <f t="shared" si="22"/>
        <v>960</v>
      </c>
      <c r="I77" s="15">
        <f>(SQRT(4*J76*J76*V*V + 'Drilling Spec'!$C$42*J76 + W*('Drilling Spec'!$C$43 + 2*l*V*(s*W + 2*V*H77/(1+e)) + 'Drilling Spec'!$C$44)) - 'Drilling Spec'!$C$45)/(2*V)</f>
        <v>719.22438782276038</v>
      </c>
      <c r="J77" s="16">
        <f>IF(AND(OR(J76=0,J76=""),G77=0),IF(G78=0,"",'Drilling Spec'!$C$26),I77)</f>
        <v>719.22438782276038</v>
      </c>
      <c r="K77" s="16">
        <f>MAX(0,J77-'Drilling Spec'!$C$30)</f>
        <v>639.22438782276038</v>
      </c>
      <c r="L77" s="18">
        <f>IFERROR(K77/'Drilling Spec'!$C$31,0)</f>
        <v>42.614959188184024</v>
      </c>
      <c r="M77" s="21">
        <f t="shared" si="23"/>
        <v>0</v>
      </c>
      <c r="N77" s="4">
        <f t="shared" si="30"/>
        <v>0</v>
      </c>
      <c r="O77" s="21">
        <f t="shared" si="24"/>
        <v>0</v>
      </c>
      <c r="P77" s="18">
        <f>(SQRT(4*P76*P76*vB*vB + 'Drilling Spec'!$C$48*P76 + WB*('Drilling Spec'!$C$49 + 2*lB*vB*(sB*WB + 2*vB*O77/(1+eB)) + 'Drilling Spec'!$C$50)) - 'Drilling Spec'!$C$51)/(2*vB)</f>
        <v>0</v>
      </c>
      <c r="Q77" s="18">
        <f>IF(AND(OR(R76=0,R76=""),N77=0),IF(N78=0,"",'Drilling Spec'!$C$30),P77)</f>
        <v>80</v>
      </c>
      <c r="S77">
        <f t="shared" si="33"/>
        <v>46</v>
      </c>
      <c r="T77" s="10"/>
      <c r="U77">
        <f>IF('Baseline 2 - Good, 16hr'!L78&gt;'Baseline 2 - Good, 16hr'!S77,'Drilling Spec'!$C$36,)</f>
        <v>0</v>
      </c>
      <c r="W77" s="17">
        <f>(J77-'Drilling Spec'!$C$26)/'Drilling Spec'!$C$38</f>
        <v>108.20406463712673</v>
      </c>
      <c r="X77" s="17">
        <f t="shared" si="25"/>
        <v>1.5913214700132698</v>
      </c>
      <c r="Y77" s="17">
        <f t="shared" si="26"/>
        <v>8.2040646371267343</v>
      </c>
      <c r="Z77" s="10"/>
      <c r="AA77">
        <f>IF(Y77&lt;'Drilling Spec'!$C$39,,'Drilling Spec'!$C$39)</f>
        <v>0</v>
      </c>
      <c r="AD77" s="16">
        <f t="shared" si="27"/>
        <v>-719.22438782276038</v>
      </c>
      <c r="AE77" s="16">
        <f t="shared" si="28"/>
        <v>-80</v>
      </c>
      <c r="AF77">
        <f>-'Drilling Spec'!$C$29</f>
        <v>-720</v>
      </c>
      <c r="AG77">
        <f>-'Drilling Spec'!$C$27</f>
        <v>-624</v>
      </c>
      <c r="AH77">
        <f>-'Drilling Spec'!$C$28</f>
        <v>-688</v>
      </c>
      <c r="AI77" t="e">
        <f t="shared" si="29"/>
        <v>#N/A</v>
      </c>
      <c r="AJ77" t="e">
        <f>IF(T77=0,NA(),-'Drilling Spec'!$C$26/2)</f>
        <v>#N/A</v>
      </c>
      <c r="AK77" t="e">
        <f>IF(U77=0,NA(),-'Drilling Spec'!$C$26/2)</f>
        <v>#N/A</v>
      </c>
      <c r="AL77" t="e">
        <f>IF(Z77=0,NA(),-'Drilling Spec'!$C$26*3/2)</f>
        <v>#N/A</v>
      </c>
      <c r="AM77" t="e">
        <f>IF(AA77=0,NA(),-'Drilling Spec'!$C$26*3/2)</f>
        <v>#N/A</v>
      </c>
    </row>
    <row r="78" spans="2:39" x14ac:dyDescent="0.35">
      <c r="B78" s="2">
        <f t="shared" si="31"/>
        <v>46046</v>
      </c>
      <c r="C78" t="str">
        <f t="shared" si="19"/>
        <v>Sat</v>
      </c>
      <c r="D78" s="10" t="s">
        <v>10</v>
      </c>
      <c r="E78" s="10">
        <v>24</v>
      </c>
      <c r="F78" s="4">
        <f t="shared" si="20"/>
        <v>0</v>
      </c>
      <c r="G78" s="4">
        <f t="shared" si="21"/>
        <v>808</v>
      </c>
      <c r="H78" s="4">
        <f t="shared" si="22"/>
        <v>0</v>
      </c>
      <c r="I78" s="15">
        <f>(SQRT(4*J77*J77*V*V + 'Drilling Spec'!$C$42*J77 + W*('Drilling Spec'!$C$43 + 2*l*V*(s*W + 2*V*H78/(1+e)) + 'Drilling Spec'!$C$44)) - 'Drilling Spec'!$C$45)/(2*V)</f>
        <v>719.22438782276038</v>
      </c>
      <c r="J78" s="16">
        <f>IF(AND(OR(J77=0,J77=""),G78=0),IF(G79=0,"",'Drilling Spec'!$C$26),I78)</f>
        <v>719.22438782276038</v>
      </c>
      <c r="K78" s="16">
        <f>MAX(0,J78-'Drilling Spec'!$C$30)</f>
        <v>639.22438782276038</v>
      </c>
      <c r="L78" s="18">
        <f>IFERROR(K78/'Drilling Spec'!$C$31,0)</f>
        <v>42.614959188184024</v>
      </c>
      <c r="M78" s="21">
        <f t="shared" si="23"/>
        <v>24</v>
      </c>
      <c r="N78" s="4">
        <f t="shared" si="30"/>
        <v>24</v>
      </c>
      <c r="O78" s="21">
        <f t="shared" si="24"/>
        <v>1440</v>
      </c>
      <c r="P78" s="18">
        <f>(SQRT(4*P77*P77*vB*vB + 'Drilling Spec'!$C$48*P77 + WB*('Drilling Spec'!$C$49 + 2*lB*vB*(sB*WB + 2*vB*O78/(1+eB)) + 'Drilling Spec'!$C$50)) - 'Drilling Spec'!$C$51)/(2*vB)</f>
        <v>259.40331160292249</v>
      </c>
      <c r="Q78" s="18">
        <f>IF(AND(OR(R77=0,R77=""),N78=0),IF(N79=0,"",'Drilling Spec'!$C$30),P78)</f>
        <v>259.40331160292249</v>
      </c>
      <c r="S78">
        <f t="shared" si="33"/>
        <v>46</v>
      </c>
      <c r="T78" s="10"/>
      <c r="U78">
        <f>IF('Baseline 2 - Good, 16hr'!L79&gt;'Baseline 2 - Good, 16hr'!S78,'Drilling Spec'!$C$36,)</f>
        <v>0</v>
      </c>
      <c r="W78" s="17">
        <f>(J78-'Drilling Spec'!$C$26)/'Drilling Spec'!$C$38</f>
        <v>108.20406463712673</v>
      </c>
      <c r="X78" s="17">
        <f t="shared" si="25"/>
        <v>0</v>
      </c>
      <c r="Y78" s="17">
        <f t="shared" si="26"/>
        <v>8.2040646371267343</v>
      </c>
      <c r="Z78" s="10"/>
      <c r="AA78">
        <f>IF(Y78&lt;'Drilling Spec'!$C$39,,'Drilling Spec'!$C$39)</f>
        <v>0</v>
      </c>
      <c r="AD78" s="16">
        <f t="shared" si="27"/>
        <v>-719.22438782276038</v>
      </c>
      <c r="AE78" s="16">
        <f t="shared" si="28"/>
        <v>-259.40331160292249</v>
      </c>
      <c r="AF78">
        <f>-'Drilling Spec'!$C$29</f>
        <v>-720</v>
      </c>
      <c r="AG78">
        <f>-'Drilling Spec'!$C$27</f>
        <v>-624</v>
      </c>
      <c r="AH78">
        <f>-'Drilling Spec'!$C$28</f>
        <v>-688</v>
      </c>
      <c r="AI78" t="e">
        <f t="shared" si="29"/>
        <v>#N/A</v>
      </c>
      <c r="AJ78" t="e">
        <f>IF(T78=0,NA(),-'Drilling Spec'!$C$26/2)</f>
        <v>#N/A</v>
      </c>
      <c r="AK78" t="e">
        <f>IF(U78=0,NA(),-'Drilling Spec'!$C$26/2)</f>
        <v>#N/A</v>
      </c>
      <c r="AL78" t="e">
        <f>IF(Z78=0,NA(),-'Drilling Spec'!$C$26*3/2)</f>
        <v>#N/A</v>
      </c>
      <c r="AM78" t="e">
        <f>IF(AA78=0,NA(),-'Drilling Spec'!$C$26*3/2)</f>
        <v>#N/A</v>
      </c>
    </row>
    <row r="79" spans="2:39" x14ac:dyDescent="0.35">
      <c r="B79" s="2">
        <f t="shared" si="31"/>
        <v>46047</v>
      </c>
      <c r="C79" t="str">
        <f t="shared" si="19"/>
        <v>Sun</v>
      </c>
      <c r="D79" s="10" t="s">
        <v>10</v>
      </c>
      <c r="E79" s="10">
        <v>24</v>
      </c>
      <c r="F79" s="4">
        <f t="shared" si="20"/>
        <v>0</v>
      </c>
      <c r="G79" s="4">
        <f t="shared" si="21"/>
        <v>808</v>
      </c>
      <c r="H79" s="4">
        <f t="shared" si="22"/>
        <v>0</v>
      </c>
      <c r="I79" s="15">
        <f>(SQRT(4*J78*J78*V*V + 'Drilling Spec'!$C$42*J78 + W*('Drilling Spec'!$C$43 + 2*l*V*(s*W + 2*V*H79/(1+e)) + 'Drilling Spec'!$C$44)) - 'Drilling Spec'!$C$45)/(2*V)</f>
        <v>719.22438782276038</v>
      </c>
      <c r="J79" s="16">
        <f>IF(AND(OR(J78=0,J78=""),G79=0),IF(G80=0,"",'Drilling Spec'!$C$26),I79)</f>
        <v>719.22438782276038</v>
      </c>
      <c r="K79" s="16">
        <f>MAX(0,J79-'Drilling Spec'!$C$30)</f>
        <v>639.22438782276038</v>
      </c>
      <c r="L79" s="18">
        <f>IFERROR(K79/'Drilling Spec'!$C$31,0)</f>
        <v>42.614959188184024</v>
      </c>
      <c r="M79" s="21">
        <f t="shared" si="23"/>
        <v>24</v>
      </c>
      <c r="N79" s="4">
        <f t="shared" si="30"/>
        <v>48</v>
      </c>
      <c r="O79" s="21">
        <f t="shared" si="24"/>
        <v>1440</v>
      </c>
      <c r="P79" s="18">
        <f>(SQRT(4*P78*P78*vB*vB + 'Drilling Spec'!$C$48*P78 + WB*('Drilling Spec'!$C$49 + 2*lB*vB*(sB*WB + 2*vB*O79/(1+eB)) + 'Drilling Spec'!$C$50)) - 'Drilling Spec'!$C$51)/(2*vB)</f>
        <v>400.47129457899786</v>
      </c>
      <c r="Q79" s="18">
        <f>IF(AND(OR(R78=0,R78=""),N79=0),IF(N80=0,"",'Drilling Spec'!$C$30),P79)</f>
        <v>400.47129457899786</v>
      </c>
      <c r="S79">
        <f t="shared" si="33"/>
        <v>46</v>
      </c>
      <c r="T79" s="10"/>
      <c r="U79">
        <f>IF('Baseline 2 - Good, 16hr'!L80&gt;'Baseline 2 - Good, 16hr'!S79,'Drilling Spec'!$C$36,)</f>
        <v>0</v>
      </c>
      <c r="W79" s="17">
        <f>(J79-'Drilling Spec'!$C$26)/'Drilling Spec'!$C$38</f>
        <v>108.20406463712673</v>
      </c>
      <c r="X79" s="17">
        <f t="shared" si="25"/>
        <v>0</v>
      </c>
      <c r="Y79" s="17">
        <f t="shared" si="26"/>
        <v>8.2040646371267343</v>
      </c>
      <c r="Z79" s="10"/>
      <c r="AA79">
        <f>IF(Y79&lt;'Drilling Spec'!$C$39,,'Drilling Spec'!$C$39)</f>
        <v>0</v>
      </c>
      <c r="AD79" s="16">
        <f t="shared" si="27"/>
        <v>-719.22438782276038</v>
      </c>
      <c r="AE79" s="16">
        <f t="shared" si="28"/>
        <v>-400.47129457899786</v>
      </c>
      <c r="AF79">
        <f>-'Drilling Spec'!$C$29</f>
        <v>-720</v>
      </c>
      <c r="AG79">
        <f>-'Drilling Spec'!$C$27</f>
        <v>-624</v>
      </c>
      <c r="AH79">
        <f>-'Drilling Spec'!$C$28</f>
        <v>-688</v>
      </c>
      <c r="AI79" t="e">
        <f t="shared" si="29"/>
        <v>#N/A</v>
      </c>
      <c r="AJ79" t="e">
        <f>IF(T79=0,NA(),-'Drilling Spec'!$C$26/2)</f>
        <v>#N/A</v>
      </c>
      <c r="AK79" t="e">
        <f>IF(U79=0,NA(),-'Drilling Spec'!$C$26/2)</f>
        <v>#N/A</v>
      </c>
      <c r="AL79" t="e">
        <f>IF(Z79=0,NA(),-'Drilling Spec'!$C$26*3/2)</f>
        <v>#N/A</v>
      </c>
      <c r="AM79" t="e">
        <f>IF(AA79=0,NA(),-'Drilling Spec'!$C$26*3/2)</f>
        <v>#N/A</v>
      </c>
    </row>
    <row r="80" spans="2:39" x14ac:dyDescent="0.35">
      <c r="B80" s="2">
        <f t="shared" si="31"/>
        <v>46048</v>
      </c>
      <c r="C80" t="str">
        <f t="shared" si="19"/>
        <v>Mon</v>
      </c>
      <c r="D80" s="10" t="s">
        <v>10</v>
      </c>
      <c r="E80" s="10">
        <v>24</v>
      </c>
      <c r="F80" s="4">
        <f t="shared" si="20"/>
        <v>0</v>
      </c>
      <c r="G80" s="4">
        <f t="shared" si="21"/>
        <v>808</v>
      </c>
      <c r="H80" s="4">
        <f t="shared" si="22"/>
        <v>0</v>
      </c>
      <c r="I80" s="15">
        <f>(SQRT(4*J79*J79*V*V + 'Drilling Spec'!$C$42*J79 + W*('Drilling Spec'!$C$43 + 2*l*V*(s*W + 2*V*H80/(1+e)) + 'Drilling Spec'!$C$44)) - 'Drilling Spec'!$C$45)/(2*V)</f>
        <v>719.22438782276038</v>
      </c>
      <c r="J80" s="16">
        <f>IF(AND(OR(J79=0,J79=""),G80=0),IF(G81=0,"",'Drilling Spec'!$C$26),I80)</f>
        <v>719.22438782276038</v>
      </c>
      <c r="K80" s="16">
        <f>MAX(0,J80-'Drilling Spec'!$C$30)</f>
        <v>639.22438782276038</v>
      </c>
      <c r="L80" s="18">
        <f>IFERROR(K80/'Drilling Spec'!$C$31,0)</f>
        <v>42.614959188184024</v>
      </c>
      <c r="M80" s="21">
        <f t="shared" si="23"/>
        <v>24</v>
      </c>
      <c r="N80" s="4">
        <f t="shared" si="30"/>
        <v>72</v>
      </c>
      <c r="O80" s="21">
        <f t="shared" si="24"/>
        <v>1440</v>
      </c>
      <c r="P80" s="18">
        <f>(SQRT(4*P79*P79*vB*vB + 'Drilling Spec'!$C$48*P79 + WB*('Drilling Spec'!$C$49 + 2*lB*vB*(sB*WB + 2*vB*O80/(1+eB)) + 'Drilling Spec'!$C$50)) - 'Drilling Spec'!$C$51)/(2*vB)</f>
        <v>510.1938307186208</v>
      </c>
      <c r="Q80" s="18">
        <f>IF(AND(OR(R79=0,R79=""),N80=0),IF(N81=0,"",'Drilling Spec'!$C$30),P80)</f>
        <v>510.1938307186208</v>
      </c>
      <c r="S80">
        <f t="shared" si="33"/>
        <v>46</v>
      </c>
      <c r="T80" s="10"/>
      <c r="U80">
        <f>IF('Baseline 2 - Good, 16hr'!L81&gt;'Baseline 2 - Good, 16hr'!S80,'Drilling Spec'!$C$36,)</f>
        <v>0</v>
      </c>
      <c r="W80" s="17">
        <f>(J80-'Drilling Spec'!$C$26)/'Drilling Spec'!$C$38</f>
        <v>108.20406463712673</v>
      </c>
      <c r="X80" s="17">
        <f t="shared" si="25"/>
        <v>0</v>
      </c>
      <c r="Y80" s="17">
        <f t="shared" si="26"/>
        <v>8.2040646371267343</v>
      </c>
      <c r="Z80" s="10"/>
      <c r="AA80">
        <f>IF(Y80&lt;'Drilling Spec'!$C$39,,'Drilling Spec'!$C$39)</f>
        <v>0</v>
      </c>
      <c r="AD80" s="16">
        <f t="shared" si="27"/>
        <v>-719.22438782276038</v>
      </c>
      <c r="AE80" s="16">
        <f t="shared" si="28"/>
        <v>-510.1938307186208</v>
      </c>
      <c r="AF80">
        <f>-'Drilling Spec'!$C$29</f>
        <v>-720</v>
      </c>
      <c r="AG80">
        <f>-'Drilling Spec'!$C$27</f>
        <v>-624</v>
      </c>
      <c r="AH80">
        <f>-'Drilling Spec'!$C$28</f>
        <v>-688</v>
      </c>
      <c r="AI80" t="e">
        <f t="shared" si="29"/>
        <v>#N/A</v>
      </c>
      <c r="AJ80" t="e">
        <f>IF(T80=0,NA(),-'Drilling Spec'!$C$26/2)</f>
        <v>#N/A</v>
      </c>
      <c r="AK80" t="e">
        <f>IF(U80=0,NA(),-'Drilling Spec'!$C$26/2)</f>
        <v>#N/A</v>
      </c>
      <c r="AL80" t="e">
        <f>IF(Z80=0,NA(),-'Drilling Spec'!$C$26*3/2)</f>
        <v>#N/A</v>
      </c>
      <c r="AM80" t="e">
        <f>IF(AA80=0,NA(),-'Drilling Spec'!$C$26*3/2)</f>
        <v>#N/A</v>
      </c>
    </row>
    <row r="81" spans="2:39" x14ac:dyDescent="0.35">
      <c r="B81" s="2">
        <f t="shared" si="31"/>
        <v>46049</v>
      </c>
      <c r="C81" t="str">
        <f t="shared" si="19"/>
        <v>Tue</v>
      </c>
      <c r="D81" s="10" t="s">
        <v>10</v>
      </c>
      <c r="E81" s="10">
        <v>24</v>
      </c>
      <c r="F81" s="4">
        <f t="shared" si="20"/>
        <v>0</v>
      </c>
      <c r="G81" s="4">
        <f t="shared" si="21"/>
        <v>808</v>
      </c>
      <c r="H81" s="4">
        <f t="shared" si="22"/>
        <v>0</v>
      </c>
      <c r="I81" s="15">
        <f>(SQRT(4*J80*J80*V*V + 'Drilling Spec'!$C$42*J80 + W*('Drilling Spec'!$C$43 + 2*l*V*(s*W + 2*V*H81/(1+e)) + 'Drilling Spec'!$C$44)) - 'Drilling Spec'!$C$45)/(2*V)</f>
        <v>719.22438782276038</v>
      </c>
      <c r="J81" s="16">
        <f>IF(AND(OR(J80=0,J80=""),G81=0),IF(G82=0,"",'Drilling Spec'!$C$26),I81)</f>
        <v>719.22438782276038</v>
      </c>
      <c r="K81" s="16">
        <f>MAX(0,J81-'Drilling Spec'!$C$30)</f>
        <v>639.22438782276038</v>
      </c>
      <c r="L81" s="18">
        <f>IFERROR(K81/'Drilling Spec'!$C$31,0)</f>
        <v>42.614959188184024</v>
      </c>
      <c r="M81" s="21">
        <f t="shared" si="23"/>
        <v>24</v>
      </c>
      <c r="N81" s="4">
        <f t="shared" si="30"/>
        <v>96</v>
      </c>
      <c r="O81" s="21">
        <f t="shared" si="24"/>
        <v>1440</v>
      </c>
      <c r="P81" s="18">
        <f>(SQRT(4*P80*P80*vB*vB + 'Drilling Spec'!$C$48*P80 + WB*('Drilling Spec'!$C$49 + 2*lB*vB*(sB*WB + 2*vB*O81/(1+eB)) + 'Drilling Spec'!$C$50)) - 'Drilling Spec'!$C$51)/(2*vB)</f>
        <v>603.20853687666511</v>
      </c>
      <c r="Q81" s="18">
        <f>IF(AND(OR(R80=0,R80=""),N81=0),IF(N82=0,"",'Drilling Spec'!$C$30),P81)</f>
        <v>603.20853687666511</v>
      </c>
      <c r="S81">
        <f t="shared" si="33"/>
        <v>46</v>
      </c>
      <c r="T81" s="10"/>
      <c r="U81">
        <f>IF('Baseline 2 - Good, 16hr'!L82&gt;'Baseline 2 - Good, 16hr'!S81,'Drilling Spec'!$C$36,)</f>
        <v>0</v>
      </c>
      <c r="W81" s="17">
        <f>(J81-'Drilling Spec'!$C$26)/'Drilling Spec'!$C$38</f>
        <v>108.20406463712673</v>
      </c>
      <c r="X81" s="17">
        <f t="shared" si="25"/>
        <v>0</v>
      </c>
      <c r="Y81" s="17">
        <f t="shared" si="26"/>
        <v>8.2040646371267343</v>
      </c>
      <c r="Z81" s="10"/>
      <c r="AA81">
        <f>IF(Y81&lt;'Drilling Spec'!$C$39,,'Drilling Spec'!$C$39)</f>
        <v>0</v>
      </c>
      <c r="AD81" s="16">
        <f t="shared" si="27"/>
        <v>-719.22438782276038</v>
      </c>
      <c r="AE81" s="16">
        <f t="shared" si="28"/>
        <v>-603.20853687666511</v>
      </c>
      <c r="AF81">
        <f>-'Drilling Spec'!$C$29</f>
        <v>-720</v>
      </c>
      <c r="AG81">
        <f>-'Drilling Spec'!$C$27</f>
        <v>-624</v>
      </c>
      <c r="AH81">
        <f>-'Drilling Spec'!$C$28</f>
        <v>-688</v>
      </c>
      <c r="AI81" t="e">
        <f t="shared" si="29"/>
        <v>#N/A</v>
      </c>
      <c r="AJ81" t="e">
        <f>IF(T81=0,NA(),-'Drilling Spec'!$C$26/2)</f>
        <v>#N/A</v>
      </c>
      <c r="AK81" t="e">
        <f>IF(U81=0,NA(),-'Drilling Spec'!$C$26/2)</f>
        <v>#N/A</v>
      </c>
      <c r="AL81" t="e">
        <f>IF(Z81=0,NA(),-'Drilling Spec'!$C$26*3/2)</f>
        <v>#N/A</v>
      </c>
      <c r="AM81" t="e">
        <f>IF(AA81=0,NA(),-'Drilling Spec'!$C$26*3/2)</f>
        <v>#N/A</v>
      </c>
    </row>
    <row r="82" spans="2:39" x14ac:dyDescent="0.35">
      <c r="B82" s="2">
        <f t="shared" si="31"/>
        <v>46050</v>
      </c>
      <c r="C82" t="str">
        <f t="shared" si="19"/>
        <v>Wed</v>
      </c>
      <c r="D82" s="10" t="s">
        <v>7</v>
      </c>
      <c r="E82" s="10">
        <v>0</v>
      </c>
      <c r="F82" s="4">
        <f t="shared" si="20"/>
        <v>0</v>
      </c>
      <c r="G82" s="4">
        <f t="shared" si="21"/>
        <v>808</v>
      </c>
      <c r="H82" s="4">
        <f t="shared" si="22"/>
        <v>0</v>
      </c>
      <c r="I82" s="15">
        <f>(SQRT(4*J81*J81*V*V + 'Drilling Spec'!$C$42*J81 + W*('Drilling Spec'!$C$43 + 2*l*V*(s*W + 2*V*H82/(1+e)) + 'Drilling Spec'!$C$44)) - 'Drilling Spec'!$C$45)/(2*V)</f>
        <v>719.22438782276038</v>
      </c>
      <c r="J82" s="16">
        <f>IF(AND(OR(J81=0,J81=""),G82=0),IF(G83=0,"",'Drilling Spec'!$C$26),I82)</f>
        <v>719.22438782276038</v>
      </c>
      <c r="K82" s="16">
        <f>MAX(0,J82-'Drilling Spec'!$C$30)</f>
        <v>639.22438782276038</v>
      </c>
      <c r="L82" s="18">
        <f>IFERROR(K82/'Drilling Spec'!$C$31,0)</f>
        <v>42.614959188184024</v>
      </c>
      <c r="M82" s="21">
        <f t="shared" si="23"/>
        <v>0</v>
      </c>
      <c r="N82" s="4">
        <f t="shared" si="30"/>
        <v>96</v>
      </c>
      <c r="O82" s="21">
        <f t="shared" si="24"/>
        <v>0</v>
      </c>
      <c r="P82" s="18">
        <f>(SQRT(4*P81*P81*vB*vB + 'Drilling Spec'!$C$48*P81 + WB*('Drilling Spec'!$C$49 + 2*lB*vB*(sB*WB + 2*vB*O82/(1+eB)) + 'Drilling Spec'!$C$50)) - 'Drilling Spec'!$C$51)/(2*vB)</f>
        <v>603.20853687666511</v>
      </c>
      <c r="Q82" s="18">
        <f>IF(AND(OR(R81=0,R81=""),N82=0),IF(N83=0,"",'Drilling Spec'!$C$30),P82)</f>
        <v>603.20853687666511</v>
      </c>
      <c r="S82">
        <f t="shared" si="33"/>
        <v>46</v>
      </c>
      <c r="T82" s="10"/>
      <c r="U82">
        <f>IF('Baseline 2 - Good, 16hr'!L83&gt;'Baseline 2 - Good, 16hr'!S82,'Drilling Spec'!$C$36,)</f>
        <v>0</v>
      </c>
      <c r="W82" s="17">
        <f>(J82-'Drilling Spec'!$C$26)/'Drilling Spec'!$C$38</f>
        <v>108.20406463712673</v>
      </c>
      <c r="X82" s="17">
        <f t="shared" si="25"/>
        <v>0</v>
      </c>
      <c r="Y82" s="17">
        <f t="shared" si="26"/>
        <v>8.2040646371267343</v>
      </c>
      <c r="Z82" s="10"/>
      <c r="AA82">
        <f>IF(Y82&lt;'Drilling Spec'!$C$39,,'Drilling Spec'!$C$39)</f>
        <v>0</v>
      </c>
      <c r="AD82" s="16">
        <f t="shared" si="27"/>
        <v>-719.22438782276038</v>
      </c>
      <c r="AE82" s="16">
        <f t="shared" si="28"/>
        <v>-603.20853687666511</v>
      </c>
      <c r="AF82">
        <f>-'Drilling Spec'!$C$29</f>
        <v>-720</v>
      </c>
      <c r="AG82">
        <f>-'Drilling Spec'!$C$27</f>
        <v>-624</v>
      </c>
      <c r="AH82">
        <f>-'Drilling Spec'!$C$28</f>
        <v>-688</v>
      </c>
      <c r="AI82" t="e">
        <f t="shared" si="29"/>
        <v>#N/A</v>
      </c>
      <c r="AJ82" t="e">
        <f>IF(T82=0,NA(),-'Drilling Spec'!$C$26/2)</f>
        <v>#N/A</v>
      </c>
      <c r="AK82" t="e">
        <f>IF(U82=0,NA(),-'Drilling Spec'!$C$26/2)</f>
        <v>#N/A</v>
      </c>
      <c r="AL82" t="e">
        <f>IF(Z82=0,NA(),-'Drilling Spec'!$C$26*3/2)</f>
        <v>#N/A</v>
      </c>
      <c r="AM82" t="e">
        <f>IF(AA82=0,NA(),-'Drilling Spec'!$C$26*3/2)</f>
        <v>#N/A</v>
      </c>
    </row>
    <row r="83" spans="2:39" x14ac:dyDescent="0.35">
      <c r="B83" s="2">
        <f t="shared" si="31"/>
        <v>46051</v>
      </c>
      <c r="C83" t="str">
        <f t="shared" si="19"/>
        <v>Thu</v>
      </c>
      <c r="D83" s="10" t="s">
        <v>10</v>
      </c>
      <c r="E83" s="10">
        <v>24</v>
      </c>
      <c r="F83" s="4">
        <f t="shared" si="20"/>
        <v>0</v>
      </c>
      <c r="G83" s="4">
        <f t="shared" si="21"/>
        <v>808</v>
      </c>
      <c r="H83" s="4">
        <f t="shared" si="22"/>
        <v>0</v>
      </c>
      <c r="I83" s="15">
        <f>(SQRT(4*J82*J82*V*V + 'Drilling Spec'!$C$42*J82 + W*('Drilling Spec'!$C$43 + 2*l*V*(s*W + 2*V*H83/(1+e)) + 'Drilling Spec'!$C$44)) - 'Drilling Spec'!$C$45)/(2*V)</f>
        <v>719.22438782276038</v>
      </c>
      <c r="J83" s="16">
        <f>IF(AND(OR(J82=0,J82=""),G83=0),IF(G84=0,"",'Drilling Spec'!$C$26),I83)</f>
        <v>719.22438782276038</v>
      </c>
      <c r="K83" s="16">
        <f>MAX(0,J83-'Drilling Spec'!$C$30)</f>
        <v>639.22438782276038</v>
      </c>
      <c r="L83" s="18">
        <f>IFERROR(K83/'Drilling Spec'!$C$31,0)</f>
        <v>42.614959188184024</v>
      </c>
      <c r="M83" s="21">
        <f t="shared" si="23"/>
        <v>24</v>
      </c>
      <c r="N83" s="4">
        <f t="shared" si="30"/>
        <v>120</v>
      </c>
      <c r="O83" s="21">
        <f t="shared" si="24"/>
        <v>1440</v>
      </c>
      <c r="P83" s="18">
        <f>(SQRT(4*P82*P82*vB*vB + 'Drilling Spec'!$C$48*P82 + WB*('Drilling Spec'!$C$49 + 2*lB*vB*(sB*WB + 2*vB*O83/(1+eB)) + 'Drilling Spec'!$C$50)) - 'Drilling Spec'!$C$51)/(2*vB)</f>
        <v>685.40606744913521</v>
      </c>
      <c r="Q83" s="18">
        <f>IF(AND(OR(R82=0,R82=""),N83=0),IF(N84=0,"",'Drilling Spec'!$C$30),P83)</f>
        <v>685.40606744913521</v>
      </c>
      <c r="S83">
        <f t="shared" si="33"/>
        <v>46</v>
      </c>
      <c r="T83" s="10"/>
      <c r="U83">
        <f>IF('Baseline 2 - Good, 16hr'!L84&gt;'Baseline 2 - Good, 16hr'!S83,'Drilling Spec'!$C$36,)</f>
        <v>0</v>
      </c>
      <c r="W83" s="17">
        <f>(J83-'Drilling Spec'!$C$26)/'Drilling Spec'!$C$38</f>
        <v>108.20406463712673</v>
      </c>
      <c r="X83" s="17">
        <f t="shared" si="25"/>
        <v>0</v>
      </c>
      <c r="Y83" s="17">
        <f t="shared" si="26"/>
        <v>8.2040646371267343</v>
      </c>
      <c r="Z83" s="10"/>
      <c r="AA83">
        <f>IF(Y83&lt;'Drilling Spec'!$C$39,,'Drilling Spec'!$C$39)</f>
        <v>0</v>
      </c>
      <c r="AD83" s="16">
        <f t="shared" si="27"/>
        <v>-719.22438782276038</v>
      </c>
      <c r="AE83" s="16">
        <f t="shared" si="28"/>
        <v>-685.40606744913521</v>
      </c>
      <c r="AF83">
        <f>-'Drilling Spec'!$C$29</f>
        <v>-720</v>
      </c>
      <c r="AG83">
        <f>-'Drilling Spec'!$C$27</f>
        <v>-624</v>
      </c>
      <c r="AH83">
        <f>-'Drilling Spec'!$C$28</f>
        <v>-688</v>
      </c>
      <c r="AI83" t="e">
        <f t="shared" si="29"/>
        <v>#N/A</v>
      </c>
      <c r="AJ83" t="e">
        <f>IF(T83=0,NA(),-'Drilling Spec'!$C$26/2)</f>
        <v>#N/A</v>
      </c>
      <c r="AK83" t="e">
        <f>IF(U83=0,NA(),-'Drilling Spec'!$C$26/2)</f>
        <v>#N/A</v>
      </c>
      <c r="AL83" t="e">
        <f>IF(Z83=0,NA(),-'Drilling Spec'!$C$26*3/2)</f>
        <v>#N/A</v>
      </c>
      <c r="AM83" t="e">
        <f>IF(AA83=0,NA(),-'Drilling Spec'!$C$26*3/2)</f>
        <v>#N/A</v>
      </c>
    </row>
    <row r="84" spans="2:39" x14ac:dyDescent="0.35">
      <c r="B84" s="2">
        <f t="shared" si="31"/>
        <v>46052</v>
      </c>
      <c r="C84" t="str">
        <f t="shared" si="19"/>
        <v>Fri</v>
      </c>
      <c r="D84" s="10" t="s">
        <v>10</v>
      </c>
      <c r="E84" s="10">
        <v>24</v>
      </c>
      <c r="F84" s="4">
        <f t="shared" si="20"/>
        <v>0</v>
      </c>
      <c r="G84" s="4">
        <f t="shared" si="21"/>
        <v>808</v>
      </c>
      <c r="H84" s="4">
        <f t="shared" si="22"/>
        <v>0</v>
      </c>
      <c r="I84" s="15">
        <f>(SQRT(4*J83*J83*V*V + 'Drilling Spec'!$C$42*J83 + W*('Drilling Spec'!$C$43 + 2*l*V*(s*W + 2*V*H84/(1+e)) + 'Drilling Spec'!$C$44)) - 'Drilling Spec'!$C$45)/(2*V)</f>
        <v>719.22438782276038</v>
      </c>
      <c r="J84" s="16">
        <f>IF(AND(OR(J83=0,J83=""),G84=0),IF(G85=0,"",'Drilling Spec'!$C$26),I84)</f>
        <v>719.22438782276038</v>
      </c>
      <c r="K84" s="16">
        <f>MAX(0,J84-'Drilling Spec'!$C$30)</f>
        <v>639.22438782276038</v>
      </c>
      <c r="L84" s="18">
        <f>IFERROR(K84/'Drilling Spec'!$C$31,0)</f>
        <v>42.614959188184024</v>
      </c>
      <c r="M84" s="21">
        <f t="shared" si="23"/>
        <v>24</v>
      </c>
      <c r="N84" s="4">
        <f t="shared" si="30"/>
        <v>144</v>
      </c>
      <c r="O84" s="21">
        <f t="shared" si="24"/>
        <v>1440</v>
      </c>
      <c r="P84" s="18">
        <f>(SQRT(4*P83*P83*vB*vB + 'Drilling Spec'!$C$48*P83 + WB*('Drilling Spec'!$C$49 + 2*lB*vB*(sB*WB + 2*vB*O84/(1+eB)) + 'Drilling Spec'!$C$50)) - 'Drilling Spec'!$C$51)/(2*vB)</f>
        <v>759.86189926823238</v>
      </c>
      <c r="Q84" s="18">
        <f>IF(AND(OR(R83=0,R83=""),N84=0),IF(N85=0,"",'Drilling Spec'!$C$30),P84)</f>
        <v>759.86189926823238</v>
      </c>
      <c r="S84">
        <f t="shared" si="33"/>
        <v>46</v>
      </c>
      <c r="T84" s="10"/>
      <c r="U84">
        <f>IF('Baseline 2 - Good, 16hr'!L85&gt;'Baseline 2 - Good, 16hr'!S84,'Drilling Spec'!$C$36,)</f>
        <v>0</v>
      </c>
      <c r="W84" s="17">
        <f>(J84-'Drilling Spec'!$C$26)/'Drilling Spec'!$C$38</f>
        <v>108.20406463712673</v>
      </c>
      <c r="X84" s="17">
        <f t="shared" si="25"/>
        <v>0</v>
      </c>
      <c r="Y84" s="17">
        <f t="shared" si="26"/>
        <v>8.2040646371267343</v>
      </c>
      <c r="Z84" s="10"/>
      <c r="AA84">
        <f>IF(Y84&lt;'Drilling Spec'!$C$39,,'Drilling Spec'!$C$39)</f>
        <v>0</v>
      </c>
      <c r="AD84" s="16">
        <f t="shared" si="27"/>
        <v>-719.22438782276038</v>
      </c>
      <c r="AE84" s="16">
        <f t="shared" si="28"/>
        <v>-759.86189926823238</v>
      </c>
      <c r="AF84">
        <f>-'Drilling Spec'!$C$29</f>
        <v>-720</v>
      </c>
      <c r="AG84">
        <f>-'Drilling Spec'!$C$27</f>
        <v>-624</v>
      </c>
      <c r="AH84">
        <f>-'Drilling Spec'!$C$28</f>
        <v>-688</v>
      </c>
      <c r="AI84" t="e">
        <f t="shared" si="29"/>
        <v>#N/A</v>
      </c>
      <c r="AJ84" t="e">
        <f>IF(T84=0,NA(),-'Drilling Spec'!$C$26/2)</f>
        <v>#N/A</v>
      </c>
      <c r="AK84" t="e">
        <f>IF(U84=0,NA(),-'Drilling Spec'!$C$26/2)</f>
        <v>#N/A</v>
      </c>
      <c r="AL84" t="e">
        <f>IF(Z84=0,NA(),-'Drilling Spec'!$C$26*3/2)</f>
        <v>#N/A</v>
      </c>
      <c r="AM84" t="e">
        <f>IF(AA84=0,NA(),-'Drilling Spec'!$C$26*3/2)</f>
        <v>#N/A</v>
      </c>
    </row>
    <row r="85" spans="2:39" x14ac:dyDescent="0.35">
      <c r="B85" s="2">
        <f>B84+1</f>
        <v>46053</v>
      </c>
      <c r="C85" t="str">
        <f t="shared" si="19"/>
        <v>Sat</v>
      </c>
      <c r="D85" s="10" t="s">
        <v>68</v>
      </c>
      <c r="E85" s="10">
        <v>12</v>
      </c>
      <c r="F85" s="4">
        <f t="shared" si="20"/>
        <v>0</v>
      </c>
      <c r="G85" s="4">
        <f t="shared" si="21"/>
        <v>808</v>
      </c>
      <c r="H85" s="4">
        <f t="shared" si="22"/>
        <v>0</v>
      </c>
      <c r="I85" s="15">
        <f>(SQRT(4*J84*J84*V*V + 'Drilling Spec'!$C$42*J84 + W*('Drilling Spec'!$C$43 + 2*l*V*(s*W + 2*V*H85/(1+e)) + 'Drilling Spec'!$C$44)) - 'Drilling Spec'!$C$45)/(2*V)</f>
        <v>719.22438782276038</v>
      </c>
      <c r="J85" s="16">
        <f>IF(AND(OR(J84=0,J84=""),G85=0),IF(G86=0,"",'Drilling Spec'!$C$26),I85)</f>
        <v>719.22438782276038</v>
      </c>
      <c r="K85" s="16">
        <f>MAX(0,J85-'Drilling Spec'!$C$30)</f>
        <v>639.22438782276038</v>
      </c>
      <c r="L85" s="18">
        <f>IFERROR(K85/'Drilling Spec'!$C$31,0)</f>
        <v>42.614959188184024</v>
      </c>
      <c r="M85" s="21">
        <f t="shared" si="23"/>
        <v>0</v>
      </c>
      <c r="N85" s="4">
        <f t="shared" si="30"/>
        <v>144</v>
      </c>
      <c r="O85" s="21">
        <f t="shared" si="24"/>
        <v>0</v>
      </c>
      <c r="P85" s="18">
        <f>(SQRT(4*P84*P84*vB*vB + 'Drilling Spec'!$C$48*P84 + WB*('Drilling Spec'!$C$49 + 2*lB*vB*(sB*WB + 2*vB*O85/(1+eB)) + 'Drilling Spec'!$C$50)) - 'Drilling Spec'!$C$51)/(2*vB)</f>
        <v>759.86189926823238</v>
      </c>
      <c r="Q85" s="18">
        <f>IF(AND(OR(R84=0,R84=""),N85=0),IF(N86=0,"",'Drilling Spec'!$C$30),P85)</f>
        <v>759.86189926823238</v>
      </c>
      <c r="S85">
        <f t="shared" si="33"/>
        <v>46</v>
      </c>
      <c r="T85" s="10"/>
      <c r="U85">
        <f>IF('Baseline 2 - Good, 16hr'!L86&gt;'Baseline 2 - Good, 16hr'!S85,'Drilling Spec'!$C$36,)</f>
        <v>0</v>
      </c>
      <c r="W85" s="17">
        <f>(J85-'Drilling Spec'!$C$26)/'Drilling Spec'!$C$38</f>
        <v>108.20406463712673</v>
      </c>
      <c r="X85" s="17">
        <f t="shared" si="25"/>
        <v>0</v>
      </c>
      <c r="Y85" s="17">
        <f t="shared" si="26"/>
        <v>8.2040646371267343</v>
      </c>
      <c r="Z85" s="10"/>
      <c r="AA85">
        <f>IF(Y85&lt;'Drilling Spec'!$C$39,,'Drilling Spec'!$C$39)</f>
        <v>0</v>
      </c>
      <c r="AD85" s="16">
        <f t="shared" si="27"/>
        <v>-719.22438782276038</v>
      </c>
      <c r="AE85" s="16">
        <f t="shared" si="28"/>
        <v>-759.86189926823238</v>
      </c>
      <c r="AF85">
        <f>-'Drilling Spec'!$C$29</f>
        <v>-720</v>
      </c>
      <c r="AG85">
        <f>-'Drilling Spec'!$C$27</f>
        <v>-624</v>
      </c>
      <c r="AH85">
        <f>-'Drilling Spec'!$C$28</f>
        <v>-688</v>
      </c>
      <c r="AI85" t="e">
        <f t="shared" si="29"/>
        <v>#N/A</v>
      </c>
      <c r="AJ85" t="e">
        <f>IF(T85=0,NA(),-'Drilling Spec'!$C$26/2)</f>
        <v>#N/A</v>
      </c>
      <c r="AK85" t="e">
        <f>IF(U85=0,NA(),-'Drilling Spec'!$C$26/2)</f>
        <v>#N/A</v>
      </c>
      <c r="AL85" t="e">
        <f>IF(Z85=0,NA(),-'Drilling Spec'!$C$26*3/2)</f>
        <v>#N/A</v>
      </c>
      <c r="AM85" t="e">
        <f>IF(AA85=0,NA(),-'Drilling Spec'!$C$26*3/2)</f>
        <v>#N/A</v>
      </c>
    </row>
    <row r="86" spans="2:39" x14ac:dyDescent="0.35">
      <c r="B86" s="2">
        <f t="shared" ref="B86" si="34">B85+1</f>
        <v>46054</v>
      </c>
      <c r="C86" t="str">
        <f t="shared" si="19"/>
        <v>Sun</v>
      </c>
      <c r="D86" s="10" t="s">
        <v>68</v>
      </c>
      <c r="E86" s="10">
        <v>12</v>
      </c>
      <c r="F86" s="4">
        <f t="shared" si="20"/>
        <v>0</v>
      </c>
      <c r="G86" s="4">
        <f t="shared" si="21"/>
        <v>808</v>
      </c>
      <c r="H86" s="4">
        <f t="shared" si="22"/>
        <v>0</v>
      </c>
      <c r="I86" s="15">
        <f>(SQRT(4*J85*J85*V*V + 'Drilling Spec'!$C$42*J85 + W*('Drilling Spec'!$C$43 + 2*l*V*(s*W + 2*V*H86/(1+e)) + 'Drilling Spec'!$C$44)) - 'Drilling Spec'!$C$45)/(2*V)</f>
        <v>719.22438782276038</v>
      </c>
      <c r="J86" s="16">
        <f>IF(AND(OR(J85=0,J85=""),G86=0),IF(G87=0,"",'Drilling Spec'!$C$26),I86)</f>
        <v>719.22438782276038</v>
      </c>
      <c r="K86" s="16">
        <f>MAX(0,J86-'Drilling Spec'!$C$30)</f>
        <v>639.22438782276038</v>
      </c>
      <c r="L86" s="18">
        <f>IFERROR(K86/'Drilling Spec'!$C$31,0)</f>
        <v>42.614959188184024</v>
      </c>
      <c r="M86" s="21">
        <f t="shared" si="23"/>
        <v>0</v>
      </c>
      <c r="N86" s="4">
        <f t="shared" si="30"/>
        <v>144</v>
      </c>
      <c r="O86" s="21">
        <f t="shared" si="24"/>
        <v>0</v>
      </c>
      <c r="P86" s="18">
        <f>(SQRT(4*P85*P85*vB*vB + 'Drilling Spec'!$C$48*P85 + WB*('Drilling Spec'!$C$49 + 2*lB*vB*(sB*WB + 2*vB*O86/(1+eB)) + 'Drilling Spec'!$C$50)) - 'Drilling Spec'!$C$51)/(2*vB)</f>
        <v>759.86189926823238</v>
      </c>
      <c r="Q86" s="18">
        <f>IF(AND(OR(R85=0,R85=""),N86=0),IF(N87=0,"",'Drilling Spec'!$C$30),P86)</f>
        <v>759.86189926823238</v>
      </c>
      <c r="S86">
        <f t="shared" si="33"/>
        <v>46</v>
      </c>
      <c r="T86" s="10"/>
      <c r="U86">
        <f>IF('Baseline 2 - Good, 16hr'!L87&gt;'Baseline 2 - Good, 16hr'!S86,'Drilling Spec'!$C$36,)</f>
        <v>0</v>
      </c>
      <c r="W86" s="17">
        <f>(J86-'Drilling Spec'!$C$26)/'Drilling Spec'!$C$38</f>
        <v>108.20406463712673</v>
      </c>
      <c r="X86" s="17">
        <f t="shared" si="25"/>
        <v>0</v>
      </c>
      <c r="Y86" s="17">
        <f t="shared" si="26"/>
        <v>8.2040646371267343</v>
      </c>
      <c r="Z86" s="10"/>
      <c r="AA86">
        <f>IF(Y86&lt;'Drilling Spec'!$C$39,,'Drilling Spec'!$C$39)</f>
        <v>0</v>
      </c>
      <c r="AD86" s="16">
        <f t="shared" si="27"/>
        <v>-719.22438782276038</v>
      </c>
      <c r="AE86" s="16">
        <f t="shared" si="28"/>
        <v>-759.86189926823238</v>
      </c>
      <c r="AF86">
        <f>-'Drilling Spec'!$C$29</f>
        <v>-720</v>
      </c>
      <c r="AG86">
        <f>-'Drilling Spec'!$C$27</f>
        <v>-624</v>
      </c>
      <c r="AH86">
        <f>-'Drilling Spec'!$C$28</f>
        <v>-688</v>
      </c>
      <c r="AI86" t="e">
        <f t="shared" si="29"/>
        <v>#N/A</v>
      </c>
      <c r="AJ86" t="e">
        <f>IF(T86=0,NA(),-'Drilling Spec'!$C$26/2)</f>
        <v>#N/A</v>
      </c>
      <c r="AK86" t="e">
        <f>IF(U86=0,NA(),-'Drilling Spec'!$C$26/2)</f>
        <v>#N/A</v>
      </c>
      <c r="AL86" t="e">
        <f>IF(Z86=0,NA(),-'Drilling Spec'!$C$26*3/2)</f>
        <v>#N/A</v>
      </c>
      <c r="AM86" t="e">
        <f>IF(AA86=0,NA(),-'Drilling Spec'!$C$26*3/2)</f>
        <v>#N/A</v>
      </c>
    </row>
    <row r="87" spans="2:39" x14ac:dyDescent="0.35">
      <c r="B87" s="2">
        <f>B86+1</f>
        <v>46055</v>
      </c>
      <c r="C87" t="str">
        <f t="shared" si="19"/>
        <v>Mon</v>
      </c>
      <c r="D87" s="10" t="s">
        <v>70</v>
      </c>
      <c r="E87" s="10">
        <v>12</v>
      </c>
      <c r="F87" s="4">
        <f t="shared" si="20"/>
        <v>0</v>
      </c>
      <c r="G87" s="4">
        <f t="shared" si="21"/>
        <v>808</v>
      </c>
      <c r="H87" s="4">
        <f t="shared" si="22"/>
        <v>0</v>
      </c>
      <c r="I87" s="15">
        <f>(SQRT(4*J86*J86*V*V + 'Drilling Spec'!$C$42*J86 + W*('Drilling Spec'!$C$43 + 2*l*V*(s*W + 2*V*H87/(1+e)) + 'Drilling Spec'!$C$44)) - 'Drilling Spec'!$C$45)/(2*V)</f>
        <v>719.22438782276038</v>
      </c>
      <c r="J87" s="16">
        <f>IF(AND(OR(J86=0,J86=""),G87=0),IF(G88=0,"",'Drilling Spec'!$C$26),I87)</f>
        <v>719.22438782276038</v>
      </c>
      <c r="K87" s="16">
        <f>MAX(0,J87-'Drilling Spec'!$C$30)</f>
        <v>639.22438782276038</v>
      </c>
      <c r="L87" s="18">
        <f>IFERROR(K87/'Drilling Spec'!$C$31,0)</f>
        <v>42.614959188184024</v>
      </c>
      <c r="M87" s="21">
        <f t="shared" si="23"/>
        <v>0</v>
      </c>
      <c r="N87" s="4">
        <f t="shared" si="30"/>
        <v>144</v>
      </c>
      <c r="O87" s="21">
        <f t="shared" si="24"/>
        <v>0</v>
      </c>
      <c r="P87" s="18">
        <f>(SQRT(4*P86*P86*vB*vB + 'Drilling Spec'!$C$48*P86 + WB*('Drilling Spec'!$C$49 + 2*lB*vB*(sB*WB + 2*vB*O87/(1+eB)) + 'Drilling Spec'!$C$50)) - 'Drilling Spec'!$C$51)/(2*vB)</f>
        <v>759.86189926823238</v>
      </c>
      <c r="Q87" s="18">
        <f>IF(AND(OR(R86=0,R86=""),N87=0),IF(N88=0,"",'Drilling Spec'!$C$30),P87)</f>
        <v>759.86189926823238</v>
      </c>
      <c r="S87">
        <f t="shared" si="33"/>
        <v>46</v>
      </c>
      <c r="T87" s="10"/>
      <c r="U87">
        <f>IF('Baseline 2 - Good, 16hr'!L88&gt;'Baseline 2 - Good, 16hr'!S87,'Drilling Spec'!$C$36,)</f>
        <v>0</v>
      </c>
      <c r="W87" s="17">
        <f>(J87-'Drilling Spec'!$C$26)/'Drilling Spec'!$C$38</f>
        <v>108.20406463712673</v>
      </c>
      <c r="X87" s="17">
        <f t="shared" si="25"/>
        <v>0</v>
      </c>
      <c r="Y87" s="17">
        <f t="shared" si="26"/>
        <v>8.2040646371267343</v>
      </c>
      <c r="Z87" s="10"/>
      <c r="AA87">
        <f>IF(Y87&lt;'Drilling Spec'!$C$39,,'Drilling Spec'!$C$39)</f>
        <v>0</v>
      </c>
      <c r="AD87" s="16">
        <f t="shared" si="27"/>
        <v>-719.22438782276038</v>
      </c>
      <c r="AE87" s="16">
        <f t="shared" si="28"/>
        <v>-759.86189926823238</v>
      </c>
      <c r="AF87">
        <f>-'Drilling Spec'!$C$29</f>
        <v>-720</v>
      </c>
      <c r="AG87">
        <f>-'Drilling Spec'!$C$27</f>
        <v>-624</v>
      </c>
      <c r="AH87">
        <f>-'Drilling Spec'!$C$28</f>
        <v>-688</v>
      </c>
      <c r="AI87" t="e">
        <f t="shared" si="29"/>
        <v>#N/A</v>
      </c>
      <c r="AJ87" t="e">
        <f>IF(T87=0,NA(),-'Drilling Spec'!$C$26/2)</f>
        <v>#N/A</v>
      </c>
      <c r="AK87" t="e">
        <f>IF(U87=0,NA(),-'Drilling Spec'!$C$26/2)</f>
        <v>#N/A</v>
      </c>
      <c r="AL87" t="e">
        <f>IF(Z87=0,NA(),-'Drilling Spec'!$C$26*3/2)</f>
        <v>#N/A</v>
      </c>
      <c r="AM87" t="e">
        <f>IF(AA87=0,NA(),-'Drilling Spec'!$C$26*3/2)</f>
        <v>#N/A</v>
      </c>
    </row>
    <row r="88" spans="2:39" x14ac:dyDescent="0.35">
      <c r="B88" s="2">
        <f t="shared" ref="B88:B112" si="35">B87+1</f>
        <v>46056</v>
      </c>
      <c r="C88" t="str">
        <f t="shared" si="19"/>
        <v>Tue</v>
      </c>
      <c r="D88" s="10" t="s">
        <v>70</v>
      </c>
      <c r="E88" s="10">
        <v>12</v>
      </c>
      <c r="F88" s="4">
        <f t="shared" si="20"/>
        <v>0</v>
      </c>
      <c r="G88" s="4">
        <f t="shared" ref="G88:G112" si="36">(G87+F88)</f>
        <v>808</v>
      </c>
      <c r="H88" s="4">
        <f t="shared" si="22"/>
        <v>0</v>
      </c>
      <c r="I88" s="15">
        <f>(SQRT(4*J87*J87*V*V + 'Drilling Spec'!$C$42*J87 + W*('Drilling Spec'!$C$43 + 2*l*V*(s*W + 2*V*H88/(1+e)) + 'Drilling Spec'!$C$44)) - 'Drilling Spec'!$C$45)/(2*V)</f>
        <v>719.22438782276038</v>
      </c>
      <c r="J88" s="16">
        <f>IF(AND(OR(J87=0,J87=""),G88=0),IF(G89=0,"",'Drilling Spec'!$C$26),I88)</f>
        <v>719.22438782276038</v>
      </c>
      <c r="K88" s="16">
        <f>MAX(0,J88-'Drilling Spec'!$C$30)</f>
        <v>639.22438782276038</v>
      </c>
      <c r="L88" s="18">
        <f>IFERROR(K88/'Drilling Spec'!$C$31,0)</f>
        <v>42.614959188184024</v>
      </c>
      <c r="M88" s="21">
        <f t="shared" ref="M88:M112" si="37">IF(D88="Bailing",E88,0)</f>
        <v>0</v>
      </c>
      <c r="N88" s="4">
        <f t="shared" si="30"/>
        <v>144</v>
      </c>
      <c r="O88" s="21">
        <f t="shared" si="24"/>
        <v>0</v>
      </c>
      <c r="P88" s="18">
        <f>(SQRT(4*P87*P87*vB*vB + 'Drilling Spec'!$C$48*P87 + WB*('Drilling Spec'!$C$49 + 2*lB*vB*(sB*WB + 2*vB*O88/(1+eB)) + 'Drilling Spec'!$C$50)) - 'Drilling Spec'!$C$51)/(2*vB)</f>
        <v>759.86189926823238</v>
      </c>
      <c r="Q88" s="18">
        <f>IF(AND(OR(R87=0,R87=""),N88=0),IF(N89=0,"",'Drilling Spec'!$C$30),P88)</f>
        <v>759.86189926823238</v>
      </c>
      <c r="S88">
        <f t="shared" si="33"/>
        <v>46</v>
      </c>
      <c r="T88" s="10"/>
      <c r="U88">
        <f>IF('Baseline 2 - Good, 16hr'!L89&gt;'Baseline 2 - Good, 16hr'!S88,'Drilling Spec'!$C$36,)</f>
        <v>0</v>
      </c>
      <c r="W88" s="17">
        <f>(J88-'Drilling Spec'!$C$26)/'Drilling Spec'!$C$38</f>
        <v>108.20406463712673</v>
      </c>
      <c r="X88" s="17">
        <f t="shared" si="25"/>
        <v>0</v>
      </c>
      <c r="Y88" s="17">
        <f t="shared" si="26"/>
        <v>8.2040646371267343</v>
      </c>
      <c r="Z88" s="10"/>
      <c r="AA88">
        <f>IF(Y88&lt;'Drilling Spec'!$C$39,,'Drilling Spec'!$C$39)</f>
        <v>0</v>
      </c>
      <c r="AD88" s="16">
        <f t="shared" ref="AD88:AD112" si="38">IFERROR(-J88,NA())</f>
        <v>-719.22438782276038</v>
      </c>
      <c r="AE88" s="16">
        <f t="shared" si="28"/>
        <v>-759.86189926823238</v>
      </c>
      <c r="AF88">
        <f>-'Drilling Spec'!$C$29</f>
        <v>-720</v>
      </c>
      <c r="AG88">
        <f>-'Drilling Spec'!$C$27</f>
        <v>-624</v>
      </c>
      <c r="AH88">
        <f>-'Drilling Spec'!$C$28</f>
        <v>-688</v>
      </c>
      <c r="AI88" t="e">
        <f t="shared" si="29"/>
        <v>#N/A</v>
      </c>
      <c r="AJ88" t="e">
        <f>IF(T88=0,NA(),-'Drilling Spec'!$C$26/2)</f>
        <v>#N/A</v>
      </c>
      <c r="AK88" t="e">
        <f>IF(U88=0,NA(),-'Drilling Spec'!$C$26/2)</f>
        <v>#N/A</v>
      </c>
      <c r="AL88" t="e">
        <f>IF(Z88=0,NA(),-'Drilling Spec'!$C$26*3/2)</f>
        <v>#N/A</v>
      </c>
      <c r="AM88" t="e">
        <f>IF(AA88=0,NA(),-'Drilling Spec'!$C$26*3/2)</f>
        <v>#N/A</v>
      </c>
    </row>
    <row r="89" spans="2:39" x14ac:dyDescent="0.35">
      <c r="B89" s="2">
        <f t="shared" si="35"/>
        <v>46057</v>
      </c>
      <c r="C89" t="str">
        <f t="shared" si="19"/>
        <v>Wed</v>
      </c>
      <c r="D89" s="10" t="s">
        <v>70</v>
      </c>
      <c r="E89" s="10">
        <v>12</v>
      </c>
      <c r="F89" s="4">
        <f t="shared" si="20"/>
        <v>0</v>
      </c>
      <c r="G89" s="4">
        <f t="shared" si="36"/>
        <v>808</v>
      </c>
      <c r="H89" s="4">
        <f t="shared" si="22"/>
        <v>0</v>
      </c>
      <c r="I89" s="15">
        <f>(SQRT(4*J88*J88*V*V + 'Drilling Spec'!$C$42*J88 + W*('Drilling Spec'!$C$43 + 2*l*V*(s*W + 2*V*H89/(1+e)) + 'Drilling Spec'!$C$44)) - 'Drilling Spec'!$C$45)/(2*V)</f>
        <v>719.22438782276038</v>
      </c>
      <c r="J89" s="16">
        <f>IF(AND(OR(J88=0,J88=""),G89=0),IF(G90=0,"",'Drilling Spec'!$C$26),I89)</f>
        <v>719.22438782276038</v>
      </c>
      <c r="K89" s="16">
        <f>MAX(0,J89-'Drilling Spec'!$C$30)</f>
        <v>639.22438782276038</v>
      </c>
      <c r="L89" s="18">
        <f>IFERROR(K89/'Drilling Spec'!$C$31,0)</f>
        <v>42.614959188184024</v>
      </c>
      <c r="M89" s="21">
        <f t="shared" si="37"/>
        <v>0</v>
      </c>
      <c r="N89" s="4">
        <f t="shared" si="30"/>
        <v>144</v>
      </c>
      <c r="O89" s="21">
        <f t="shared" si="24"/>
        <v>0</v>
      </c>
      <c r="P89" s="18">
        <f>(SQRT(4*P88*P88*vB*vB + 'Drilling Spec'!$C$48*P88 + WB*('Drilling Spec'!$C$49 + 2*lB*vB*(sB*WB + 2*vB*O89/(1+eB)) + 'Drilling Spec'!$C$50)) - 'Drilling Spec'!$C$51)/(2*vB)</f>
        <v>759.86189926823238</v>
      </c>
      <c r="Q89" s="18">
        <f>IF(AND(OR(R88=0,R88=""),N89=0),IF(N90=0,"",'Drilling Spec'!$C$30),P89)</f>
        <v>759.86189926823238</v>
      </c>
      <c r="S89">
        <f t="shared" si="33"/>
        <v>46</v>
      </c>
      <c r="T89" s="10"/>
      <c r="U89">
        <f>IF('Baseline 2 - Good, 16hr'!L90&gt;'Baseline 2 - Good, 16hr'!S89,'Drilling Spec'!$C$36,)</f>
        <v>0</v>
      </c>
      <c r="W89" s="17">
        <f>(J89-'Drilling Spec'!$C$26)/'Drilling Spec'!$C$38</f>
        <v>108.20406463712673</v>
      </c>
      <c r="X89" s="17">
        <f t="shared" si="25"/>
        <v>0</v>
      </c>
      <c r="Y89" s="17">
        <f t="shared" si="26"/>
        <v>8.2040646371267343</v>
      </c>
      <c r="Z89" s="10"/>
      <c r="AA89">
        <f>IF(Y89&lt;'Drilling Spec'!$C$39,,'Drilling Spec'!$C$39)</f>
        <v>0</v>
      </c>
      <c r="AD89" s="16">
        <f t="shared" si="38"/>
        <v>-719.22438782276038</v>
      </c>
      <c r="AE89" s="16">
        <f t="shared" si="28"/>
        <v>-759.86189926823238</v>
      </c>
      <c r="AF89">
        <f>-'Drilling Spec'!$C$29</f>
        <v>-720</v>
      </c>
      <c r="AG89">
        <f>-'Drilling Spec'!$C$27</f>
        <v>-624</v>
      </c>
      <c r="AH89">
        <f>-'Drilling Spec'!$C$28</f>
        <v>-688</v>
      </c>
      <c r="AI89" t="e">
        <f t="shared" si="29"/>
        <v>#N/A</v>
      </c>
      <c r="AJ89" t="e">
        <f>IF(T89=0,NA(),-'Drilling Spec'!$C$26/2)</f>
        <v>#N/A</v>
      </c>
      <c r="AK89" t="e">
        <f>IF(U89=0,NA(),-'Drilling Spec'!$C$26/2)</f>
        <v>#N/A</v>
      </c>
      <c r="AL89" t="e">
        <f>IF(Z89=0,NA(),-'Drilling Spec'!$C$26*3/2)</f>
        <v>#N/A</v>
      </c>
      <c r="AM89" t="e">
        <f>IF(AA89=0,NA(),-'Drilling Spec'!$C$26*3/2)</f>
        <v>#N/A</v>
      </c>
    </row>
    <row r="90" spans="2:39" x14ac:dyDescent="0.35">
      <c r="B90" s="2">
        <f t="shared" si="35"/>
        <v>46058</v>
      </c>
      <c r="C90" t="str">
        <f t="shared" si="19"/>
        <v>Thu</v>
      </c>
      <c r="D90" s="10" t="s">
        <v>70</v>
      </c>
      <c r="E90" s="10">
        <v>12</v>
      </c>
      <c r="F90" s="4">
        <f t="shared" si="20"/>
        <v>0</v>
      </c>
      <c r="G90" s="4">
        <f t="shared" si="36"/>
        <v>808</v>
      </c>
      <c r="H90" s="4">
        <f t="shared" si="22"/>
        <v>0</v>
      </c>
      <c r="I90" s="15">
        <f>(SQRT(4*J89*J89*V*V + 'Drilling Spec'!$C$42*J89 + W*('Drilling Spec'!$C$43 + 2*l*V*(s*W + 2*V*H90/(1+e)) + 'Drilling Spec'!$C$44)) - 'Drilling Spec'!$C$45)/(2*V)</f>
        <v>719.22438782276038</v>
      </c>
      <c r="J90" s="16">
        <f>IF(AND(OR(J89=0,J89=""),G90=0),IF(G91=0,"",'Drilling Spec'!$C$26),I90)</f>
        <v>719.22438782276038</v>
      </c>
      <c r="K90" s="16">
        <f>MAX(0,J90-'Drilling Spec'!$C$30)</f>
        <v>639.22438782276038</v>
      </c>
      <c r="L90" s="18">
        <f>IFERROR(K90/'Drilling Spec'!$C$31,0)</f>
        <v>42.614959188184024</v>
      </c>
      <c r="M90" s="21">
        <f t="shared" si="37"/>
        <v>0</v>
      </c>
      <c r="N90" s="4">
        <f t="shared" si="30"/>
        <v>144</v>
      </c>
      <c r="O90" s="21">
        <f t="shared" si="24"/>
        <v>0</v>
      </c>
      <c r="P90" s="18">
        <f>(SQRT(4*P89*P89*vB*vB + 'Drilling Spec'!$C$48*P89 + WB*('Drilling Spec'!$C$49 + 2*lB*vB*(sB*WB + 2*vB*O90/(1+eB)) + 'Drilling Spec'!$C$50)) - 'Drilling Spec'!$C$51)/(2*vB)</f>
        <v>759.86189926823238</v>
      </c>
      <c r="Q90" s="18">
        <f>IF(AND(OR(R89=0,R89=""),N90=0),IF(N91=0,"",'Drilling Spec'!$C$30),P90)</f>
        <v>759.86189926823238</v>
      </c>
      <c r="S90">
        <f t="shared" si="33"/>
        <v>46</v>
      </c>
      <c r="T90" s="10"/>
      <c r="U90">
        <f>IF('Baseline 2 - Good, 16hr'!L91&gt;'Baseline 2 - Good, 16hr'!S90,'Drilling Spec'!$C$36,)</f>
        <v>0</v>
      </c>
      <c r="W90" s="17">
        <f>(J90-'Drilling Spec'!$C$26)/'Drilling Spec'!$C$38</f>
        <v>108.20406463712673</v>
      </c>
      <c r="X90" s="17">
        <f t="shared" si="25"/>
        <v>0</v>
      </c>
      <c r="Y90" s="17">
        <f t="shared" si="26"/>
        <v>8.2040646371267343</v>
      </c>
      <c r="Z90" s="10"/>
      <c r="AA90">
        <f>IF(Y90&lt;'Drilling Spec'!$C$39,,'Drilling Spec'!$C$39)</f>
        <v>0</v>
      </c>
      <c r="AD90" s="16">
        <f t="shared" si="38"/>
        <v>-719.22438782276038</v>
      </c>
      <c r="AE90" s="16">
        <f t="shared" si="28"/>
        <v>-759.86189926823238</v>
      </c>
      <c r="AF90">
        <f>-'Drilling Spec'!$C$29</f>
        <v>-720</v>
      </c>
      <c r="AG90">
        <f>-'Drilling Spec'!$C$27</f>
        <v>-624</v>
      </c>
      <c r="AH90">
        <f>-'Drilling Spec'!$C$28</f>
        <v>-688</v>
      </c>
      <c r="AI90" t="e">
        <f t="shared" si="29"/>
        <v>#N/A</v>
      </c>
      <c r="AJ90" t="e">
        <f>IF(T90=0,NA(),-'Drilling Spec'!$C$26/2)</f>
        <v>#N/A</v>
      </c>
      <c r="AK90" t="e">
        <f>IF(U90=0,NA(),-'Drilling Spec'!$C$26/2)</f>
        <v>#N/A</v>
      </c>
      <c r="AL90" t="e">
        <f>IF(Z90=0,NA(),-'Drilling Spec'!$C$26*3/2)</f>
        <v>#N/A</v>
      </c>
      <c r="AM90" t="e">
        <f>IF(AA90=0,NA(),-'Drilling Spec'!$C$26*3/2)</f>
        <v>#N/A</v>
      </c>
    </row>
    <row r="91" spans="2:39" x14ac:dyDescent="0.35">
      <c r="B91" s="2">
        <f t="shared" si="35"/>
        <v>46059</v>
      </c>
      <c r="C91" t="str">
        <f t="shared" si="19"/>
        <v>Fri</v>
      </c>
      <c r="D91" s="10" t="s">
        <v>71</v>
      </c>
      <c r="E91" s="10">
        <v>12</v>
      </c>
      <c r="F91" s="4">
        <f t="shared" si="20"/>
        <v>0</v>
      </c>
      <c r="G91" s="4">
        <f t="shared" si="36"/>
        <v>808</v>
      </c>
      <c r="H91" s="4">
        <f t="shared" si="22"/>
        <v>0</v>
      </c>
      <c r="I91" s="15">
        <f>(SQRT(4*J90*J90*V*V + 'Drilling Spec'!$C$42*J90 + W*('Drilling Spec'!$C$43 + 2*l*V*(s*W + 2*V*H91/(1+e)) + 'Drilling Spec'!$C$44)) - 'Drilling Spec'!$C$45)/(2*V)</f>
        <v>719.22438782276038</v>
      </c>
      <c r="J91" s="16">
        <f>IF(AND(OR(J90=0,J90=""),G91=0),IF(G92=0,"",'Drilling Spec'!$C$26),I91)</f>
        <v>719.22438782276038</v>
      </c>
      <c r="K91" s="16">
        <f>MAX(0,J91-'Drilling Spec'!$C$30)</f>
        <v>639.22438782276038</v>
      </c>
      <c r="L91" s="18">
        <f>IFERROR(K91/'Drilling Spec'!$C$31,0)</f>
        <v>42.614959188184024</v>
      </c>
      <c r="M91" s="21">
        <f t="shared" si="37"/>
        <v>0</v>
      </c>
      <c r="N91" s="4">
        <f t="shared" si="30"/>
        <v>144</v>
      </c>
      <c r="O91" s="21">
        <f t="shared" si="24"/>
        <v>0</v>
      </c>
      <c r="P91" s="18">
        <f>(SQRT(4*P90*P90*vB*vB + 'Drilling Spec'!$C$48*P90 + WB*('Drilling Spec'!$C$49 + 2*lB*vB*(sB*WB + 2*vB*O91/(1+eB)) + 'Drilling Spec'!$C$50)) - 'Drilling Spec'!$C$51)/(2*vB)</f>
        <v>759.86189926823238</v>
      </c>
      <c r="Q91" s="18">
        <f>IF(AND(OR(R90=0,R90=""),N91=0),IF(N92=0,"",'Drilling Spec'!$C$30),P91)</f>
        <v>759.86189926823238</v>
      </c>
      <c r="S91">
        <f t="shared" si="33"/>
        <v>46</v>
      </c>
      <c r="T91" s="10"/>
      <c r="U91">
        <f>IF('Baseline 2 - Good, 16hr'!L92&gt;'Baseline 2 - Good, 16hr'!S91,'Drilling Spec'!$C$36,)</f>
        <v>0</v>
      </c>
      <c r="W91" s="17">
        <f>(J91-'Drilling Spec'!$C$26)/'Drilling Spec'!$C$38</f>
        <v>108.20406463712673</v>
      </c>
      <c r="X91" s="17">
        <f t="shared" si="25"/>
        <v>0</v>
      </c>
      <c r="Y91" s="17">
        <f t="shared" si="26"/>
        <v>8.2040646371267343</v>
      </c>
      <c r="Z91" s="10"/>
      <c r="AA91">
        <f>IF(Y91&lt;'Drilling Spec'!$C$39,,'Drilling Spec'!$C$39)</f>
        <v>0</v>
      </c>
      <c r="AD91" s="16">
        <f t="shared" si="38"/>
        <v>-719.22438782276038</v>
      </c>
      <c r="AE91" s="16">
        <f t="shared" si="28"/>
        <v>-759.86189926823238</v>
      </c>
      <c r="AF91">
        <f>-'Drilling Spec'!$C$29</f>
        <v>-720</v>
      </c>
      <c r="AG91">
        <f>-'Drilling Spec'!$C$27</f>
        <v>-624</v>
      </c>
      <c r="AH91">
        <f>-'Drilling Spec'!$C$28</f>
        <v>-688</v>
      </c>
      <c r="AI91">
        <f t="shared" si="29"/>
        <v>0</v>
      </c>
      <c r="AJ91" t="e">
        <f>IF(T91=0,NA(),-'Drilling Spec'!$C$26/2)</f>
        <v>#N/A</v>
      </c>
      <c r="AK91" t="e">
        <f>IF(U91=0,NA(),-'Drilling Spec'!$C$26/2)</f>
        <v>#N/A</v>
      </c>
      <c r="AL91" t="e">
        <f>IF(Z91=0,NA(),-'Drilling Spec'!$C$26*3/2)</f>
        <v>#N/A</v>
      </c>
      <c r="AM91" t="e">
        <f>IF(AA91=0,NA(),-'Drilling Spec'!$C$26*3/2)</f>
        <v>#N/A</v>
      </c>
    </row>
    <row r="92" spans="2:39" x14ac:dyDescent="0.35">
      <c r="B92" s="2">
        <f t="shared" si="35"/>
        <v>46060</v>
      </c>
      <c r="C92" t="str">
        <f t="shared" si="19"/>
        <v>Sat</v>
      </c>
      <c r="D92" s="10"/>
      <c r="E92" s="10"/>
      <c r="F92" s="4">
        <f t="shared" si="20"/>
        <v>0</v>
      </c>
      <c r="G92" s="4">
        <f t="shared" si="36"/>
        <v>808</v>
      </c>
      <c r="H92" s="4">
        <f t="shared" si="22"/>
        <v>0</v>
      </c>
      <c r="I92" s="15">
        <f>(SQRT(4*J91*J91*V*V + 'Drilling Spec'!$C$42*J91 + W*('Drilling Spec'!$C$43 + 2*l*V*(s*W + 2*V*H92/(1+e)) + 'Drilling Spec'!$C$44)) - 'Drilling Spec'!$C$45)/(2*V)</f>
        <v>719.22438782276038</v>
      </c>
      <c r="J92" s="16">
        <f>IF(AND(OR(J91=0,J91=""),G92=0),IF(G93=0,"",'Drilling Spec'!$C$26),I92)</f>
        <v>719.22438782276038</v>
      </c>
      <c r="K92" s="16">
        <f>MAX(0,J92-'Drilling Spec'!$C$30)</f>
        <v>639.22438782276038</v>
      </c>
      <c r="L92" s="18">
        <f>IFERROR(K92/'Drilling Spec'!$C$31,0)</f>
        <v>42.614959188184024</v>
      </c>
      <c r="M92" s="21">
        <f t="shared" si="37"/>
        <v>0</v>
      </c>
      <c r="N92" s="4">
        <f t="shared" si="30"/>
        <v>144</v>
      </c>
      <c r="O92" s="21">
        <f t="shared" si="24"/>
        <v>0</v>
      </c>
      <c r="P92" s="18">
        <f>(SQRT(4*P91*P91*vB*vB + 'Drilling Spec'!$C$48*P91 + WB*('Drilling Spec'!$C$49 + 2*lB*vB*(sB*WB + 2*vB*O92/(1+eB)) + 'Drilling Spec'!$C$50)) - 'Drilling Spec'!$C$51)/(2*vB)</f>
        <v>759.86189926823238</v>
      </c>
      <c r="Q92" s="18">
        <f>IF(AND(OR(R91=0,R91=""),N92=0),IF(N93=0,"",'Drilling Spec'!$C$30),P92)</f>
        <v>759.86189926823238</v>
      </c>
      <c r="S92">
        <f t="shared" si="33"/>
        <v>46</v>
      </c>
      <c r="T92" s="10"/>
      <c r="U92">
        <f>IF('Baseline 2 - Good, 16hr'!L93&gt;'Baseline 2 - Good, 16hr'!S92,'Drilling Spec'!$C$36,)</f>
        <v>0</v>
      </c>
      <c r="W92" s="17">
        <f>(J92-'Drilling Spec'!$C$26)/'Drilling Spec'!$C$38</f>
        <v>108.20406463712673</v>
      </c>
      <c r="X92" s="17">
        <f t="shared" si="25"/>
        <v>0</v>
      </c>
      <c r="Y92" s="17">
        <f t="shared" si="26"/>
        <v>8.2040646371267343</v>
      </c>
      <c r="Z92" s="10"/>
      <c r="AA92">
        <f>IF(Y92&lt;'Drilling Spec'!$C$39,,'Drilling Spec'!$C$39)</f>
        <v>0</v>
      </c>
      <c r="AD92" s="16">
        <f t="shared" si="38"/>
        <v>-719.22438782276038</v>
      </c>
      <c r="AE92" s="16">
        <f t="shared" si="28"/>
        <v>-759.86189926823238</v>
      </c>
      <c r="AF92">
        <f>-'Drilling Spec'!$C$29</f>
        <v>-720</v>
      </c>
      <c r="AG92">
        <f>-'Drilling Spec'!$C$27</f>
        <v>-624</v>
      </c>
      <c r="AH92">
        <f>-'Drilling Spec'!$C$28</f>
        <v>-688</v>
      </c>
      <c r="AI92" t="e">
        <f t="shared" si="29"/>
        <v>#N/A</v>
      </c>
      <c r="AJ92" t="e">
        <f>IF(T92=0,NA(),-'Drilling Spec'!$C$26/2)</f>
        <v>#N/A</v>
      </c>
      <c r="AK92" t="e">
        <f>IF(U92=0,NA(),-'Drilling Spec'!$C$26/2)</f>
        <v>#N/A</v>
      </c>
      <c r="AL92" t="e">
        <f>IF(Z92=0,NA(),-'Drilling Spec'!$C$26*3/2)</f>
        <v>#N/A</v>
      </c>
      <c r="AM92" t="e">
        <f>IF(AA92=0,NA(),-'Drilling Spec'!$C$26*3/2)</f>
        <v>#N/A</v>
      </c>
    </row>
    <row r="93" spans="2:39" x14ac:dyDescent="0.35">
      <c r="B93" s="2">
        <f t="shared" si="35"/>
        <v>46061</v>
      </c>
      <c r="C93" t="str">
        <f t="shared" si="19"/>
        <v>Sun</v>
      </c>
      <c r="D93" s="10"/>
      <c r="E93" s="10"/>
      <c r="F93" s="4">
        <f t="shared" si="20"/>
        <v>0</v>
      </c>
      <c r="G93" s="4">
        <f t="shared" si="36"/>
        <v>808</v>
      </c>
      <c r="H93" s="4">
        <f t="shared" si="22"/>
        <v>0</v>
      </c>
      <c r="I93" s="15">
        <f>(SQRT(4*J92*J92*V*V + 'Drilling Spec'!$C$42*J92 + W*('Drilling Spec'!$C$43 + 2*l*V*(s*W + 2*V*H93/(1+e)) + 'Drilling Spec'!$C$44)) - 'Drilling Spec'!$C$45)/(2*V)</f>
        <v>719.22438782276038</v>
      </c>
      <c r="J93" s="16">
        <f>IF(AND(OR(J92=0,J92=""),G93=0),IF(G94=0,"",'Drilling Spec'!$C$26),I93)</f>
        <v>719.22438782276038</v>
      </c>
      <c r="K93" s="16">
        <f>MAX(0,J93-'Drilling Spec'!$C$30)</f>
        <v>639.22438782276038</v>
      </c>
      <c r="L93" s="18">
        <f>IFERROR(K93/'Drilling Spec'!$C$31,0)</f>
        <v>42.614959188184024</v>
      </c>
      <c r="M93" s="21">
        <f t="shared" si="37"/>
        <v>0</v>
      </c>
      <c r="N93" s="4">
        <f t="shared" si="30"/>
        <v>144</v>
      </c>
      <c r="O93" s="21">
        <f t="shared" si="24"/>
        <v>0</v>
      </c>
      <c r="P93" s="18">
        <f>(SQRT(4*P92*P92*vB*vB + 'Drilling Spec'!$C$48*P92 + WB*('Drilling Spec'!$C$49 + 2*lB*vB*(sB*WB + 2*vB*O93/(1+eB)) + 'Drilling Spec'!$C$50)) - 'Drilling Spec'!$C$51)/(2*vB)</f>
        <v>759.86189926823238</v>
      </c>
      <c r="Q93" s="18">
        <f>IF(AND(OR(R92=0,R92=""),N93=0),IF(N94=0,"",'Drilling Spec'!$C$30),P93)</f>
        <v>759.86189926823238</v>
      </c>
      <c r="S93">
        <f t="shared" si="33"/>
        <v>46</v>
      </c>
      <c r="T93" s="10"/>
      <c r="U93">
        <f>IF('Baseline 2 - Good, 16hr'!L94&gt;'Baseline 2 - Good, 16hr'!S93,'Drilling Spec'!$C$36,)</f>
        <v>0</v>
      </c>
      <c r="W93" s="17">
        <f>(J93-'Drilling Spec'!$C$26)/'Drilling Spec'!$C$38</f>
        <v>108.20406463712673</v>
      </c>
      <c r="X93" s="17">
        <f t="shared" si="25"/>
        <v>0</v>
      </c>
      <c r="Y93" s="17">
        <f t="shared" si="26"/>
        <v>8.2040646371267343</v>
      </c>
      <c r="Z93" s="10"/>
      <c r="AA93">
        <f>IF(Y93&lt;'Drilling Spec'!$C$39,,'Drilling Spec'!$C$39)</f>
        <v>0</v>
      </c>
      <c r="AD93" s="16">
        <f t="shared" si="38"/>
        <v>-719.22438782276038</v>
      </c>
      <c r="AE93" s="16">
        <f t="shared" si="28"/>
        <v>-759.86189926823238</v>
      </c>
      <c r="AF93">
        <f>-'Drilling Spec'!$C$29</f>
        <v>-720</v>
      </c>
      <c r="AG93">
        <f>-'Drilling Spec'!$C$27</f>
        <v>-624</v>
      </c>
      <c r="AH93">
        <f>-'Drilling Spec'!$C$28</f>
        <v>-688</v>
      </c>
      <c r="AI93" t="e">
        <f t="shared" si="29"/>
        <v>#N/A</v>
      </c>
      <c r="AJ93" t="e">
        <f>IF(T93=0,NA(),-'Drilling Spec'!$C$26/2)</f>
        <v>#N/A</v>
      </c>
      <c r="AK93" t="e">
        <f>IF(U93=0,NA(),-'Drilling Spec'!$C$26/2)</f>
        <v>#N/A</v>
      </c>
      <c r="AL93" t="e">
        <f>IF(Z93=0,NA(),-'Drilling Spec'!$C$26*3/2)</f>
        <v>#N/A</v>
      </c>
      <c r="AM93" t="e">
        <f>IF(AA93=0,NA(),-'Drilling Spec'!$C$26*3/2)</f>
        <v>#N/A</v>
      </c>
    </row>
    <row r="94" spans="2:39" x14ac:dyDescent="0.35">
      <c r="B94" s="2">
        <f t="shared" si="35"/>
        <v>46062</v>
      </c>
      <c r="C94" t="str">
        <f t="shared" si="19"/>
        <v>Mon</v>
      </c>
      <c r="D94" s="10"/>
      <c r="E94" s="10"/>
      <c r="F94" s="4">
        <f t="shared" si="20"/>
        <v>0</v>
      </c>
      <c r="G94" s="4">
        <f t="shared" si="36"/>
        <v>808</v>
      </c>
      <c r="H94" s="4">
        <f t="shared" si="22"/>
        <v>0</v>
      </c>
      <c r="I94" s="15">
        <f>(SQRT(4*J93*J93*V*V + 'Drilling Spec'!$C$42*J93 + W*('Drilling Spec'!$C$43 + 2*l*V*(s*W + 2*V*H94/(1+e)) + 'Drilling Spec'!$C$44)) - 'Drilling Spec'!$C$45)/(2*V)</f>
        <v>719.22438782276038</v>
      </c>
      <c r="J94" s="16">
        <f>IF(AND(OR(J93=0,J93=""),G94=0),IF(G95=0,"",'Drilling Spec'!$C$26),I94)</f>
        <v>719.22438782276038</v>
      </c>
      <c r="K94" s="16">
        <f>MAX(0,J94-'Drilling Spec'!$C$30)</f>
        <v>639.22438782276038</v>
      </c>
      <c r="L94" s="18">
        <f>IFERROR(K94/'Drilling Spec'!$C$31,0)</f>
        <v>42.614959188184024</v>
      </c>
      <c r="M94" s="21">
        <f t="shared" si="37"/>
        <v>0</v>
      </c>
      <c r="N94" s="4">
        <f t="shared" si="30"/>
        <v>144</v>
      </c>
      <c r="O94" s="21">
        <f t="shared" si="24"/>
        <v>0</v>
      </c>
      <c r="P94" s="18">
        <f>(SQRT(4*P93*P93*vB*vB + 'Drilling Spec'!$C$48*P93 + WB*('Drilling Spec'!$C$49 + 2*lB*vB*(sB*WB + 2*vB*O94/(1+eB)) + 'Drilling Spec'!$C$50)) - 'Drilling Spec'!$C$51)/(2*vB)</f>
        <v>759.86189926823238</v>
      </c>
      <c r="Q94" s="18">
        <f>IF(AND(OR(R93=0,R93=""),N94=0),IF(N95=0,"",'Drilling Spec'!$C$30),P94)</f>
        <v>759.86189926823238</v>
      </c>
      <c r="S94">
        <f t="shared" si="33"/>
        <v>46</v>
      </c>
      <c r="T94" s="10"/>
      <c r="U94">
        <f>IF('Baseline 2 - Good, 16hr'!L95&gt;'Baseline 2 - Good, 16hr'!S94,'Drilling Spec'!$C$36,)</f>
        <v>0</v>
      </c>
      <c r="W94" s="17">
        <f>(J94-'Drilling Spec'!$C$26)/'Drilling Spec'!$C$38</f>
        <v>108.20406463712673</v>
      </c>
      <c r="X94" s="17">
        <f t="shared" si="25"/>
        <v>0</v>
      </c>
      <c r="Y94" s="17">
        <f t="shared" si="26"/>
        <v>8.2040646371267343</v>
      </c>
      <c r="Z94" s="10"/>
      <c r="AA94">
        <f>IF(Y94&lt;'Drilling Spec'!$C$39,,'Drilling Spec'!$C$39)</f>
        <v>0</v>
      </c>
      <c r="AD94" s="16">
        <f t="shared" si="38"/>
        <v>-719.22438782276038</v>
      </c>
      <c r="AE94" s="16">
        <f t="shared" si="28"/>
        <v>-759.86189926823238</v>
      </c>
      <c r="AF94">
        <f>-'Drilling Spec'!$C$29</f>
        <v>-720</v>
      </c>
      <c r="AG94">
        <f>-'Drilling Spec'!$C$27</f>
        <v>-624</v>
      </c>
      <c r="AH94">
        <f>-'Drilling Spec'!$C$28</f>
        <v>-688</v>
      </c>
      <c r="AI94" t="e">
        <f t="shared" si="29"/>
        <v>#N/A</v>
      </c>
      <c r="AJ94" t="e">
        <f>IF(T94=0,NA(),-'Drilling Spec'!$C$26/2)</f>
        <v>#N/A</v>
      </c>
      <c r="AK94" t="e">
        <f>IF(U94=0,NA(),-'Drilling Spec'!$C$26/2)</f>
        <v>#N/A</v>
      </c>
      <c r="AL94" t="e">
        <f>IF(Z94=0,NA(),-'Drilling Spec'!$C$26*3/2)</f>
        <v>#N/A</v>
      </c>
      <c r="AM94" t="e">
        <f>IF(AA94=0,NA(),-'Drilling Spec'!$C$26*3/2)</f>
        <v>#N/A</v>
      </c>
    </row>
    <row r="95" spans="2:39" x14ac:dyDescent="0.35">
      <c r="B95" s="2">
        <f t="shared" si="35"/>
        <v>46063</v>
      </c>
      <c r="C95" t="str">
        <f t="shared" si="19"/>
        <v>Tue</v>
      </c>
      <c r="D95" s="10"/>
      <c r="E95" s="10"/>
      <c r="F95" s="4">
        <f t="shared" si="20"/>
        <v>0</v>
      </c>
      <c r="G95" s="4">
        <f t="shared" si="36"/>
        <v>808</v>
      </c>
      <c r="H95" s="4">
        <f t="shared" si="22"/>
        <v>0</v>
      </c>
      <c r="I95" s="15">
        <f>(SQRT(4*J94*J94*V*V + 'Drilling Spec'!$C$42*J94 + W*('Drilling Spec'!$C$43 + 2*l*V*(s*W + 2*V*H95/(1+e)) + 'Drilling Spec'!$C$44)) - 'Drilling Spec'!$C$45)/(2*V)</f>
        <v>719.22438782276038</v>
      </c>
      <c r="J95" s="16">
        <f>IF(AND(OR(J94=0,J94=""),G95=0),IF(G96=0,"",'Drilling Spec'!$C$26),I95)</f>
        <v>719.22438782276038</v>
      </c>
      <c r="K95" s="16">
        <f>MAX(0,J95-'Drilling Spec'!$C$30)</f>
        <v>639.22438782276038</v>
      </c>
      <c r="L95" s="18">
        <f>IFERROR(K95/'Drilling Spec'!$C$31,0)</f>
        <v>42.614959188184024</v>
      </c>
      <c r="M95" s="21">
        <f t="shared" si="37"/>
        <v>0</v>
      </c>
      <c r="N95" s="4">
        <f t="shared" si="30"/>
        <v>144</v>
      </c>
      <c r="O95" s="21">
        <f t="shared" si="24"/>
        <v>0</v>
      </c>
      <c r="P95" s="18">
        <f>(SQRT(4*P94*P94*vB*vB + 'Drilling Spec'!$C$48*P94 + WB*('Drilling Spec'!$C$49 + 2*lB*vB*(sB*WB + 2*vB*O95/(1+eB)) + 'Drilling Spec'!$C$50)) - 'Drilling Spec'!$C$51)/(2*vB)</f>
        <v>759.86189926823238</v>
      </c>
      <c r="Q95" s="18">
        <f>IF(AND(OR(R94=0,R94=""),N95=0),IF(N96=0,"",'Drilling Spec'!$C$30),P95)</f>
        <v>759.86189926823238</v>
      </c>
      <c r="S95">
        <f t="shared" si="33"/>
        <v>46</v>
      </c>
      <c r="T95" s="10"/>
      <c r="U95">
        <f>IF('Baseline 2 - Good, 16hr'!L96&gt;'Baseline 2 - Good, 16hr'!S95,'Drilling Spec'!$C$36,)</f>
        <v>0</v>
      </c>
      <c r="W95" s="17">
        <f>(J95-'Drilling Spec'!$C$26)/'Drilling Spec'!$C$38</f>
        <v>108.20406463712673</v>
      </c>
      <c r="X95" s="17">
        <f t="shared" si="25"/>
        <v>0</v>
      </c>
      <c r="Y95" s="17">
        <f t="shared" si="26"/>
        <v>8.2040646371267343</v>
      </c>
      <c r="Z95" s="10"/>
      <c r="AA95">
        <f>IF(Y95&lt;'Drilling Spec'!$C$39,,'Drilling Spec'!$C$39)</f>
        <v>0</v>
      </c>
      <c r="AD95" s="16">
        <f t="shared" si="38"/>
        <v>-719.22438782276038</v>
      </c>
      <c r="AE95" s="16">
        <f t="shared" si="28"/>
        <v>-759.86189926823238</v>
      </c>
      <c r="AF95">
        <f>-'Drilling Spec'!$C$29</f>
        <v>-720</v>
      </c>
      <c r="AG95">
        <f>-'Drilling Spec'!$C$27</f>
        <v>-624</v>
      </c>
      <c r="AH95">
        <f>-'Drilling Spec'!$C$28</f>
        <v>-688</v>
      </c>
      <c r="AI95" t="e">
        <f t="shared" si="29"/>
        <v>#N/A</v>
      </c>
      <c r="AJ95" t="e">
        <f>IF(T95=0,NA(),-'Drilling Spec'!$C$26/2)</f>
        <v>#N/A</v>
      </c>
      <c r="AK95" t="e">
        <f>IF(U95=0,NA(),-'Drilling Spec'!$C$26/2)</f>
        <v>#N/A</v>
      </c>
      <c r="AL95" t="e">
        <f>IF(Z95=0,NA(),-'Drilling Spec'!$C$26*3/2)</f>
        <v>#N/A</v>
      </c>
      <c r="AM95" t="e">
        <f>IF(AA95=0,NA(),-'Drilling Spec'!$C$26*3/2)</f>
        <v>#N/A</v>
      </c>
    </row>
    <row r="96" spans="2:39" x14ac:dyDescent="0.35">
      <c r="B96" s="2">
        <f t="shared" si="35"/>
        <v>46064</v>
      </c>
      <c r="C96" t="str">
        <f t="shared" si="19"/>
        <v>Wed</v>
      </c>
      <c r="D96" s="10"/>
      <c r="E96" s="10"/>
      <c r="F96" s="4">
        <f t="shared" si="20"/>
        <v>0</v>
      </c>
      <c r="G96" s="4">
        <f t="shared" si="36"/>
        <v>808</v>
      </c>
      <c r="H96" s="4">
        <f t="shared" si="22"/>
        <v>0</v>
      </c>
      <c r="I96" s="15">
        <f>(SQRT(4*J95*J95*V*V + 'Drilling Spec'!$C$42*J95 + W*('Drilling Spec'!$C$43 + 2*l*V*(s*W + 2*V*H96/(1+e)) + 'Drilling Spec'!$C$44)) - 'Drilling Spec'!$C$45)/(2*V)</f>
        <v>719.22438782276038</v>
      </c>
      <c r="J96" s="16">
        <f>IF(AND(OR(J95=0,J95=""),G96=0),IF(G97=0,"",'Drilling Spec'!$C$26),I96)</f>
        <v>719.22438782276038</v>
      </c>
      <c r="K96" s="16">
        <f>MAX(0,J96-'Drilling Spec'!$C$30)</f>
        <v>639.22438782276038</v>
      </c>
      <c r="L96" s="18">
        <f>IFERROR(K96/'Drilling Spec'!$C$31,0)</f>
        <v>42.614959188184024</v>
      </c>
      <c r="M96" s="21">
        <f t="shared" si="37"/>
        <v>0</v>
      </c>
      <c r="N96" s="4">
        <f t="shared" si="30"/>
        <v>144</v>
      </c>
      <c r="O96" s="21">
        <f t="shared" si="24"/>
        <v>0</v>
      </c>
      <c r="P96" s="18">
        <f>(SQRT(4*P95*P95*vB*vB + 'Drilling Spec'!$C$48*P95 + WB*('Drilling Spec'!$C$49 + 2*lB*vB*(sB*WB + 2*vB*O96/(1+eB)) + 'Drilling Spec'!$C$50)) - 'Drilling Spec'!$C$51)/(2*vB)</f>
        <v>759.86189926823238</v>
      </c>
      <c r="Q96" s="18">
        <f>IF(AND(OR(R95=0,R95=""),N96=0),IF(N97=0,"",'Drilling Spec'!$C$30),P96)</f>
        <v>759.86189926823238</v>
      </c>
      <c r="S96">
        <f t="shared" si="33"/>
        <v>46</v>
      </c>
      <c r="T96" s="10"/>
      <c r="U96">
        <f>IF('Baseline 2 - Good, 16hr'!L97&gt;'Baseline 2 - Good, 16hr'!S96,'Drilling Spec'!$C$36,)</f>
        <v>0</v>
      </c>
      <c r="W96" s="17">
        <f>(J96-'Drilling Spec'!$C$26)/'Drilling Spec'!$C$38</f>
        <v>108.20406463712673</v>
      </c>
      <c r="X96" s="17">
        <f t="shared" si="25"/>
        <v>0</v>
      </c>
      <c r="Y96" s="17">
        <f t="shared" si="26"/>
        <v>8.2040646371267343</v>
      </c>
      <c r="Z96" s="10"/>
      <c r="AA96">
        <f>IF(Y96&lt;'Drilling Spec'!$C$39,,'Drilling Spec'!$C$39)</f>
        <v>0</v>
      </c>
      <c r="AD96" s="16">
        <f t="shared" si="38"/>
        <v>-719.22438782276038</v>
      </c>
      <c r="AE96" s="16">
        <f t="shared" si="28"/>
        <v>-759.86189926823238</v>
      </c>
      <c r="AF96">
        <f>-'Drilling Spec'!$C$29</f>
        <v>-720</v>
      </c>
      <c r="AG96">
        <f>-'Drilling Spec'!$C$27</f>
        <v>-624</v>
      </c>
      <c r="AH96">
        <f>-'Drilling Spec'!$C$28</f>
        <v>-688</v>
      </c>
      <c r="AI96" t="e">
        <f t="shared" si="29"/>
        <v>#N/A</v>
      </c>
      <c r="AJ96" t="e">
        <f>IF(T96=0,NA(),-'Drilling Spec'!$C$26/2)</f>
        <v>#N/A</v>
      </c>
      <c r="AK96" t="e">
        <f>IF(U96=0,NA(),-'Drilling Spec'!$C$26/2)</f>
        <v>#N/A</v>
      </c>
      <c r="AL96" t="e">
        <f>IF(Z96=0,NA(),-'Drilling Spec'!$C$26*3/2)</f>
        <v>#N/A</v>
      </c>
      <c r="AM96" t="e">
        <f>IF(AA96=0,NA(),-'Drilling Spec'!$C$26*3/2)</f>
        <v>#N/A</v>
      </c>
    </row>
    <row r="97" spans="2:39" x14ac:dyDescent="0.35">
      <c r="B97" s="2">
        <f t="shared" si="35"/>
        <v>46065</v>
      </c>
      <c r="C97" t="str">
        <f t="shared" si="19"/>
        <v>Thu</v>
      </c>
      <c r="D97" s="10"/>
      <c r="E97" s="10"/>
      <c r="F97" s="4">
        <f t="shared" si="20"/>
        <v>0</v>
      </c>
      <c r="G97" s="4">
        <f t="shared" si="36"/>
        <v>808</v>
      </c>
      <c r="H97" s="4">
        <f t="shared" si="22"/>
        <v>0</v>
      </c>
      <c r="I97" s="15">
        <f>(SQRT(4*J96*J96*V*V + 'Drilling Spec'!$C$42*J96 + W*('Drilling Spec'!$C$43 + 2*l*V*(s*W + 2*V*H97/(1+e)) + 'Drilling Spec'!$C$44)) - 'Drilling Spec'!$C$45)/(2*V)</f>
        <v>719.22438782276038</v>
      </c>
      <c r="J97" s="16">
        <f>IF(AND(OR(J96=0,J96=""),G97=0),IF(G98=0,"",'Drilling Spec'!$C$26),I97)</f>
        <v>719.22438782276038</v>
      </c>
      <c r="K97" s="16">
        <f>MAX(0,J97-'Drilling Spec'!$C$30)</f>
        <v>639.22438782276038</v>
      </c>
      <c r="L97" s="18">
        <f>IFERROR(K97/'Drilling Spec'!$C$31,0)</f>
        <v>42.614959188184024</v>
      </c>
      <c r="M97" s="21">
        <f t="shared" si="37"/>
        <v>0</v>
      </c>
      <c r="N97" s="4">
        <f t="shared" si="30"/>
        <v>144</v>
      </c>
      <c r="O97" s="21">
        <f t="shared" si="24"/>
        <v>0</v>
      </c>
      <c r="P97" s="18">
        <f>(SQRT(4*P96*P96*vB*vB + 'Drilling Spec'!$C$48*P96 + WB*('Drilling Spec'!$C$49 + 2*lB*vB*(sB*WB + 2*vB*O97/(1+eB)) + 'Drilling Spec'!$C$50)) - 'Drilling Spec'!$C$51)/(2*vB)</f>
        <v>759.86189926823238</v>
      </c>
      <c r="Q97" s="18">
        <f>IF(AND(OR(R96=0,R96=""),N97=0),IF(N98=0,"",'Drilling Spec'!$C$30),P97)</f>
        <v>759.86189926823238</v>
      </c>
      <c r="S97">
        <f t="shared" si="33"/>
        <v>46</v>
      </c>
      <c r="T97" s="10"/>
      <c r="U97">
        <f>IF('Baseline 2 - Good, 16hr'!L98&gt;'Baseline 2 - Good, 16hr'!S97,'Drilling Spec'!$C$36,)</f>
        <v>0</v>
      </c>
      <c r="W97" s="17">
        <f>(J97-'Drilling Spec'!$C$26)/'Drilling Spec'!$C$38</f>
        <v>108.20406463712673</v>
      </c>
      <c r="X97" s="17">
        <f t="shared" si="25"/>
        <v>0</v>
      </c>
      <c r="Y97" s="17">
        <f t="shared" si="26"/>
        <v>8.2040646371267343</v>
      </c>
      <c r="Z97" s="10"/>
      <c r="AA97">
        <f>IF(Y97&lt;'Drilling Spec'!$C$39,,'Drilling Spec'!$C$39)</f>
        <v>0</v>
      </c>
      <c r="AD97" s="16">
        <f t="shared" si="38"/>
        <v>-719.22438782276038</v>
      </c>
      <c r="AE97" s="16">
        <f t="shared" si="28"/>
        <v>-759.86189926823238</v>
      </c>
      <c r="AF97">
        <f>-'Drilling Spec'!$C$29</f>
        <v>-720</v>
      </c>
      <c r="AG97">
        <f>-'Drilling Spec'!$C$27</f>
        <v>-624</v>
      </c>
      <c r="AH97">
        <f>-'Drilling Spec'!$C$28</f>
        <v>-688</v>
      </c>
      <c r="AI97" t="e">
        <f t="shared" si="29"/>
        <v>#N/A</v>
      </c>
      <c r="AJ97" t="e">
        <f>IF(T97=0,NA(),-'Drilling Spec'!$C$26/2)</f>
        <v>#N/A</v>
      </c>
      <c r="AK97" t="e">
        <f>IF(U97=0,NA(),-'Drilling Spec'!$C$26/2)</f>
        <v>#N/A</v>
      </c>
      <c r="AL97" t="e">
        <f>IF(Z97=0,NA(),-'Drilling Spec'!$C$26*3/2)</f>
        <v>#N/A</v>
      </c>
      <c r="AM97" t="e">
        <f>IF(AA97=0,NA(),-'Drilling Spec'!$C$26*3/2)</f>
        <v>#N/A</v>
      </c>
    </row>
    <row r="98" spans="2:39" x14ac:dyDescent="0.35">
      <c r="B98" s="2">
        <f t="shared" si="35"/>
        <v>46066</v>
      </c>
      <c r="C98" t="str">
        <f t="shared" si="19"/>
        <v>Fri</v>
      </c>
      <c r="D98" s="10"/>
      <c r="E98" s="10"/>
      <c r="F98" s="4">
        <f t="shared" si="20"/>
        <v>0</v>
      </c>
      <c r="G98" s="4">
        <f t="shared" si="36"/>
        <v>808</v>
      </c>
      <c r="H98" s="4">
        <f t="shared" si="22"/>
        <v>0</v>
      </c>
      <c r="I98" s="15">
        <f>(SQRT(4*J97*J97*V*V + 'Drilling Spec'!$C$42*J97 + W*('Drilling Spec'!$C$43 + 2*l*V*(s*W + 2*V*H98/(1+e)) + 'Drilling Spec'!$C$44)) - 'Drilling Spec'!$C$45)/(2*V)</f>
        <v>719.22438782276038</v>
      </c>
      <c r="J98" s="16">
        <f>IF(AND(OR(J97=0,J97=""),G98=0),IF(G99=0,"",'Drilling Spec'!$C$26),I98)</f>
        <v>719.22438782276038</v>
      </c>
      <c r="K98" s="16">
        <f>MAX(0,J98-'Drilling Spec'!$C$30)</f>
        <v>639.22438782276038</v>
      </c>
      <c r="L98" s="18">
        <f>IFERROR(K98/'Drilling Spec'!$C$31,0)</f>
        <v>42.614959188184024</v>
      </c>
      <c r="M98" s="21">
        <f t="shared" si="37"/>
        <v>0</v>
      </c>
      <c r="N98" s="4">
        <f t="shared" si="30"/>
        <v>144</v>
      </c>
      <c r="O98" s="21">
        <f t="shared" si="24"/>
        <v>0</v>
      </c>
      <c r="P98" s="18">
        <f>(SQRT(4*P97*P97*vB*vB + 'Drilling Spec'!$C$48*P97 + WB*('Drilling Spec'!$C$49 + 2*lB*vB*(sB*WB + 2*vB*O98/(1+eB)) + 'Drilling Spec'!$C$50)) - 'Drilling Spec'!$C$51)/(2*vB)</f>
        <v>759.86189926823238</v>
      </c>
      <c r="Q98" s="18">
        <f>IF(AND(OR(R97=0,R97=""),N98=0),IF(N99=0,"",'Drilling Spec'!$C$30),P98)</f>
        <v>759.86189926823238</v>
      </c>
      <c r="S98">
        <f t="shared" si="33"/>
        <v>46</v>
      </c>
      <c r="T98" s="10"/>
      <c r="U98">
        <f>IF('Baseline 2 - Good, 16hr'!L99&gt;'Baseline 2 - Good, 16hr'!S98,'Drilling Spec'!$C$36,)</f>
        <v>0</v>
      </c>
      <c r="W98" s="17">
        <f>(J98-'Drilling Spec'!$C$26)/'Drilling Spec'!$C$38</f>
        <v>108.20406463712673</v>
      </c>
      <c r="X98" s="17">
        <f t="shared" si="25"/>
        <v>0</v>
      </c>
      <c r="Y98" s="17">
        <f t="shared" si="26"/>
        <v>8.2040646371267343</v>
      </c>
      <c r="Z98" s="10"/>
      <c r="AA98">
        <f>IF(Y98&lt;'Drilling Spec'!$C$39,,'Drilling Spec'!$C$39)</f>
        <v>0</v>
      </c>
      <c r="AD98" s="16">
        <f t="shared" si="38"/>
        <v>-719.22438782276038</v>
      </c>
      <c r="AE98" s="16">
        <f t="shared" si="28"/>
        <v>-759.86189926823238</v>
      </c>
      <c r="AF98">
        <f>-'Drilling Spec'!$C$29</f>
        <v>-720</v>
      </c>
      <c r="AG98">
        <f>-'Drilling Spec'!$C$27</f>
        <v>-624</v>
      </c>
      <c r="AH98">
        <f>-'Drilling Spec'!$C$28</f>
        <v>-688</v>
      </c>
      <c r="AI98" t="e">
        <f t="shared" si="29"/>
        <v>#N/A</v>
      </c>
      <c r="AJ98" t="e">
        <f>IF(T98=0,NA(),-'Drilling Spec'!$C$26/2)</f>
        <v>#N/A</v>
      </c>
      <c r="AK98" t="e">
        <f>IF(U98=0,NA(),-'Drilling Spec'!$C$26/2)</f>
        <v>#N/A</v>
      </c>
      <c r="AL98" t="e">
        <f>IF(Z98=0,NA(),-'Drilling Spec'!$C$26*3/2)</f>
        <v>#N/A</v>
      </c>
      <c r="AM98" t="e">
        <f>IF(AA98=0,NA(),-'Drilling Spec'!$C$26*3/2)</f>
        <v>#N/A</v>
      </c>
    </row>
    <row r="99" spans="2:39" x14ac:dyDescent="0.35">
      <c r="B99" s="2">
        <f t="shared" si="35"/>
        <v>46067</v>
      </c>
      <c r="C99" t="str">
        <f t="shared" si="19"/>
        <v>Sat</v>
      </c>
      <c r="D99" s="10"/>
      <c r="E99" s="10"/>
      <c r="F99" s="4">
        <f t="shared" si="20"/>
        <v>0</v>
      </c>
      <c r="G99" s="4">
        <f t="shared" si="36"/>
        <v>808</v>
      </c>
      <c r="H99" s="4">
        <f t="shared" si="22"/>
        <v>0</v>
      </c>
      <c r="I99" s="15">
        <f>(SQRT(4*J98*J98*V*V + 'Drilling Spec'!$C$42*J98 + W*('Drilling Spec'!$C$43 + 2*l*V*(s*W + 2*V*H99/(1+e)) + 'Drilling Spec'!$C$44)) - 'Drilling Spec'!$C$45)/(2*V)</f>
        <v>719.22438782276038</v>
      </c>
      <c r="J99" s="16">
        <f>IF(AND(OR(J98=0,J98=""),G99=0),IF(G100=0,"",'Drilling Spec'!$C$26),I99)</f>
        <v>719.22438782276038</v>
      </c>
      <c r="K99" s="16">
        <f>MAX(0,J99-'Drilling Spec'!$C$30)</f>
        <v>639.22438782276038</v>
      </c>
      <c r="L99" s="18">
        <f>IFERROR(K99/'Drilling Spec'!$C$31,0)</f>
        <v>42.614959188184024</v>
      </c>
      <c r="M99" s="21">
        <f t="shared" si="37"/>
        <v>0</v>
      </c>
      <c r="N99" s="4">
        <f t="shared" si="30"/>
        <v>144</v>
      </c>
      <c r="O99" s="21">
        <f t="shared" si="24"/>
        <v>0</v>
      </c>
      <c r="P99" s="18">
        <f>(SQRT(4*P98*P98*vB*vB + 'Drilling Spec'!$C$48*P98 + WB*('Drilling Spec'!$C$49 + 2*lB*vB*(sB*WB + 2*vB*O99/(1+eB)) + 'Drilling Spec'!$C$50)) - 'Drilling Spec'!$C$51)/(2*vB)</f>
        <v>759.86189926823238</v>
      </c>
      <c r="Q99" s="18">
        <f>IF(AND(OR(R98=0,R98=""),N99=0),IF(N100=0,"",'Drilling Spec'!$C$30),P99)</f>
        <v>759.86189926823238</v>
      </c>
      <c r="S99">
        <f t="shared" si="33"/>
        <v>46</v>
      </c>
      <c r="T99" s="10"/>
      <c r="U99">
        <f>IF('Baseline 2 - Good, 16hr'!L100&gt;'Baseline 2 - Good, 16hr'!S99,'Drilling Spec'!$C$36,)</f>
        <v>0</v>
      </c>
      <c r="W99" s="17">
        <f>(J99-'Drilling Spec'!$C$26)/'Drilling Spec'!$C$38</f>
        <v>108.20406463712673</v>
      </c>
      <c r="X99" s="17">
        <f t="shared" ref="X99:X112" si="39">IFERROR(W99-W98,0)</f>
        <v>0</v>
      </c>
      <c r="Y99" s="17">
        <f t="shared" ref="Y99:Y112" si="40">Y98+X99-Z99-AA98</f>
        <v>8.2040646371267343</v>
      </c>
      <c r="Z99" s="10"/>
      <c r="AA99">
        <f>IF(Y99&lt;'Drilling Spec'!$C$39,,'Drilling Spec'!$C$39)</f>
        <v>0</v>
      </c>
      <c r="AD99" s="16">
        <f t="shared" si="38"/>
        <v>-719.22438782276038</v>
      </c>
      <c r="AE99" s="16">
        <f t="shared" si="28"/>
        <v>-759.86189926823238</v>
      </c>
      <c r="AF99">
        <f>-'Drilling Spec'!$C$29</f>
        <v>-720</v>
      </c>
      <c r="AG99">
        <f>-'Drilling Spec'!$C$27</f>
        <v>-624</v>
      </c>
      <c r="AH99">
        <f>-'Drilling Spec'!$C$28</f>
        <v>-688</v>
      </c>
      <c r="AI99" t="e">
        <f t="shared" si="29"/>
        <v>#N/A</v>
      </c>
      <c r="AJ99" t="e">
        <f>IF(T99=0,NA(),-'Drilling Spec'!$C$26/2)</f>
        <v>#N/A</v>
      </c>
      <c r="AK99" t="e">
        <f>IF(U99=0,NA(),-'Drilling Spec'!$C$26/2)</f>
        <v>#N/A</v>
      </c>
      <c r="AL99" t="e">
        <f>IF(Z99=0,NA(),-'Drilling Spec'!$C$26*3/2)</f>
        <v>#N/A</v>
      </c>
      <c r="AM99" t="e">
        <f>IF(AA99=0,NA(),-'Drilling Spec'!$C$26*3/2)</f>
        <v>#N/A</v>
      </c>
    </row>
    <row r="100" spans="2:39" x14ac:dyDescent="0.35">
      <c r="B100" s="2">
        <f t="shared" si="35"/>
        <v>46068</v>
      </c>
      <c r="C100" t="str">
        <f t="shared" si="19"/>
        <v>Sun</v>
      </c>
      <c r="D100" s="10"/>
      <c r="E100" s="10"/>
      <c r="F100" s="4">
        <f t="shared" si="20"/>
        <v>0</v>
      </c>
      <c r="G100" s="4">
        <f t="shared" si="36"/>
        <v>808</v>
      </c>
      <c r="H100" s="4">
        <f t="shared" si="22"/>
        <v>0</v>
      </c>
      <c r="I100" s="15">
        <f>(SQRT(4*J99*J99*V*V + 'Drilling Spec'!$C$42*J99 + W*('Drilling Spec'!$C$43 + 2*l*V*(s*W + 2*V*H100/(1+e)) + 'Drilling Spec'!$C$44)) - 'Drilling Spec'!$C$45)/(2*V)</f>
        <v>719.22438782276038</v>
      </c>
      <c r="J100" s="16">
        <f>IF(AND(OR(J99=0,J99=""),G100=0),IF(G101=0,"",'Drilling Spec'!$C$26),I100)</f>
        <v>719.22438782276038</v>
      </c>
      <c r="K100" s="16">
        <f>MAX(0,J100-'Drilling Spec'!$C$30)</f>
        <v>639.22438782276038</v>
      </c>
      <c r="L100" s="18">
        <f>IFERROR(K100/'Drilling Spec'!$C$31,0)</f>
        <v>42.614959188184024</v>
      </c>
      <c r="M100" s="21">
        <f t="shared" si="37"/>
        <v>0</v>
      </c>
      <c r="N100" s="4">
        <f t="shared" si="30"/>
        <v>144</v>
      </c>
      <c r="O100" s="21">
        <f t="shared" si="24"/>
        <v>0</v>
      </c>
      <c r="P100" s="18">
        <f>(SQRT(4*P99*P99*vB*vB + 'Drilling Spec'!$C$48*P99 + WB*('Drilling Spec'!$C$49 + 2*lB*vB*(sB*WB + 2*vB*O100/(1+eB)) + 'Drilling Spec'!$C$50)) - 'Drilling Spec'!$C$51)/(2*vB)</f>
        <v>759.86189926823238</v>
      </c>
      <c r="Q100" s="18">
        <f>IF(AND(OR(R99=0,R99=""),N100=0),IF(N101=0,"",'Drilling Spec'!$C$30),P100)</f>
        <v>759.86189926823238</v>
      </c>
      <c r="S100">
        <f t="shared" si="33"/>
        <v>46</v>
      </c>
      <c r="T100" s="10"/>
      <c r="U100">
        <f>IF('Baseline 2 - Good, 16hr'!L101&gt;'Baseline 2 - Good, 16hr'!S100,'Drilling Spec'!$C$36,)</f>
        <v>0</v>
      </c>
      <c r="W100" s="17">
        <f>(J100-'Drilling Spec'!$C$26)/'Drilling Spec'!$C$38</f>
        <v>108.20406463712673</v>
      </c>
      <c r="X100" s="17">
        <f t="shared" si="39"/>
        <v>0</v>
      </c>
      <c r="Y100" s="17">
        <f t="shared" si="40"/>
        <v>8.2040646371267343</v>
      </c>
      <c r="Z100" s="10"/>
      <c r="AA100">
        <f>IF(Y100&lt;'Drilling Spec'!$C$39,,'Drilling Spec'!$C$39)</f>
        <v>0</v>
      </c>
      <c r="AD100" s="16">
        <f t="shared" si="38"/>
        <v>-719.22438782276038</v>
      </c>
      <c r="AE100" s="16">
        <f t="shared" si="28"/>
        <v>-759.86189926823238</v>
      </c>
      <c r="AF100">
        <f>-'Drilling Spec'!$C$29</f>
        <v>-720</v>
      </c>
      <c r="AG100">
        <f>-'Drilling Spec'!$C$27</f>
        <v>-624</v>
      </c>
      <c r="AH100">
        <f>-'Drilling Spec'!$C$28</f>
        <v>-688</v>
      </c>
      <c r="AI100" t="e">
        <f t="shared" si="29"/>
        <v>#N/A</v>
      </c>
      <c r="AJ100" t="e">
        <f>IF(T100=0,NA(),-'Drilling Spec'!$C$26/2)</f>
        <v>#N/A</v>
      </c>
      <c r="AK100" t="e">
        <f>IF(U100=0,NA(),-'Drilling Spec'!$C$26/2)</f>
        <v>#N/A</v>
      </c>
      <c r="AL100" t="e">
        <f>IF(Z100=0,NA(),-'Drilling Spec'!$C$26*3/2)</f>
        <v>#N/A</v>
      </c>
      <c r="AM100" t="e">
        <f>IF(AA100=0,NA(),-'Drilling Spec'!$C$26*3/2)</f>
        <v>#N/A</v>
      </c>
    </row>
    <row r="101" spans="2:39" x14ac:dyDescent="0.35">
      <c r="B101" s="2">
        <f t="shared" si="35"/>
        <v>46069</v>
      </c>
      <c r="C101" t="str">
        <f t="shared" si="19"/>
        <v>Mon</v>
      </c>
      <c r="D101" s="10"/>
      <c r="E101" s="10"/>
      <c r="F101" s="4">
        <f t="shared" si="20"/>
        <v>0</v>
      </c>
      <c r="G101" s="4">
        <f t="shared" si="36"/>
        <v>808</v>
      </c>
      <c r="H101" s="4">
        <f t="shared" si="22"/>
        <v>0</v>
      </c>
      <c r="I101" s="15">
        <f>(SQRT(4*J100*J100*V*V + 'Drilling Spec'!$C$42*J100 + W*('Drilling Spec'!$C$43 + 2*l*V*(s*W + 2*V*H101/(1+e)) + 'Drilling Spec'!$C$44)) - 'Drilling Spec'!$C$45)/(2*V)</f>
        <v>719.22438782276038</v>
      </c>
      <c r="J101" s="16">
        <f>IF(AND(OR(J100=0,J100=""),G101=0),IF(G102=0,"",'Drilling Spec'!$C$26),I101)</f>
        <v>719.22438782276038</v>
      </c>
      <c r="K101" s="16">
        <f>MAX(0,J101-'Drilling Spec'!$C$30)</f>
        <v>639.22438782276038</v>
      </c>
      <c r="L101" s="18">
        <f>IFERROR(K101/'Drilling Spec'!$C$31,0)</f>
        <v>42.614959188184024</v>
      </c>
      <c r="M101" s="21">
        <f t="shared" si="37"/>
        <v>0</v>
      </c>
      <c r="N101" s="4">
        <f t="shared" si="30"/>
        <v>144</v>
      </c>
      <c r="O101" s="21">
        <f t="shared" si="24"/>
        <v>0</v>
      </c>
      <c r="P101" s="18">
        <f>(SQRT(4*P100*P100*vB*vB + 'Drilling Spec'!$C$48*P100 + WB*('Drilling Spec'!$C$49 + 2*lB*vB*(sB*WB + 2*vB*O101/(1+eB)) + 'Drilling Spec'!$C$50)) - 'Drilling Spec'!$C$51)/(2*vB)</f>
        <v>759.86189926823238</v>
      </c>
      <c r="Q101" s="18">
        <f>IF(AND(OR(R100=0,R100=""),N101=0),IF(N102=0,"",'Drilling Spec'!$C$30),P101)</f>
        <v>759.86189926823238</v>
      </c>
      <c r="S101">
        <f t="shared" si="33"/>
        <v>46</v>
      </c>
      <c r="T101" s="10"/>
      <c r="U101">
        <f>IF('Baseline 2 - Good, 16hr'!L102&gt;'Baseline 2 - Good, 16hr'!S101,'Drilling Spec'!$C$36,)</f>
        <v>0</v>
      </c>
      <c r="W101" s="17">
        <f>(J101-'Drilling Spec'!$C$26)/'Drilling Spec'!$C$38</f>
        <v>108.20406463712673</v>
      </c>
      <c r="X101" s="17">
        <f t="shared" si="39"/>
        <v>0</v>
      </c>
      <c r="Y101" s="17">
        <f t="shared" si="40"/>
        <v>8.2040646371267343</v>
      </c>
      <c r="Z101" s="10"/>
      <c r="AA101">
        <f>IF(Y101&lt;'Drilling Spec'!$C$39,,'Drilling Spec'!$C$39)</f>
        <v>0</v>
      </c>
      <c r="AD101" s="16">
        <f t="shared" si="38"/>
        <v>-719.22438782276038</v>
      </c>
      <c r="AE101" s="16">
        <f t="shared" si="28"/>
        <v>-759.86189926823238</v>
      </c>
      <c r="AF101">
        <f>-'Drilling Spec'!$C$29</f>
        <v>-720</v>
      </c>
      <c r="AG101">
        <f>-'Drilling Spec'!$C$27</f>
        <v>-624</v>
      </c>
      <c r="AH101">
        <f>-'Drilling Spec'!$C$28</f>
        <v>-688</v>
      </c>
      <c r="AI101" t="e">
        <f t="shared" si="29"/>
        <v>#N/A</v>
      </c>
      <c r="AJ101" t="e">
        <f>IF(T101=0,NA(),-'Drilling Spec'!$C$26/2)</f>
        <v>#N/A</v>
      </c>
      <c r="AK101" t="e">
        <f>IF(U101=0,NA(),-'Drilling Spec'!$C$26/2)</f>
        <v>#N/A</v>
      </c>
      <c r="AL101" t="e">
        <f>IF(Z101=0,NA(),-'Drilling Spec'!$C$26*3/2)</f>
        <v>#N/A</v>
      </c>
      <c r="AM101" t="e">
        <f>IF(AA101=0,NA(),-'Drilling Spec'!$C$26*3/2)</f>
        <v>#N/A</v>
      </c>
    </row>
    <row r="102" spans="2:39" x14ac:dyDescent="0.35">
      <c r="B102" s="2">
        <f t="shared" si="35"/>
        <v>46070</v>
      </c>
      <c r="C102" t="str">
        <f t="shared" si="19"/>
        <v>Tue</v>
      </c>
      <c r="D102" s="10"/>
      <c r="E102" s="10"/>
      <c r="F102" s="4">
        <f t="shared" si="20"/>
        <v>0</v>
      </c>
      <c r="G102" s="4">
        <f t="shared" si="36"/>
        <v>808</v>
      </c>
      <c r="H102" s="4">
        <f t="shared" si="22"/>
        <v>0</v>
      </c>
      <c r="I102" s="15">
        <f>(SQRT(4*J101*J101*V*V + 'Drilling Spec'!$C$42*J101 + W*('Drilling Spec'!$C$43 + 2*l*V*(s*W + 2*V*H102/(1+e)) + 'Drilling Spec'!$C$44)) - 'Drilling Spec'!$C$45)/(2*V)</f>
        <v>719.22438782276038</v>
      </c>
      <c r="J102" s="16">
        <f>IF(AND(OR(J101=0,J101=""),G102=0),IF(G103=0,"",'Drilling Spec'!$C$26),I102)</f>
        <v>719.22438782276038</v>
      </c>
      <c r="K102" s="16">
        <f>MAX(0,J102-'Drilling Spec'!$C$30)</f>
        <v>639.22438782276038</v>
      </c>
      <c r="L102" s="18">
        <f>IFERROR(K102/'Drilling Spec'!$C$31,0)</f>
        <v>42.614959188184024</v>
      </c>
      <c r="M102" s="21">
        <f t="shared" si="37"/>
        <v>0</v>
      </c>
      <c r="N102" s="4">
        <f t="shared" si="30"/>
        <v>144</v>
      </c>
      <c r="O102" s="21">
        <f t="shared" si="24"/>
        <v>0</v>
      </c>
      <c r="P102" s="18">
        <f>(SQRT(4*P101*P101*vB*vB + 'Drilling Spec'!$C$48*P101 + WB*('Drilling Spec'!$C$49 + 2*lB*vB*(sB*WB + 2*vB*O102/(1+eB)) + 'Drilling Spec'!$C$50)) - 'Drilling Spec'!$C$51)/(2*vB)</f>
        <v>759.86189926823238</v>
      </c>
      <c r="Q102" s="18">
        <f>IF(AND(OR(R101=0,R101=""),N102=0),IF(N103=0,"",'Drilling Spec'!$C$30),P102)</f>
        <v>759.86189926823238</v>
      </c>
      <c r="S102">
        <f t="shared" si="33"/>
        <v>46</v>
      </c>
      <c r="T102" s="10"/>
      <c r="U102">
        <f>IF('Baseline 2 - Good, 16hr'!L103&gt;'Baseline 2 - Good, 16hr'!S102,'Drilling Spec'!$C$36,)</f>
        <v>0</v>
      </c>
      <c r="W102" s="17">
        <f>(J102-'Drilling Spec'!$C$26)/'Drilling Spec'!$C$38</f>
        <v>108.20406463712673</v>
      </c>
      <c r="X102" s="17">
        <f t="shared" si="39"/>
        <v>0</v>
      </c>
      <c r="Y102" s="17">
        <f t="shared" si="40"/>
        <v>8.2040646371267343</v>
      </c>
      <c r="Z102" s="10"/>
      <c r="AA102">
        <f>IF(Y102&lt;'Drilling Spec'!$C$39,,'Drilling Spec'!$C$39)</f>
        <v>0</v>
      </c>
      <c r="AD102" s="16">
        <f t="shared" si="38"/>
        <v>-719.22438782276038</v>
      </c>
      <c r="AE102" s="16">
        <f t="shared" si="28"/>
        <v>-759.86189926823238</v>
      </c>
      <c r="AF102">
        <f>-'Drilling Spec'!$C$29</f>
        <v>-720</v>
      </c>
      <c r="AG102">
        <f>-'Drilling Spec'!$C$27</f>
        <v>-624</v>
      </c>
      <c r="AH102">
        <f>-'Drilling Spec'!$C$28</f>
        <v>-688</v>
      </c>
      <c r="AI102" t="e">
        <f t="shared" si="29"/>
        <v>#N/A</v>
      </c>
      <c r="AJ102" t="e">
        <f>IF(T102=0,NA(),-'Drilling Spec'!$C$26/2)</f>
        <v>#N/A</v>
      </c>
      <c r="AK102" t="e">
        <f>IF(U102=0,NA(),-'Drilling Spec'!$C$26/2)</f>
        <v>#N/A</v>
      </c>
      <c r="AL102" t="e">
        <f>IF(Z102=0,NA(),-'Drilling Spec'!$C$26*3/2)</f>
        <v>#N/A</v>
      </c>
      <c r="AM102" t="e">
        <f>IF(AA102=0,NA(),-'Drilling Spec'!$C$26*3/2)</f>
        <v>#N/A</v>
      </c>
    </row>
    <row r="103" spans="2:39" x14ac:dyDescent="0.35">
      <c r="B103" s="2">
        <f t="shared" si="35"/>
        <v>46071</v>
      </c>
      <c r="C103" t="str">
        <f t="shared" si="19"/>
        <v>Wed</v>
      </c>
      <c r="D103" s="10"/>
      <c r="E103" s="10"/>
      <c r="F103" s="4">
        <f t="shared" si="20"/>
        <v>0</v>
      </c>
      <c r="G103" s="4">
        <f t="shared" si="36"/>
        <v>808</v>
      </c>
      <c r="H103" s="4">
        <f t="shared" si="22"/>
        <v>0</v>
      </c>
      <c r="I103" s="15">
        <f>(SQRT(4*J102*J102*V*V + 'Drilling Spec'!$C$42*J102 + W*('Drilling Spec'!$C$43 + 2*l*V*(s*W + 2*V*H103/(1+e)) + 'Drilling Spec'!$C$44)) - 'Drilling Spec'!$C$45)/(2*V)</f>
        <v>719.22438782276038</v>
      </c>
      <c r="J103" s="16">
        <f>IF(AND(OR(J102=0,J102=""),G103=0),IF(G104=0,"",'Drilling Spec'!$C$26),I103)</f>
        <v>719.22438782276038</v>
      </c>
      <c r="K103" s="16">
        <f>MAX(0,J103-'Drilling Spec'!$C$30)</f>
        <v>639.22438782276038</v>
      </c>
      <c r="L103" s="18">
        <f>IFERROR(K103/'Drilling Spec'!$C$31,0)</f>
        <v>42.614959188184024</v>
      </c>
      <c r="M103" s="21">
        <f t="shared" si="37"/>
        <v>0</v>
      </c>
      <c r="N103" s="4">
        <f t="shared" si="30"/>
        <v>144</v>
      </c>
      <c r="O103" s="21">
        <f t="shared" si="24"/>
        <v>0</v>
      </c>
      <c r="P103" s="18">
        <f>(SQRT(4*P102*P102*vB*vB + 'Drilling Spec'!$C$48*P102 + WB*('Drilling Spec'!$C$49 + 2*lB*vB*(sB*WB + 2*vB*O103/(1+eB)) + 'Drilling Spec'!$C$50)) - 'Drilling Spec'!$C$51)/(2*vB)</f>
        <v>759.86189926823238</v>
      </c>
      <c r="Q103" s="18">
        <f>IF(AND(OR(R102=0,R102=""),N103=0),IF(N104=0,"",'Drilling Spec'!$C$30),P103)</f>
        <v>759.86189926823238</v>
      </c>
      <c r="S103">
        <f t="shared" si="33"/>
        <v>46</v>
      </c>
      <c r="T103" s="10"/>
      <c r="U103">
        <f>IF('Baseline 2 - Good, 16hr'!L104&gt;'Baseline 2 - Good, 16hr'!S103,'Drilling Spec'!$C$36,)</f>
        <v>0</v>
      </c>
      <c r="W103" s="17">
        <f>(J103-'Drilling Spec'!$C$26)/'Drilling Spec'!$C$38</f>
        <v>108.20406463712673</v>
      </c>
      <c r="X103" s="17">
        <f t="shared" si="39"/>
        <v>0</v>
      </c>
      <c r="Y103" s="17">
        <f t="shared" si="40"/>
        <v>8.2040646371267343</v>
      </c>
      <c r="Z103" s="10"/>
      <c r="AA103">
        <f>IF(Y103&lt;'Drilling Spec'!$C$39,,'Drilling Spec'!$C$39)</f>
        <v>0</v>
      </c>
      <c r="AD103" s="16">
        <f t="shared" si="38"/>
        <v>-719.22438782276038</v>
      </c>
      <c r="AE103" s="16">
        <f t="shared" si="28"/>
        <v>-759.86189926823238</v>
      </c>
      <c r="AF103">
        <f>-'Drilling Spec'!$C$29</f>
        <v>-720</v>
      </c>
      <c r="AG103">
        <f>-'Drilling Spec'!$C$27</f>
        <v>-624</v>
      </c>
      <c r="AH103">
        <f>-'Drilling Spec'!$C$28</f>
        <v>-688</v>
      </c>
      <c r="AI103" t="e">
        <f t="shared" si="29"/>
        <v>#N/A</v>
      </c>
      <c r="AJ103" t="e">
        <f>IF(T103=0,NA(),-'Drilling Spec'!$C$26/2)</f>
        <v>#N/A</v>
      </c>
      <c r="AK103" t="e">
        <f>IF(U103=0,NA(),-'Drilling Spec'!$C$26/2)</f>
        <v>#N/A</v>
      </c>
      <c r="AL103" t="e">
        <f>IF(Z103=0,NA(),-'Drilling Spec'!$C$26*3/2)</f>
        <v>#N/A</v>
      </c>
      <c r="AM103" t="e">
        <f>IF(AA103=0,NA(),-'Drilling Spec'!$C$26*3/2)</f>
        <v>#N/A</v>
      </c>
    </row>
    <row r="104" spans="2:39" x14ac:dyDescent="0.35">
      <c r="B104" s="2">
        <f t="shared" si="35"/>
        <v>46072</v>
      </c>
      <c r="C104" t="str">
        <f t="shared" si="19"/>
        <v>Thu</v>
      </c>
      <c r="D104" s="10"/>
      <c r="E104" s="10"/>
      <c r="F104" s="4">
        <f t="shared" si="20"/>
        <v>0</v>
      </c>
      <c r="G104" s="4">
        <f t="shared" si="36"/>
        <v>808</v>
      </c>
      <c r="H104" s="4">
        <f t="shared" si="22"/>
        <v>0</v>
      </c>
      <c r="I104" s="15">
        <f>(SQRT(4*J103*J103*V*V + 'Drilling Spec'!$C$42*J103 + W*('Drilling Spec'!$C$43 + 2*l*V*(s*W + 2*V*H104/(1+e)) + 'Drilling Spec'!$C$44)) - 'Drilling Spec'!$C$45)/(2*V)</f>
        <v>719.22438782276038</v>
      </c>
      <c r="J104" s="16">
        <f>IF(AND(OR(J103=0,J103=""),G104=0),IF(G105=0,"",'Drilling Spec'!$C$26),I104)</f>
        <v>719.22438782276038</v>
      </c>
      <c r="K104" s="16">
        <f>MAX(0,J104-'Drilling Spec'!$C$30)</f>
        <v>639.22438782276038</v>
      </c>
      <c r="L104" s="18">
        <f>IFERROR(K104/'Drilling Spec'!$C$31,0)</f>
        <v>42.614959188184024</v>
      </c>
      <c r="M104" s="21">
        <f t="shared" si="37"/>
        <v>0</v>
      </c>
      <c r="N104" s="4">
        <f t="shared" si="30"/>
        <v>144</v>
      </c>
      <c r="O104" s="21">
        <f t="shared" si="24"/>
        <v>0</v>
      </c>
      <c r="P104" s="18">
        <f>(SQRT(4*P103*P103*vB*vB + 'Drilling Spec'!$C$48*P103 + WB*('Drilling Spec'!$C$49 + 2*lB*vB*(sB*WB + 2*vB*O104/(1+eB)) + 'Drilling Spec'!$C$50)) - 'Drilling Spec'!$C$51)/(2*vB)</f>
        <v>759.86189926823238</v>
      </c>
      <c r="Q104" s="18">
        <f>IF(AND(OR(R103=0,R103=""),N104=0),IF(N105=0,"",'Drilling Spec'!$C$30),P104)</f>
        <v>759.86189926823238</v>
      </c>
      <c r="S104">
        <f t="shared" si="33"/>
        <v>46</v>
      </c>
      <c r="T104" s="10"/>
      <c r="U104">
        <f>IF('Baseline 2 - Good, 16hr'!L105&gt;'Baseline 2 - Good, 16hr'!S104,'Drilling Spec'!$C$36,)</f>
        <v>0</v>
      </c>
      <c r="W104" s="17">
        <f>(J104-'Drilling Spec'!$C$26)/'Drilling Spec'!$C$38</f>
        <v>108.20406463712673</v>
      </c>
      <c r="X104" s="17">
        <f t="shared" si="39"/>
        <v>0</v>
      </c>
      <c r="Y104" s="17">
        <f t="shared" si="40"/>
        <v>8.2040646371267343</v>
      </c>
      <c r="Z104" s="10"/>
      <c r="AA104">
        <f>IF(Y104&lt;'Drilling Spec'!$C$39,,'Drilling Spec'!$C$39)</f>
        <v>0</v>
      </c>
      <c r="AD104" s="16">
        <f t="shared" si="38"/>
        <v>-719.22438782276038</v>
      </c>
      <c r="AE104" s="16">
        <f t="shared" si="28"/>
        <v>-759.86189926823238</v>
      </c>
      <c r="AF104">
        <f>-'Drilling Spec'!$C$29</f>
        <v>-720</v>
      </c>
      <c r="AG104">
        <f>-'Drilling Spec'!$C$27</f>
        <v>-624</v>
      </c>
      <c r="AH104">
        <f>-'Drilling Spec'!$C$28</f>
        <v>-688</v>
      </c>
      <c r="AI104" t="e">
        <f t="shared" si="29"/>
        <v>#N/A</v>
      </c>
      <c r="AJ104" t="e">
        <f>IF(T104=0,NA(),-'Drilling Spec'!$C$26/2)</f>
        <v>#N/A</v>
      </c>
      <c r="AK104" t="e">
        <f>IF(U104=0,NA(),-'Drilling Spec'!$C$26/2)</f>
        <v>#N/A</v>
      </c>
      <c r="AL104" t="e">
        <f>IF(Z104=0,NA(),-'Drilling Spec'!$C$26*3/2)</f>
        <v>#N/A</v>
      </c>
      <c r="AM104" t="e">
        <f>IF(AA104=0,NA(),-'Drilling Spec'!$C$26*3/2)</f>
        <v>#N/A</v>
      </c>
    </row>
    <row r="105" spans="2:39" x14ac:dyDescent="0.35">
      <c r="B105" s="2">
        <f t="shared" si="35"/>
        <v>46073</v>
      </c>
      <c r="C105" t="str">
        <f t="shared" si="19"/>
        <v>Fri</v>
      </c>
      <c r="D105" s="10"/>
      <c r="E105" s="10"/>
      <c r="F105" s="4">
        <f t="shared" si="20"/>
        <v>0</v>
      </c>
      <c r="G105" s="4">
        <f t="shared" si="36"/>
        <v>808</v>
      </c>
      <c r="H105" s="4">
        <f t="shared" si="22"/>
        <v>0</v>
      </c>
      <c r="I105" s="15">
        <f>(SQRT(4*J104*J104*V*V + 'Drilling Spec'!$C$42*J104 + W*('Drilling Spec'!$C$43 + 2*l*V*(s*W + 2*V*H105/(1+e)) + 'Drilling Spec'!$C$44)) - 'Drilling Spec'!$C$45)/(2*V)</f>
        <v>719.22438782276038</v>
      </c>
      <c r="J105" s="16">
        <f>IF(AND(OR(J104=0,J104=""),G105=0),IF(G106=0,"",'Drilling Spec'!$C$26),I105)</f>
        <v>719.22438782276038</v>
      </c>
      <c r="K105" s="16">
        <f>MAX(0,J105-'Drilling Spec'!$C$30)</f>
        <v>639.22438782276038</v>
      </c>
      <c r="L105" s="18">
        <f>IFERROR(K105/'Drilling Spec'!$C$31,0)</f>
        <v>42.614959188184024</v>
      </c>
      <c r="M105" s="21">
        <f t="shared" si="37"/>
        <v>0</v>
      </c>
      <c r="N105" s="4">
        <f t="shared" si="30"/>
        <v>144</v>
      </c>
      <c r="O105" s="21">
        <f t="shared" si="24"/>
        <v>0</v>
      </c>
      <c r="P105" s="18">
        <f>(SQRT(4*P104*P104*vB*vB + 'Drilling Spec'!$C$48*P104 + WB*('Drilling Spec'!$C$49 + 2*lB*vB*(sB*WB + 2*vB*O105/(1+eB)) + 'Drilling Spec'!$C$50)) - 'Drilling Spec'!$C$51)/(2*vB)</f>
        <v>759.86189926823238</v>
      </c>
      <c r="Q105" s="18">
        <f>IF(AND(OR(R104=0,R104=""),N105=0),IF(N106=0,"",'Drilling Spec'!$C$30),P105)</f>
        <v>759.86189926823238</v>
      </c>
      <c r="S105">
        <f t="shared" si="33"/>
        <v>46</v>
      </c>
      <c r="T105" s="10"/>
      <c r="U105">
        <f>IF('Baseline 2 - Good, 16hr'!L106&gt;'Baseline 2 - Good, 16hr'!S105,'Drilling Spec'!$C$36,)</f>
        <v>0</v>
      </c>
      <c r="W105" s="17">
        <f>(J105-'Drilling Spec'!$C$26)/'Drilling Spec'!$C$38</f>
        <v>108.20406463712673</v>
      </c>
      <c r="X105" s="17">
        <f t="shared" si="39"/>
        <v>0</v>
      </c>
      <c r="Y105" s="17">
        <f t="shared" si="40"/>
        <v>8.2040646371267343</v>
      </c>
      <c r="Z105" s="10"/>
      <c r="AA105">
        <f>IF(Y105&lt;'Drilling Spec'!$C$39,,'Drilling Spec'!$C$39)</f>
        <v>0</v>
      </c>
      <c r="AD105" s="16">
        <f t="shared" si="38"/>
        <v>-719.22438782276038</v>
      </c>
      <c r="AE105" s="16">
        <f t="shared" si="28"/>
        <v>-759.86189926823238</v>
      </c>
      <c r="AF105">
        <f>-'Drilling Spec'!$C$29</f>
        <v>-720</v>
      </c>
      <c r="AG105">
        <f>-'Drilling Spec'!$C$27</f>
        <v>-624</v>
      </c>
      <c r="AH105">
        <f>-'Drilling Spec'!$C$28</f>
        <v>-688</v>
      </c>
      <c r="AI105" t="e">
        <f t="shared" si="29"/>
        <v>#N/A</v>
      </c>
      <c r="AJ105" t="e">
        <f>IF(T105=0,NA(),-'Drilling Spec'!$C$26/2)</f>
        <v>#N/A</v>
      </c>
      <c r="AK105" t="e">
        <f>IF(U105=0,NA(),-'Drilling Spec'!$C$26/2)</f>
        <v>#N/A</v>
      </c>
      <c r="AL105" t="e">
        <f>IF(Z105=0,NA(),-'Drilling Spec'!$C$26*3/2)</f>
        <v>#N/A</v>
      </c>
      <c r="AM105" t="e">
        <f>IF(AA105=0,NA(),-'Drilling Spec'!$C$26*3/2)</f>
        <v>#N/A</v>
      </c>
    </row>
    <row r="106" spans="2:39" x14ac:dyDescent="0.35">
      <c r="B106" s="2">
        <f t="shared" si="35"/>
        <v>46074</v>
      </c>
      <c r="C106" t="str">
        <f t="shared" si="19"/>
        <v>Sat</v>
      </c>
      <c r="D106" s="10"/>
      <c r="E106" s="10"/>
      <c r="F106" s="4">
        <f t="shared" si="20"/>
        <v>0</v>
      </c>
      <c r="G106" s="4">
        <f t="shared" si="36"/>
        <v>808</v>
      </c>
      <c r="H106" s="4">
        <f t="shared" si="22"/>
        <v>0</v>
      </c>
      <c r="I106" s="15">
        <f>(SQRT(4*J105*J105*V*V + 'Drilling Spec'!$C$42*J105 + W*('Drilling Spec'!$C$43 + 2*l*V*(s*W + 2*V*H106/(1+e)) + 'Drilling Spec'!$C$44)) - 'Drilling Spec'!$C$45)/(2*V)</f>
        <v>719.22438782276038</v>
      </c>
      <c r="J106" s="16">
        <f>IF(AND(OR(J105=0,J105=""),G106=0),IF(G107=0,"",'Drilling Spec'!$C$26),I106)</f>
        <v>719.22438782276038</v>
      </c>
      <c r="K106" s="16">
        <f>MAX(0,J106-'Drilling Spec'!$C$30)</f>
        <v>639.22438782276038</v>
      </c>
      <c r="L106" s="18">
        <f>IFERROR(K106/'Drilling Spec'!$C$31,0)</f>
        <v>42.614959188184024</v>
      </c>
      <c r="M106" s="21">
        <f t="shared" si="37"/>
        <v>0</v>
      </c>
      <c r="N106" s="4">
        <f t="shared" si="30"/>
        <v>144</v>
      </c>
      <c r="O106" s="21">
        <f t="shared" si="24"/>
        <v>0</v>
      </c>
      <c r="P106" s="18">
        <f>(SQRT(4*P105*P105*vB*vB + 'Drilling Spec'!$C$48*P105 + WB*('Drilling Spec'!$C$49 + 2*lB*vB*(sB*WB + 2*vB*O106/(1+eB)) + 'Drilling Spec'!$C$50)) - 'Drilling Spec'!$C$51)/(2*vB)</f>
        <v>759.86189926823238</v>
      </c>
      <c r="Q106" s="18">
        <f>IF(AND(OR(R105=0,R105=""),N106=0),IF(N107=0,"",'Drilling Spec'!$C$30),P106)</f>
        <v>759.86189926823238</v>
      </c>
      <c r="S106">
        <f t="shared" si="33"/>
        <v>46</v>
      </c>
      <c r="T106" s="10"/>
      <c r="U106">
        <f>IF('Baseline 2 - Good, 16hr'!L107&gt;'Baseline 2 - Good, 16hr'!S106,'Drilling Spec'!$C$36,)</f>
        <v>0</v>
      </c>
      <c r="W106" s="17">
        <f>(J106-'Drilling Spec'!$C$26)/'Drilling Spec'!$C$38</f>
        <v>108.20406463712673</v>
      </c>
      <c r="X106" s="17">
        <f t="shared" si="39"/>
        <v>0</v>
      </c>
      <c r="Y106" s="17">
        <f t="shared" si="40"/>
        <v>8.2040646371267343</v>
      </c>
      <c r="Z106" s="10"/>
      <c r="AA106">
        <f>IF(Y106&lt;'Drilling Spec'!$C$39,,'Drilling Spec'!$C$39)</f>
        <v>0</v>
      </c>
      <c r="AD106" s="16">
        <f t="shared" si="38"/>
        <v>-719.22438782276038</v>
      </c>
      <c r="AE106" s="16">
        <f t="shared" si="28"/>
        <v>-759.86189926823238</v>
      </c>
      <c r="AF106">
        <f>-'Drilling Spec'!$C$29</f>
        <v>-720</v>
      </c>
      <c r="AG106">
        <f>-'Drilling Spec'!$C$27</f>
        <v>-624</v>
      </c>
      <c r="AH106">
        <f>-'Drilling Spec'!$C$28</f>
        <v>-688</v>
      </c>
      <c r="AI106" t="e">
        <f t="shared" si="29"/>
        <v>#N/A</v>
      </c>
      <c r="AJ106" t="e">
        <f>IF(T106=0,NA(),-'Drilling Spec'!$C$26/2)</f>
        <v>#N/A</v>
      </c>
      <c r="AK106" t="e">
        <f>IF(U106=0,NA(),-'Drilling Spec'!$C$26/2)</f>
        <v>#N/A</v>
      </c>
      <c r="AL106" t="e">
        <f>IF(Z106=0,NA(),-'Drilling Spec'!$C$26*3/2)</f>
        <v>#N/A</v>
      </c>
      <c r="AM106" t="e">
        <f>IF(AA106=0,NA(),-'Drilling Spec'!$C$26*3/2)</f>
        <v>#N/A</v>
      </c>
    </row>
    <row r="107" spans="2:39" x14ac:dyDescent="0.35">
      <c r="B107" s="2">
        <f t="shared" si="35"/>
        <v>46075</v>
      </c>
      <c r="C107" t="str">
        <f t="shared" si="19"/>
        <v>Sun</v>
      </c>
      <c r="D107" s="10"/>
      <c r="E107" s="10"/>
      <c r="F107" s="4">
        <f t="shared" si="20"/>
        <v>0</v>
      </c>
      <c r="G107" s="4">
        <f t="shared" si="36"/>
        <v>808</v>
      </c>
      <c r="H107" s="4">
        <f t="shared" si="22"/>
        <v>0</v>
      </c>
      <c r="I107" s="15">
        <f>(SQRT(4*J106*J106*V*V + 'Drilling Spec'!$C$42*J106 + W*('Drilling Spec'!$C$43 + 2*l*V*(s*W + 2*V*H107/(1+e)) + 'Drilling Spec'!$C$44)) - 'Drilling Spec'!$C$45)/(2*V)</f>
        <v>719.22438782276038</v>
      </c>
      <c r="J107" s="16">
        <f>IF(AND(OR(J106=0,J106=""),G107=0),IF(G108=0,"",'Drilling Spec'!$C$26),I107)</f>
        <v>719.22438782276038</v>
      </c>
      <c r="K107" s="16">
        <f>MAX(0,J107-'Drilling Spec'!$C$30)</f>
        <v>639.22438782276038</v>
      </c>
      <c r="L107" s="18">
        <f>IFERROR(K107/'Drilling Spec'!$C$31,0)</f>
        <v>42.614959188184024</v>
      </c>
      <c r="M107" s="21">
        <f t="shared" si="37"/>
        <v>0</v>
      </c>
      <c r="N107" s="4">
        <f t="shared" si="30"/>
        <v>144</v>
      </c>
      <c r="O107" s="21">
        <f t="shared" si="24"/>
        <v>0</v>
      </c>
      <c r="P107" s="18">
        <f>(SQRT(4*P106*P106*vB*vB + 'Drilling Spec'!$C$48*P106 + WB*('Drilling Spec'!$C$49 + 2*lB*vB*(sB*WB + 2*vB*O107/(1+eB)) + 'Drilling Spec'!$C$50)) - 'Drilling Spec'!$C$51)/(2*vB)</f>
        <v>759.86189926823238</v>
      </c>
      <c r="Q107" s="18">
        <f>IF(AND(OR(R106=0,R106=""),N107=0),IF(N108=0,"",'Drilling Spec'!$C$30),P107)</f>
        <v>759.86189926823238</v>
      </c>
      <c r="S107">
        <f t="shared" si="33"/>
        <v>46</v>
      </c>
      <c r="T107" s="10"/>
      <c r="U107">
        <f>IF('Baseline 2 - Good, 16hr'!L108&gt;'Baseline 2 - Good, 16hr'!S107,'Drilling Spec'!$C$36,)</f>
        <v>0</v>
      </c>
      <c r="W107" s="17">
        <f>(J107-'Drilling Spec'!$C$26)/'Drilling Spec'!$C$38</f>
        <v>108.20406463712673</v>
      </c>
      <c r="X107" s="17">
        <f t="shared" si="39"/>
        <v>0</v>
      </c>
      <c r="Y107" s="17">
        <f t="shared" si="40"/>
        <v>8.2040646371267343</v>
      </c>
      <c r="Z107" s="10"/>
      <c r="AA107">
        <f>IF(Y107&lt;'Drilling Spec'!$C$39,,'Drilling Spec'!$C$39)</f>
        <v>0</v>
      </c>
      <c r="AD107" s="16">
        <f t="shared" si="38"/>
        <v>-719.22438782276038</v>
      </c>
      <c r="AE107" s="16">
        <f t="shared" si="28"/>
        <v>-759.86189926823238</v>
      </c>
      <c r="AF107">
        <f>-'Drilling Spec'!$C$29</f>
        <v>-720</v>
      </c>
      <c r="AG107">
        <f>-'Drilling Spec'!$C$27</f>
        <v>-624</v>
      </c>
      <c r="AH107">
        <f>-'Drilling Spec'!$C$28</f>
        <v>-688</v>
      </c>
      <c r="AI107" t="e">
        <f t="shared" si="29"/>
        <v>#N/A</v>
      </c>
      <c r="AJ107" t="e">
        <f>IF(T107=0,NA(),-'Drilling Spec'!$C$26/2)</f>
        <v>#N/A</v>
      </c>
      <c r="AK107" t="e">
        <f>IF(U107=0,NA(),-'Drilling Spec'!$C$26/2)</f>
        <v>#N/A</v>
      </c>
      <c r="AL107" t="e">
        <f>IF(Z107=0,NA(),-'Drilling Spec'!$C$26*3/2)</f>
        <v>#N/A</v>
      </c>
      <c r="AM107" t="e">
        <f>IF(AA107=0,NA(),-'Drilling Spec'!$C$26*3/2)</f>
        <v>#N/A</v>
      </c>
    </row>
    <row r="108" spans="2:39" x14ac:dyDescent="0.35">
      <c r="B108" s="2">
        <f t="shared" si="35"/>
        <v>46076</v>
      </c>
      <c r="C108" t="str">
        <f t="shared" si="19"/>
        <v>Mon</v>
      </c>
      <c r="D108" s="10"/>
      <c r="E108" s="10"/>
      <c r="F108" s="4">
        <f t="shared" si="20"/>
        <v>0</v>
      </c>
      <c r="G108" s="4">
        <f t="shared" si="36"/>
        <v>808</v>
      </c>
      <c r="H108" s="4">
        <f t="shared" si="22"/>
        <v>0</v>
      </c>
      <c r="I108" s="15">
        <f>(SQRT(4*J107*J107*V*V + 'Drilling Spec'!$C$42*J107 + W*('Drilling Spec'!$C$43 + 2*l*V*(s*W + 2*V*H108/(1+e)) + 'Drilling Spec'!$C$44)) - 'Drilling Spec'!$C$45)/(2*V)</f>
        <v>719.22438782276038</v>
      </c>
      <c r="J108" s="16">
        <f>IF(AND(OR(J107=0,J107=""),G108=0),IF(G109=0,"",'Drilling Spec'!$C$26),I108)</f>
        <v>719.22438782276038</v>
      </c>
      <c r="K108" s="16">
        <f>MAX(0,J108-'Drilling Spec'!$C$30)</f>
        <v>639.22438782276038</v>
      </c>
      <c r="L108" s="18">
        <f>IFERROR(K108/'Drilling Spec'!$C$31,0)</f>
        <v>42.614959188184024</v>
      </c>
      <c r="M108" s="21">
        <f t="shared" si="37"/>
        <v>0</v>
      </c>
      <c r="N108" s="4">
        <f t="shared" si="30"/>
        <v>144</v>
      </c>
      <c r="O108" s="21">
        <f t="shared" si="24"/>
        <v>0</v>
      </c>
      <c r="P108" s="18">
        <f>(SQRT(4*P107*P107*vB*vB + 'Drilling Spec'!$C$48*P107 + WB*('Drilling Spec'!$C$49 + 2*lB*vB*(sB*WB + 2*vB*O108/(1+eB)) + 'Drilling Spec'!$C$50)) - 'Drilling Spec'!$C$51)/(2*vB)</f>
        <v>759.86189926823238</v>
      </c>
      <c r="Q108" s="18">
        <f>IF(AND(OR(R107=0,R107=""),N108=0),IF(N109=0,"",'Drilling Spec'!$C$30),P108)</f>
        <v>759.86189926823238</v>
      </c>
      <c r="S108">
        <f t="shared" si="33"/>
        <v>46</v>
      </c>
      <c r="T108" s="10"/>
      <c r="U108">
        <f>IF('Baseline 2 - Good, 16hr'!L109&gt;'Baseline 2 - Good, 16hr'!S108,'Drilling Spec'!$C$36,)</f>
        <v>0</v>
      </c>
      <c r="W108" s="17">
        <f>(J108-'Drilling Spec'!$C$26)/'Drilling Spec'!$C$38</f>
        <v>108.20406463712673</v>
      </c>
      <c r="X108" s="17">
        <f t="shared" si="39"/>
        <v>0</v>
      </c>
      <c r="Y108" s="17">
        <f t="shared" si="40"/>
        <v>8.2040646371267343</v>
      </c>
      <c r="Z108" s="10"/>
      <c r="AA108">
        <f>IF(Y108&lt;'Drilling Spec'!$C$39,,'Drilling Spec'!$C$39)</f>
        <v>0</v>
      </c>
      <c r="AD108" s="16">
        <f t="shared" si="38"/>
        <v>-719.22438782276038</v>
      </c>
      <c r="AE108" s="16">
        <f t="shared" si="28"/>
        <v>-759.86189926823238</v>
      </c>
      <c r="AF108">
        <f>-'Drilling Spec'!$C$29</f>
        <v>-720</v>
      </c>
      <c r="AG108">
        <f>-'Drilling Spec'!$C$27</f>
        <v>-624</v>
      </c>
      <c r="AH108">
        <f>-'Drilling Spec'!$C$28</f>
        <v>-688</v>
      </c>
      <c r="AI108" t="e">
        <f t="shared" si="29"/>
        <v>#N/A</v>
      </c>
      <c r="AJ108" t="e">
        <f>IF(T108=0,NA(),-'Drilling Spec'!$C$26/2)</f>
        <v>#N/A</v>
      </c>
      <c r="AK108" t="e">
        <f>IF(U108=0,NA(),-'Drilling Spec'!$C$26/2)</f>
        <v>#N/A</v>
      </c>
      <c r="AL108" t="e">
        <f>IF(Z108=0,NA(),-'Drilling Spec'!$C$26*3/2)</f>
        <v>#N/A</v>
      </c>
      <c r="AM108" t="e">
        <f>IF(AA108=0,NA(),-'Drilling Spec'!$C$26*3/2)</f>
        <v>#N/A</v>
      </c>
    </row>
    <row r="109" spans="2:39" x14ac:dyDescent="0.35">
      <c r="B109" s="2">
        <f t="shared" si="35"/>
        <v>46077</v>
      </c>
      <c r="C109" t="str">
        <f t="shared" si="19"/>
        <v>Tue</v>
      </c>
      <c r="D109" s="10"/>
      <c r="E109" s="10"/>
      <c r="F109" s="4">
        <f t="shared" si="20"/>
        <v>0</v>
      </c>
      <c r="G109" s="4">
        <f t="shared" si="36"/>
        <v>808</v>
      </c>
      <c r="H109" s="4">
        <f t="shared" si="22"/>
        <v>0</v>
      </c>
      <c r="I109" s="15">
        <f>(SQRT(4*J108*J108*V*V + 'Drilling Spec'!$C$42*J108 + W*('Drilling Spec'!$C$43 + 2*l*V*(s*W + 2*V*H109/(1+e)) + 'Drilling Spec'!$C$44)) - 'Drilling Spec'!$C$45)/(2*V)</f>
        <v>719.22438782276038</v>
      </c>
      <c r="J109" s="16">
        <f>IF(AND(OR(J108=0,J108=""),G109=0),IF(G110=0,"",'Drilling Spec'!$C$26),I109)</f>
        <v>719.22438782276038</v>
      </c>
      <c r="K109" s="16">
        <f>MAX(0,J109-'Drilling Spec'!$C$30)</f>
        <v>639.22438782276038</v>
      </c>
      <c r="L109" s="18">
        <f>IFERROR(K109/'Drilling Spec'!$C$31,0)</f>
        <v>42.614959188184024</v>
      </c>
      <c r="M109" s="21">
        <f t="shared" si="37"/>
        <v>0</v>
      </c>
      <c r="N109" s="4">
        <f t="shared" si="30"/>
        <v>144</v>
      </c>
      <c r="O109" s="21">
        <f t="shared" si="24"/>
        <v>0</v>
      </c>
      <c r="P109" s="18">
        <f>(SQRT(4*P108*P108*vB*vB + 'Drilling Spec'!$C$48*P108 + WB*('Drilling Spec'!$C$49 + 2*lB*vB*(sB*WB + 2*vB*O109/(1+eB)) + 'Drilling Spec'!$C$50)) - 'Drilling Spec'!$C$51)/(2*vB)</f>
        <v>759.86189926823238</v>
      </c>
      <c r="Q109" s="18">
        <f>IF(AND(OR(R108=0,R108=""),N109=0),IF(N110=0,"",'Drilling Spec'!$C$30),P109)</f>
        <v>759.86189926823238</v>
      </c>
      <c r="S109">
        <f t="shared" si="33"/>
        <v>46</v>
      </c>
      <c r="T109" s="10"/>
      <c r="U109">
        <f>IF('Baseline 2 - Good, 16hr'!L110&gt;'Baseline 2 - Good, 16hr'!S109,'Drilling Spec'!$C$36,)</f>
        <v>0</v>
      </c>
      <c r="W109" s="17">
        <f>(J109-'Drilling Spec'!$C$26)/'Drilling Spec'!$C$38</f>
        <v>108.20406463712673</v>
      </c>
      <c r="X109" s="17">
        <f t="shared" si="39"/>
        <v>0</v>
      </c>
      <c r="Y109" s="17">
        <f t="shared" si="40"/>
        <v>8.2040646371267343</v>
      </c>
      <c r="Z109" s="10"/>
      <c r="AA109">
        <f>IF(Y109&lt;'Drilling Spec'!$C$39,,'Drilling Spec'!$C$39)</f>
        <v>0</v>
      </c>
      <c r="AD109" s="16">
        <f t="shared" si="38"/>
        <v>-719.22438782276038</v>
      </c>
      <c r="AE109" s="16">
        <f t="shared" si="28"/>
        <v>-759.86189926823238</v>
      </c>
      <c r="AF109">
        <f>-'Drilling Spec'!$C$29</f>
        <v>-720</v>
      </c>
      <c r="AG109">
        <f>-'Drilling Spec'!$C$27</f>
        <v>-624</v>
      </c>
      <c r="AH109">
        <f>-'Drilling Spec'!$C$28</f>
        <v>-688</v>
      </c>
      <c r="AI109" t="e">
        <f t="shared" si="29"/>
        <v>#N/A</v>
      </c>
      <c r="AJ109" t="e">
        <f>IF(T109=0,NA(),-'Drilling Spec'!$C$26/2)</f>
        <v>#N/A</v>
      </c>
      <c r="AK109" t="e">
        <f>IF(U109=0,NA(),-'Drilling Spec'!$C$26/2)</f>
        <v>#N/A</v>
      </c>
      <c r="AL109" t="e">
        <f>IF(Z109=0,NA(),-'Drilling Spec'!$C$26*3/2)</f>
        <v>#N/A</v>
      </c>
      <c r="AM109" t="e">
        <f>IF(AA109=0,NA(),-'Drilling Spec'!$C$26*3/2)</f>
        <v>#N/A</v>
      </c>
    </row>
    <row r="110" spans="2:39" x14ac:dyDescent="0.35">
      <c r="B110" s="2">
        <f t="shared" si="35"/>
        <v>46078</v>
      </c>
      <c r="C110" t="str">
        <f t="shared" si="19"/>
        <v>Wed</v>
      </c>
      <c r="D110" s="10"/>
      <c r="E110" s="10"/>
      <c r="F110" s="4">
        <f t="shared" si="20"/>
        <v>0</v>
      </c>
      <c r="G110" s="4">
        <f t="shared" si="36"/>
        <v>808</v>
      </c>
      <c r="H110" s="4">
        <f t="shared" si="22"/>
        <v>0</v>
      </c>
      <c r="I110" s="15">
        <f>(SQRT(4*J109*J109*V*V + 'Drilling Spec'!$C$42*J109 + W*('Drilling Spec'!$C$43 + 2*l*V*(s*W + 2*V*H110/(1+e)) + 'Drilling Spec'!$C$44)) - 'Drilling Spec'!$C$45)/(2*V)</f>
        <v>719.22438782276038</v>
      </c>
      <c r="J110" s="16">
        <f>IF(AND(OR(J109=0,J109=""),G110=0),IF(G111=0,"",'Drilling Spec'!$C$26),I110)</f>
        <v>719.22438782276038</v>
      </c>
      <c r="K110" s="16">
        <f>MAX(0,J110-'Drilling Spec'!$C$30)</f>
        <v>639.22438782276038</v>
      </c>
      <c r="L110" s="18">
        <f>IFERROR(K110/'Drilling Spec'!$C$31,0)</f>
        <v>42.614959188184024</v>
      </c>
      <c r="M110" s="21">
        <f t="shared" si="37"/>
        <v>0</v>
      </c>
      <c r="N110" s="4">
        <f t="shared" si="30"/>
        <v>144</v>
      </c>
      <c r="O110" s="21">
        <f t="shared" si="24"/>
        <v>0</v>
      </c>
      <c r="P110" s="18">
        <f>(SQRT(4*P109*P109*vB*vB + 'Drilling Spec'!$C$48*P109 + WB*('Drilling Spec'!$C$49 + 2*lB*vB*(sB*WB + 2*vB*O110/(1+eB)) + 'Drilling Spec'!$C$50)) - 'Drilling Spec'!$C$51)/(2*vB)</f>
        <v>759.86189926823238</v>
      </c>
      <c r="Q110" s="18">
        <f>IF(AND(OR(R109=0,R109=""),N110=0),IF(N111=0,"",'Drilling Spec'!$C$30),P110)</f>
        <v>759.86189926823238</v>
      </c>
      <c r="S110">
        <f t="shared" si="33"/>
        <v>46</v>
      </c>
      <c r="T110" s="10"/>
      <c r="U110">
        <f>IF('Baseline 2 - Good, 16hr'!L111&gt;'Baseline 2 - Good, 16hr'!S110,'Drilling Spec'!$C$36,)</f>
        <v>0</v>
      </c>
      <c r="W110" s="17">
        <f>(J110-'Drilling Spec'!$C$26)/'Drilling Spec'!$C$38</f>
        <v>108.20406463712673</v>
      </c>
      <c r="X110" s="17">
        <f t="shared" si="39"/>
        <v>0</v>
      </c>
      <c r="Y110" s="17">
        <f t="shared" si="40"/>
        <v>8.2040646371267343</v>
      </c>
      <c r="Z110" s="10"/>
      <c r="AA110">
        <f>IF(Y110&lt;'Drilling Spec'!$C$39,,'Drilling Spec'!$C$39)</f>
        <v>0</v>
      </c>
      <c r="AD110" s="16">
        <f t="shared" si="38"/>
        <v>-719.22438782276038</v>
      </c>
      <c r="AE110" s="16">
        <f t="shared" si="28"/>
        <v>-759.86189926823238</v>
      </c>
      <c r="AF110">
        <f>-'Drilling Spec'!$C$29</f>
        <v>-720</v>
      </c>
      <c r="AG110">
        <f>-'Drilling Spec'!$C$27</f>
        <v>-624</v>
      </c>
      <c r="AH110">
        <f>-'Drilling Spec'!$C$28</f>
        <v>-688</v>
      </c>
      <c r="AI110" t="e">
        <f t="shared" si="29"/>
        <v>#N/A</v>
      </c>
      <c r="AJ110" t="e">
        <f>IF(T110=0,NA(),-'Drilling Spec'!$C$26/2)</f>
        <v>#N/A</v>
      </c>
      <c r="AK110" t="e">
        <f>IF(U110=0,NA(),-'Drilling Spec'!$C$26/2)</f>
        <v>#N/A</v>
      </c>
      <c r="AL110" t="e">
        <f>IF(Z110=0,NA(),-'Drilling Spec'!$C$26*3/2)</f>
        <v>#N/A</v>
      </c>
      <c r="AM110" t="e">
        <f>IF(AA110=0,NA(),-'Drilling Spec'!$C$26*3/2)</f>
        <v>#N/A</v>
      </c>
    </row>
    <row r="111" spans="2:39" x14ac:dyDescent="0.35">
      <c r="B111" s="2">
        <f t="shared" si="35"/>
        <v>46079</v>
      </c>
      <c r="C111" t="str">
        <f t="shared" si="19"/>
        <v>Thu</v>
      </c>
      <c r="D111" s="10"/>
      <c r="E111" s="10"/>
      <c r="F111" s="4">
        <f t="shared" si="20"/>
        <v>0</v>
      </c>
      <c r="G111" s="4">
        <f t="shared" si="36"/>
        <v>808</v>
      </c>
      <c r="H111" s="4">
        <f t="shared" si="22"/>
        <v>0</v>
      </c>
      <c r="I111" s="15">
        <f>(SQRT(4*J110*J110*V*V + 'Drilling Spec'!$C$42*J110 + W*('Drilling Spec'!$C$43 + 2*l*V*(s*W + 2*V*H111/(1+e)) + 'Drilling Spec'!$C$44)) - 'Drilling Spec'!$C$45)/(2*V)</f>
        <v>719.22438782276038</v>
      </c>
      <c r="J111" s="16">
        <f>IF(AND(OR(J110=0,J110=""),G111=0),IF(G112=0,"",'Drilling Spec'!$C$26),I111)</f>
        <v>719.22438782276038</v>
      </c>
      <c r="K111" s="16">
        <f>MAX(0,J111-'Drilling Spec'!$C$30)</f>
        <v>639.22438782276038</v>
      </c>
      <c r="L111" s="18">
        <f>IFERROR(K111/'Drilling Spec'!$C$31,0)</f>
        <v>42.614959188184024</v>
      </c>
      <c r="M111" s="21">
        <f t="shared" si="37"/>
        <v>0</v>
      </c>
      <c r="N111" s="4">
        <f t="shared" si="30"/>
        <v>144</v>
      </c>
      <c r="O111" s="21">
        <f t="shared" si="24"/>
        <v>0</v>
      </c>
      <c r="P111" s="18">
        <f>(SQRT(4*P110*P110*vB*vB + 'Drilling Spec'!$C$48*P110 + WB*('Drilling Spec'!$C$49 + 2*lB*vB*(sB*WB + 2*vB*O111/(1+eB)) + 'Drilling Spec'!$C$50)) - 'Drilling Spec'!$C$51)/(2*vB)</f>
        <v>759.86189926823238</v>
      </c>
      <c r="Q111" s="18">
        <f>IF(AND(OR(R110=0,R110=""),N111=0),IF(N112=0,"",'Drilling Spec'!$C$30),P111)</f>
        <v>759.86189926823238</v>
      </c>
      <c r="S111">
        <f t="shared" si="33"/>
        <v>46</v>
      </c>
      <c r="T111" s="10"/>
      <c r="U111">
        <f>IF('Baseline 2 - Good, 16hr'!L112&gt;'Baseline 2 - Good, 16hr'!S111,'Drilling Spec'!$C$36,)</f>
        <v>0</v>
      </c>
      <c r="W111" s="17">
        <f>(J111-'Drilling Spec'!$C$26)/'Drilling Spec'!$C$38</f>
        <v>108.20406463712673</v>
      </c>
      <c r="X111" s="17">
        <f t="shared" si="39"/>
        <v>0</v>
      </c>
      <c r="Y111" s="17">
        <f t="shared" si="40"/>
        <v>8.2040646371267343</v>
      </c>
      <c r="Z111" s="10"/>
      <c r="AA111">
        <f>IF(Y111&lt;'Drilling Spec'!$C$39,,'Drilling Spec'!$C$39)</f>
        <v>0</v>
      </c>
      <c r="AD111" s="16">
        <f t="shared" si="38"/>
        <v>-719.22438782276038</v>
      </c>
      <c r="AE111" s="16">
        <f t="shared" si="28"/>
        <v>-759.86189926823238</v>
      </c>
      <c r="AF111">
        <f>-'Drilling Spec'!$C$29</f>
        <v>-720</v>
      </c>
      <c r="AG111">
        <f>-'Drilling Spec'!$C$27</f>
        <v>-624</v>
      </c>
      <c r="AH111">
        <f>-'Drilling Spec'!$C$28</f>
        <v>-688</v>
      </c>
      <c r="AI111" t="e">
        <f t="shared" si="29"/>
        <v>#N/A</v>
      </c>
      <c r="AJ111" t="e">
        <f>IF(T111=0,NA(),-'Drilling Spec'!$C$26/2)</f>
        <v>#N/A</v>
      </c>
      <c r="AK111" t="e">
        <f>IF(U111=0,NA(),-'Drilling Spec'!$C$26/2)</f>
        <v>#N/A</v>
      </c>
      <c r="AL111" t="e">
        <f>IF(Z111=0,NA(),-'Drilling Spec'!$C$26*3/2)</f>
        <v>#N/A</v>
      </c>
      <c r="AM111" t="e">
        <f>IF(AA111=0,NA(),-'Drilling Spec'!$C$26*3/2)</f>
        <v>#N/A</v>
      </c>
    </row>
    <row r="112" spans="2:39" x14ac:dyDescent="0.35">
      <c r="B112" s="2">
        <f t="shared" si="35"/>
        <v>46080</v>
      </c>
      <c r="C112" t="str">
        <f t="shared" si="19"/>
        <v>Fri</v>
      </c>
      <c r="D112" s="10"/>
      <c r="E112" s="10"/>
      <c r="F112" s="4">
        <f t="shared" si="20"/>
        <v>0</v>
      </c>
      <c r="G112" s="4">
        <f t="shared" si="36"/>
        <v>808</v>
      </c>
      <c r="H112" s="4">
        <f t="shared" si="22"/>
        <v>0</v>
      </c>
      <c r="I112" s="15">
        <f>(SQRT(4*J111*J111*V*V + 'Drilling Spec'!$C$42*J111 + W*('Drilling Spec'!$C$43 + 2*l*V*(s*W + 2*V*H112/(1+e)) + 'Drilling Spec'!$C$44)) - 'Drilling Spec'!$C$45)/(2*V)</f>
        <v>719.22438782276038</v>
      </c>
      <c r="J112" s="16">
        <f>IF(AND(OR(J111=0,J111=""),G112=0),IF(G113=0,"",'Drilling Spec'!$C$26),I112)</f>
        <v>719.22438782276038</v>
      </c>
      <c r="K112" s="16">
        <f>MAX(0,J112-'Drilling Spec'!$C$30)</f>
        <v>639.22438782276038</v>
      </c>
      <c r="L112" s="18">
        <f>IFERROR(K112/'Drilling Spec'!$C$31,0)</f>
        <v>42.614959188184024</v>
      </c>
      <c r="M112" s="21">
        <f t="shared" si="37"/>
        <v>0</v>
      </c>
      <c r="N112" s="4">
        <f t="shared" si="30"/>
        <v>144</v>
      </c>
      <c r="O112" s="21">
        <f t="shared" si="24"/>
        <v>0</v>
      </c>
      <c r="P112" s="18">
        <f>(SQRT(4*P111*P111*vB*vB + 'Drilling Spec'!$C$48*P111 + WB*('Drilling Spec'!$C$49 + 2*lB*vB*(sB*WB + 2*vB*O112/(1+eB)) + 'Drilling Spec'!$C$50)) - 'Drilling Spec'!$C$51)/(2*vB)</f>
        <v>759.86189926823238</v>
      </c>
      <c r="Q112" s="18">
        <f>IF(AND(OR(R111=0,R111=""),N112=0),IF(N113=0,"",'Drilling Spec'!$C$30),P112)</f>
        <v>759.86189926823238</v>
      </c>
      <c r="S112">
        <f t="shared" si="33"/>
        <v>46</v>
      </c>
      <c r="T112" s="10"/>
      <c r="U112">
        <f>IF('Baseline 2 - Good, 16hr'!L113&gt;'Baseline 2 - Good, 16hr'!S112,'Drilling Spec'!$C$36,)</f>
        <v>0</v>
      </c>
      <c r="W112" s="17">
        <f>(J112-'Drilling Spec'!$C$26)/'Drilling Spec'!$C$38</f>
        <v>108.20406463712673</v>
      </c>
      <c r="X112" s="17">
        <f t="shared" si="39"/>
        <v>0</v>
      </c>
      <c r="Y112" s="17">
        <f t="shared" si="40"/>
        <v>8.2040646371267343</v>
      </c>
      <c r="Z112" s="10"/>
      <c r="AA112">
        <f>IF(Y112&lt;'Drilling Spec'!$C$39,,'Drilling Spec'!$C$39)</f>
        <v>0</v>
      </c>
      <c r="AD112" s="16">
        <f t="shared" si="38"/>
        <v>-719.22438782276038</v>
      </c>
      <c r="AE112" s="16">
        <f t="shared" si="28"/>
        <v>-759.86189926823238</v>
      </c>
      <c r="AF112">
        <f>-'Drilling Spec'!$C$29</f>
        <v>-720</v>
      </c>
      <c r="AG112">
        <f>-'Drilling Spec'!$C$27</f>
        <v>-624</v>
      </c>
      <c r="AH112">
        <f>-'Drilling Spec'!$C$28</f>
        <v>-688</v>
      </c>
      <c r="AI112" t="e">
        <f t="shared" si="29"/>
        <v>#N/A</v>
      </c>
      <c r="AJ112" t="e">
        <f>IF(T112=0,NA(),-'Drilling Spec'!$C$26/2)</f>
        <v>#N/A</v>
      </c>
      <c r="AK112" t="e">
        <f>IF(U112=0,NA(),-'Drilling Spec'!$C$26/2)</f>
        <v>#N/A</v>
      </c>
      <c r="AL112" t="e">
        <f>IF(Z112=0,NA(),-'Drilling Spec'!$C$26*3/2)</f>
        <v>#N/A</v>
      </c>
      <c r="AM112" t="e">
        <f>IF(AA112=0,NA(),-'Drilling Spec'!$C$26*3/2)</f>
        <v>#N/A</v>
      </c>
    </row>
  </sheetData>
  <mergeCells count="1">
    <mergeCell ref="AN1:BE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A5E59-82C3-4E8A-9552-090F081FDA23}">
  <dimension ref="A1:CA112"/>
  <sheetViews>
    <sheetView topLeftCell="C1" zoomScale="132" workbookViewId="0">
      <pane ySplit="1" topLeftCell="A2" activePane="bottomLeft" state="frozen"/>
      <selection pane="bottomLeft" activeCell="X3" sqref="X3"/>
    </sheetView>
  </sheetViews>
  <sheetFormatPr defaultRowHeight="14.5" x14ac:dyDescent="0.35"/>
  <cols>
    <col min="1" max="1" width="5.26953125" bestFit="1" customWidth="1"/>
    <col min="2" max="2" width="4.81640625" bestFit="1" customWidth="1"/>
    <col min="3" max="3" width="20" style="4" bestFit="1" customWidth="1"/>
    <col min="4" max="4" width="8.453125" style="4" bestFit="1" customWidth="1"/>
    <col min="5" max="5" width="7.54296875" style="4" hidden="1" customWidth="1"/>
    <col min="6" max="6" width="12.453125" style="4" hidden="1" customWidth="1"/>
    <col min="7" max="7" width="9.1796875" style="4" hidden="1" customWidth="1"/>
    <col min="8" max="8" width="12.453125" style="4" hidden="1" customWidth="1"/>
    <col min="9" max="9" width="8.7265625" style="4" hidden="1" customWidth="1"/>
    <col min="10" max="10" width="9.7265625" style="4" hidden="1" customWidth="1"/>
    <col min="11" max="11" width="8.453125" style="4" hidden="1" customWidth="1"/>
    <col min="12" max="14" width="7" style="4" hidden="1" customWidth="1"/>
    <col min="15" max="17" width="9.7265625" style="4" hidden="1" customWidth="1"/>
    <col min="18" max="18" width="1.453125" style="4" hidden="1" customWidth="1"/>
    <col min="19" max="19" width="10.1796875" style="4" hidden="1" customWidth="1"/>
    <col min="20" max="20" width="3.26953125" customWidth="1"/>
    <col min="21" max="23" width="9.7265625" hidden="1" customWidth="1"/>
    <col min="24" max="24" width="14.1796875" style="4" bestFit="1" customWidth="1"/>
    <col min="25" max="25" width="14" style="4" customWidth="1"/>
    <col min="26" max="26" width="2.453125" style="4" customWidth="1"/>
    <col min="27" max="27" width="9.54296875" style="4" hidden="1" customWidth="1"/>
    <col min="28" max="28" width="9.7265625" style="4" bestFit="1" customWidth="1"/>
    <col min="29" max="29" width="11.7265625" style="4" customWidth="1"/>
    <col min="30" max="30" width="1.453125" style="4" customWidth="1"/>
    <col min="31" max="32" width="9.1796875" style="4" hidden="1" customWidth="1"/>
    <col min="33" max="33" width="8" style="4" bestFit="1" customWidth="1"/>
    <col min="34" max="34" width="8.81640625" style="4" bestFit="1" customWidth="1"/>
    <col min="35" max="35" width="9.7265625" style="4" bestFit="1" customWidth="1"/>
    <col min="36" max="36" width="2.26953125" customWidth="1"/>
    <col min="37" max="37" width="9.1796875" hidden="1" customWidth="1"/>
    <col min="38" max="39" width="10" style="4" hidden="1" customWidth="1"/>
    <col min="40" max="50" width="9.1796875" hidden="1" customWidth="1"/>
    <col min="51" max="51" width="11.453125" hidden="1" customWidth="1"/>
    <col min="52" max="52" width="9.1796875" hidden="1" customWidth="1"/>
    <col min="53" max="53" width="16.26953125" bestFit="1" customWidth="1"/>
    <col min="54" max="54" width="10.453125" bestFit="1" customWidth="1"/>
    <col min="55" max="55" width="5.1796875" bestFit="1" customWidth="1"/>
    <col min="56" max="56" width="5" bestFit="1" customWidth="1"/>
    <col min="57" max="57" width="14" bestFit="1" customWidth="1"/>
    <col min="58" max="58" width="10.453125" bestFit="1" customWidth="1"/>
    <col min="59" max="59" width="4.453125" bestFit="1" customWidth="1"/>
    <col min="61" max="61" width="4.453125" bestFit="1" customWidth="1"/>
    <col min="71" max="71" width="0.81640625" customWidth="1"/>
    <col min="72" max="72" width="2.54296875" customWidth="1"/>
  </cols>
  <sheetData>
    <row r="1" spans="1:79" s="6" customFormat="1" ht="60" customHeight="1" x14ac:dyDescent="0.7">
      <c r="A1" s="6" t="s">
        <v>160</v>
      </c>
      <c r="B1" s="6" t="s">
        <v>6</v>
      </c>
      <c r="C1" s="6" t="s">
        <v>1</v>
      </c>
      <c r="D1" s="6" t="s">
        <v>5</v>
      </c>
      <c r="E1" s="13" t="s">
        <v>8</v>
      </c>
      <c r="F1" s="13" t="s">
        <v>28</v>
      </c>
      <c r="G1" s="13" t="s">
        <v>51</v>
      </c>
      <c r="H1" s="13" t="s">
        <v>49</v>
      </c>
      <c r="I1" s="6" t="s">
        <v>48</v>
      </c>
      <c r="J1" s="13" t="s">
        <v>103</v>
      </c>
      <c r="K1" s="6" t="s">
        <v>11</v>
      </c>
      <c r="L1" s="13" t="s">
        <v>101</v>
      </c>
      <c r="M1" s="13" t="s">
        <v>107</v>
      </c>
      <c r="N1" s="13" t="s">
        <v>102</v>
      </c>
      <c r="O1" s="13" t="s">
        <v>105</v>
      </c>
      <c r="P1" s="13" t="s">
        <v>163</v>
      </c>
      <c r="Q1" s="13" t="s">
        <v>164</v>
      </c>
      <c r="R1" s="13"/>
      <c r="S1" s="6" t="s">
        <v>106</v>
      </c>
      <c r="U1" s="13" t="s">
        <v>155</v>
      </c>
      <c r="V1" s="13" t="s">
        <v>156</v>
      </c>
      <c r="W1" s="13" t="s">
        <v>157</v>
      </c>
      <c r="X1" s="6" t="s">
        <v>158</v>
      </c>
      <c r="Y1" s="6" t="s">
        <v>159</v>
      </c>
      <c r="AA1" s="13" t="s">
        <v>75</v>
      </c>
      <c r="AB1" s="6" t="s">
        <v>118</v>
      </c>
      <c r="AC1" s="6" t="s">
        <v>119</v>
      </c>
      <c r="AE1" s="13" t="s">
        <v>122</v>
      </c>
      <c r="AF1" s="13" t="s">
        <v>125</v>
      </c>
      <c r="AG1" s="13" t="s">
        <v>124</v>
      </c>
      <c r="AH1" s="6" t="s">
        <v>123</v>
      </c>
      <c r="AI1" s="6" t="s">
        <v>126</v>
      </c>
      <c r="AJ1"/>
      <c r="AK1" s="13" t="s">
        <v>69</v>
      </c>
      <c r="AL1" s="13" t="s">
        <v>67</v>
      </c>
      <c r="AM1" s="13" t="s">
        <v>104</v>
      </c>
      <c r="AN1" s="13" t="s">
        <v>54</v>
      </c>
      <c r="AO1" s="13" t="s">
        <v>65</v>
      </c>
      <c r="AP1" s="13" t="s">
        <v>66</v>
      </c>
      <c r="AQ1" s="13" t="s">
        <v>115</v>
      </c>
      <c r="AR1" s="13" t="s">
        <v>152</v>
      </c>
      <c r="AS1" s="13" t="s">
        <v>153</v>
      </c>
      <c r="AT1" s="13" t="s">
        <v>121</v>
      </c>
      <c r="AU1" s="13" t="s">
        <v>120</v>
      </c>
      <c r="AV1" s="13" t="s">
        <v>127</v>
      </c>
      <c r="AW1" s="13" t="s">
        <v>128</v>
      </c>
      <c r="AX1" s="13" t="s">
        <v>161</v>
      </c>
      <c r="AY1" s="13" t="s">
        <v>166</v>
      </c>
      <c r="AZ1" s="13" t="s">
        <v>162</v>
      </c>
      <c r="BA1" s="37" t="s">
        <v>168</v>
      </c>
      <c r="BB1" s="37"/>
      <c r="BC1" s="37"/>
      <c r="BD1" s="37"/>
      <c r="BE1" s="37"/>
      <c r="BF1" s="37"/>
      <c r="BG1" s="37"/>
      <c r="BH1" s="37"/>
      <c r="BI1" s="37"/>
      <c r="BJ1" s="37"/>
      <c r="BK1" s="37"/>
      <c r="BL1" s="37"/>
      <c r="BM1" s="37"/>
      <c r="BN1" s="37"/>
      <c r="BO1" s="37"/>
      <c r="BP1" s="37"/>
      <c r="BQ1" s="37"/>
      <c r="BR1" s="37"/>
      <c r="BT1" s="46" t="s">
        <v>173</v>
      </c>
      <c r="BU1" s="46"/>
      <c r="BV1" s="46"/>
      <c r="BW1" s="46"/>
      <c r="BX1" s="46"/>
      <c r="BY1" s="46"/>
      <c r="BZ1" s="46"/>
      <c r="CA1" s="46"/>
    </row>
    <row r="2" spans="1:79" s="6" customFormat="1" ht="5.25" customHeight="1" x14ac:dyDescent="0.35">
      <c r="AJ2"/>
    </row>
    <row r="3" spans="1:79" x14ac:dyDescent="0.35">
      <c r="A3" s="27">
        <f>BB4</f>
        <v>45973</v>
      </c>
      <c r="B3" t="str">
        <f t="shared" ref="B3:B66" si="0">TEXT(A3,"ddd")</f>
        <v>Wed</v>
      </c>
      <c r="C3" s="10" t="s">
        <v>2</v>
      </c>
      <c r="D3" s="10">
        <v>12</v>
      </c>
      <c r="E3" s="4">
        <f t="shared" ref="E3:E66" si="1">IF(C3="Drilling",D3,0)</f>
        <v>0</v>
      </c>
      <c r="F3" s="4">
        <f t="shared" ref="F3:F34" si="2">(F2+E3)</f>
        <v>0</v>
      </c>
      <c r="G3" s="4">
        <f t="shared" ref="G3:G66" si="3">E3*60</f>
        <v>0</v>
      </c>
      <c r="H3" s="15">
        <f>(SQRT(4*I2*I2*V*V + 'Drilling Spec'!$C$42*I2 + W*('Drilling Spec'!$C$43 + 2*l*V*(s*W + 2*V*G3/(1+e)) + 'Drilling Spec'!$C$44)) - 'Drilling Spec'!$C$45)/(2*V)</f>
        <v>0</v>
      </c>
      <c r="I3" s="23" t="str">
        <f>IF(AND(OR(I2=0,I2=""),F3=0),IF(F4=0,"",'Drilling Spec'!$C$26),H3)</f>
        <v/>
      </c>
      <c r="J3" s="16" t="e">
        <f>MAX(0,I3-'Drilling Spec'!$C$30)</f>
        <v>#VALUE!</v>
      </c>
      <c r="K3" s="18">
        <f>IFERROR(J3/'Drilling Spec'!$C$31,0)</f>
        <v>0</v>
      </c>
      <c r="L3" s="21">
        <f t="shared" ref="L3:L34" si="4">IF(C3="Bailing",D3,0)</f>
        <v>0</v>
      </c>
      <c r="M3" s="4">
        <f>(M2+L3)</f>
        <v>0</v>
      </c>
      <c r="N3" s="4">
        <f t="shared" ref="N3:N66" si="5">L3*60</f>
        <v>0</v>
      </c>
      <c r="O3" s="18">
        <f>(SQRT(4*O2*O2*vB*vB + 'Drilling Spec'!$C$48*O2 + WB*('Drilling Spec'!$C$49 + 2*lB*vB*(sB*WB + 2*vB*N3/(1+eB)) + 'Drilling Spec'!$C$50)) - 'Drilling Spec'!$C$51)/(2*vB)</f>
        <v>0</v>
      </c>
      <c r="P3" s="18">
        <f>IFERROR(((S3-'Drilling Spec'!$C$30)/'Drilling Spec'!$C$31)*'Drilling Spec'!$C$32,0)</f>
        <v>0</v>
      </c>
      <c r="Q3" s="18">
        <f>P3-P2</f>
        <v>0</v>
      </c>
      <c r="R3" s="18"/>
      <c r="S3" s="26" t="str">
        <f>IF(AND(OR(T2=0,T2=""),M3=0),IF(M4=0,"",'Drilling Spec'!$C$30),O3)</f>
        <v/>
      </c>
      <c r="U3" s="15">
        <f>E3*'Drilling Spec'!$C$22 + L3*'Drilling Spec'!$C$23</f>
        <v>0</v>
      </c>
      <c r="V3" s="15">
        <f>V2+U3</f>
        <v>0</v>
      </c>
      <c r="W3" s="15">
        <f t="shared" ref="W3:W66" si="6">W2-U3+X2+Y2</f>
        <v>0</v>
      </c>
      <c r="X3" s="10"/>
      <c r="Y3" s="30">
        <f>IF(W3&lt;U4,'Drilling Spec'!$C$35,0)</f>
        <v>0</v>
      </c>
      <c r="AA3" s="4">
        <f>AA2+AC2+AB3+'Drilling Spec'!$C$37</f>
        <v>4</v>
      </c>
      <c r="AB3" s="10"/>
      <c r="AC3" s="30">
        <f>IF('04-07-25-Scen3-Good,24-16hr'!K4&gt;'04-07-25-Scen3-Good,24-16hr'!AA3,'Drilling Spec'!$C$36,)</f>
        <v>0</v>
      </c>
      <c r="AE3" s="18" t="e">
        <f>(I3-'Drilling Spec'!$C$26)/'Drilling Spec'!$C$38</f>
        <v>#VALUE!</v>
      </c>
      <c r="AF3" s="18">
        <f t="shared" ref="AF3:AF66" si="7">IFERROR(AE3-AE2,0)</f>
        <v>0</v>
      </c>
      <c r="AG3" s="34">
        <f t="shared" ref="AG3:AG34" si="8">AG2+AF3-AH3-AI2</f>
        <v>0</v>
      </c>
      <c r="AH3" s="10"/>
      <c r="AI3" s="26">
        <f>IF(C3="Camp Closed",AG3,IF(AG3&lt;'Drilling Spec'!$C$39,,'Drilling Spec'!$C$39))</f>
        <v>0</v>
      </c>
      <c r="AK3">
        <v>0</v>
      </c>
      <c r="AL3" s="16" t="e">
        <f t="shared" ref="AL3:AL34" si="9">IFERROR(-I3,NA())</f>
        <v>#N/A</v>
      </c>
      <c r="AM3" s="16" t="e">
        <f t="shared" ref="AM3:AM66" si="10">IF(OR(S3=0,S3=""),NA(),-S3)</f>
        <v>#N/A</v>
      </c>
      <c r="AN3">
        <f>-'Drilling Spec'!$C$29</f>
        <v>-720</v>
      </c>
      <c r="AO3">
        <f>-'Drilling Spec'!$C$27</f>
        <v>-624</v>
      </c>
      <c r="AP3">
        <f>-'Drilling Spec'!$C$28</f>
        <v>-688</v>
      </c>
      <c r="AQ3" t="e">
        <f t="shared" ref="AQ3:AQ66" si="11">IF(C3="Camp Closed",0,NA())</f>
        <v>#N/A</v>
      </c>
      <c r="AR3" t="e">
        <f>IF(X3=0,NA(),-'Drilling Spec'!$C$29*0.1)</f>
        <v>#N/A</v>
      </c>
      <c r="AS3" t="e">
        <f>IF(Y3=0,NA(),-'Drilling Spec'!$C$29*0.1)</f>
        <v>#N/A</v>
      </c>
      <c r="AT3" t="e">
        <f>IF(AB3=0,NA(),-'Drilling Spec'!$C$29*0.2)</f>
        <v>#N/A</v>
      </c>
      <c r="AU3" t="e">
        <f>IF(AC3=0,NA(),-'Drilling Spec'!$C$29*0.2)</f>
        <v>#N/A</v>
      </c>
      <c r="AV3" t="e">
        <f>IF(AH3=0,NA(),-'Drilling Spec'!$C$29*0.3)</f>
        <v>#N/A</v>
      </c>
      <c r="AW3" t="e">
        <f>IF(AI3=0,NA(),-'Drilling Spec'!$C$29*0.3)</f>
        <v>#N/A</v>
      </c>
      <c r="AX3" s="29">
        <f t="shared" ref="AX3:AX34" si="12">W3</f>
        <v>0</v>
      </c>
      <c r="AY3" s="29">
        <f t="shared" ref="AY3:AY34" si="13">AA3-K3+P3</f>
        <v>4</v>
      </c>
      <c r="AZ3" s="29">
        <f>AG3</f>
        <v>0</v>
      </c>
      <c r="BB3" s="33" t="s">
        <v>160</v>
      </c>
      <c r="BC3" s="33" t="s">
        <v>131</v>
      </c>
      <c r="BF3" s="33" t="s">
        <v>160</v>
      </c>
      <c r="BG3" s="33" t="s">
        <v>131</v>
      </c>
      <c r="BT3" s="45" t="s">
        <v>174</v>
      </c>
      <c r="BU3" s="45"/>
      <c r="BV3" s="36" t="s">
        <v>175</v>
      </c>
      <c r="BW3" s="47" t="s">
        <v>176</v>
      </c>
      <c r="BX3" s="45"/>
      <c r="BY3" s="45"/>
      <c r="BZ3" s="45"/>
      <c r="CA3" s="45"/>
    </row>
    <row r="4" spans="1:79" x14ac:dyDescent="0.35">
      <c r="A4" s="28">
        <f>A3+1</f>
        <v>45974</v>
      </c>
      <c r="B4" t="str">
        <f t="shared" si="0"/>
        <v>Thu</v>
      </c>
      <c r="C4" s="10" t="s">
        <v>3</v>
      </c>
      <c r="D4" s="10">
        <v>12</v>
      </c>
      <c r="E4" s="4">
        <f t="shared" si="1"/>
        <v>0</v>
      </c>
      <c r="F4" s="4">
        <f t="shared" si="2"/>
        <v>0</v>
      </c>
      <c r="G4" s="4">
        <f t="shared" si="3"/>
        <v>0</v>
      </c>
      <c r="H4" s="15" t="e">
        <f>(SQRT(4*I3*I3*V*V + 'Drilling Spec'!$C$42*I3 + W*('Drilling Spec'!$C$43 + 2*l*V*(s*W + 2*V*G4/(1+e)) + 'Drilling Spec'!$C$44)) - 'Drilling Spec'!$C$45)/(2*V)</f>
        <v>#VALUE!</v>
      </c>
      <c r="I4" s="23" t="str">
        <f>IF(AND(OR(I3=0,I3=""),F4=0),IF(F5=0,"",'Drilling Spec'!$C$26),H4)</f>
        <v/>
      </c>
      <c r="J4" s="16" t="e">
        <f>MAX(0,I4-'Drilling Spec'!$C$30)</f>
        <v>#VALUE!</v>
      </c>
      <c r="K4" s="18">
        <f>IFERROR(J4/'Drilling Spec'!$C$31,0)</f>
        <v>0</v>
      </c>
      <c r="L4" s="21">
        <f t="shared" si="4"/>
        <v>0</v>
      </c>
      <c r="M4" s="4">
        <f t="shared" ref="M4:M67" si="14">(M3+L4)</f>
        <v>0</v>
      </c>
      <c r="N4" s="21">
        <f t="shared" si="5"/>
        <v>0</v>
      </c>
      <c r="O4" s="18">
        <f>(SQRT(4*O3*O3*vB*vB + 'Drilling Spec'!$C$48*O3 + WB*('Drilling Spec'!$C$49 + 2*lB*vB*(sB*WB + 2*vB*N4/(1+eB)) + 'Drilling Spec'!$C$50)) - 'Drilling Spec'!$C$51)/(2*vB)</f>
        <v>0</v>
      </c>
      <c r="P4" s="18">
        <f>IFERROR(((S4-'Drilling Spec'!$C$30)/'Drilling Spec'!$C$31)*'Drilling Spec'!$C$32,0)</f>
        <v>0</v>
      </c>
      <c r="Q4" s="18">
        <f t="shared" ref="Q4:Q67" si="15">P4-P3</f>
        <v>0</v>
      </c>
      <c r="R4" s="18"/>
      <c r="S4" s="26" t="str">
        <f>IF(AND(OR(T3=0,T3=""),M4=0),IF(M5=0,"",'Drilling Spec'!$C$30),O4)</f>
        <v/>
      </c>
      <c r="U4" s="15">
        <f>E4*'Drilling Spec'!$C$22 + L4*'Drilling Spec'!$C$23</f>
        <v>0</v>
      </c>
      <c r="V4" s="15">
        <f t="shared" ref="V4:V67" si="16">V3+U4</f>
        <v>0</v>
      </c>
      <c r="W4" s="15">
        <f t="shared" si="6"/>
        <v>0</v>
      </c>
      <c r="X4" s="10"/>
      <c r="Y4" s="30">
        <f>IF(W4&lt;U5,'Drilling Spec'!$C$35,0)</f>
        <v>0</v>
      </c>
      <c r="AA4" s="4">
        <f>AA3+AC3+AB4</f>
        <v>4</v>
      </c>
      <c r="AB4" s="10"/>
      <c r="AC4" s="30">
        <f>IF('04-07-25-Scen3-Good,24-16hr'!K5&gt;'04-07-25-Scen3-Good,24-16hr'!AA4,'Drilling Spec'!$C$36,)</f>
        <v>0</v>
      </c>
      <c r="AE4" s="18" t="e">
        <f>(I4-'Drilling Spec'!$C$26)/'Drilling Spec'!$C$38</f>
        <v>#VALUE!</v>
      </c>
      <c r="AF4" s="18">
        <f t="shared" si="7"/>
        <v>0</v>
      </c>
      <c r="AG4" s="34">
        <f t="shared" si="8"/>
        <v>0</v>
      </c>
      <c r="AH4" s="10"/>
      <c r="AI4" s="26">
        <f>IF(C4="Camp Closed",AG4,IF(AG4&lt;'Drilling Spec'!$C$39,,'Drilling Spec'!$C$39))</f>
        <v>0</v>
      </c>
      <c r="AL4" s="16" t="e">
        <f t="shared" si="9"/>
        <v>#N/A</v>
      </c>
      <c r="AM4" s="16" t="e">
        <f t="shared" si="10"/>
        <v>#N/A</v>
      </c>
      <c r="AN4">
        <f>-'Drilling Spec'!$C$29</f>
        <v>-720</v>
      </c>
      <c r="AO4">
        <f>-'Drilling Spec'!$C$27</f>
        <v>-624</v>
      </c>
      <c r="AP4">
        <f>-'Drilling Spec'!$C$28</f>
        <v>-688</v>
      </c>
      <c r="AQ4" t="e">
        <f t="shared" si="11"/>
        <v>#N/A</v>
      </c>
      <c r="AR4" t="e">
        <f>IF(X4=0,NA(),-'Drilling Spec'!$C$29*0.1)</f>
        <v>#N/A</v>
      </c>
      <c r="AS4" t="e">
        <f>IF(Y4=0,NA(),-'Drilling Spec'!$C$29*0.1)</f>
        <v>#N/A</v>
      </c>
      <c r="AT4" t="e">
        <f>IF(AB4=0,NA(),-'Drilling Spec'!$C$29*0.2)</f>
        <v>#N/A</v>
      </c>
      <c r="AU4" t="e">
        <f>IF(AC4=0,NA(),-'Drilling Spec'!$C$29*0.2)</f>
        <v>#N/A</v>
      </c>
      <c r="AV4" t="e">
        <f>IF(AH4=0,NA(),-'Drilling Spec'!$C$29*0.3)</f>
        <v>#N/A</v>
      </c>
      <c r="AW4" t="e">
        <f>IF(AI4=0,NA(),-'Drilling Spec'!$C$29*0.3)</f>
        <v>#N/A</v>
      </c>
      <c r="AX4" s="29">
        <f t="shared" si="12"/>
        <v>0</v>
      </c>
      <c r="AY4" s="29">
        <f t="shared" si="13"/>
        <v>4</v>
      </c>
      <c r="AZ4" s="29">
        <f t="shared" ref="AZ4:AZ67" si="17">AG4</f>
        <v>0</v>
      </c>
      <c r="BA4" s="31" t="s">
        <v>132</v>
      </c>
      <c r="BB4" s="32">
        <v>45973</v>
      </c>
      <c r="BC4" s="10">
        <v>5</v>
      </c>
      <c r="BE4" s="31" t="s">
        <v>134</v>
      </c>
      <c r="BF4" s="32">
        <v>46043</v>
      </c>
      <c r="BG4" s="10">
        <v>5</v>
      </c>
      <c r="BT4" s="39" t="s">
        <v>177</v>
      </c>
      <c r="BU4" s="39"/>
      <c r="BV4" s="39"/>
      <c r="BW4" s="39"/>
      <c r="BX4" s="39"/>
      <c r="BY4" s="39"/>
      <c r="BZ4" s="39"/>
      <c r="CA4" s="39"/>
    </row>
    <row r="5" spans="1:79" x14ac:dyDescent="0.35">
      <c r="A5" s="28">
        <f t="shared" ref="A5:A68" si="18">A4+1</f>
        <v>45975</v>
      </c>
      <c r="B5" t="str">
        <f t="shared" si="0"/>
        <v>Fri</v>
      </c>
      <c r="C5" s="10" t="s">
        <v>3</v>
      </c>
      <c r="D5" s="10">
        <v>12</v>
      </c>
      <c r="E5" s="4">
        <f t="shared" si="1"/>
        <v>0</v>
      </c>
      <c r="F5" s="4">
        <f t="shared" si="2"/>
        <v>0</v>
      </c>
      <c r="G5" s="4">
        <f t="shared" si="3"/>
        <v>0</v>
      </c>
      <c r="H5" s="15" t="e">
        <f>(SQRT(4*I4*I4*V*V + 'Drilling Spec'!$C$42*I4 + W*('Drilling Spec'!$C$43 + 2*l*V*(s*W + 2*V*G5/(1+e)) + 'Drilling Spec'!$C$44)) - 'Drilling Spec'!$C$45)/(2*V)</f>
        <v>#VALUE!</v>
      </c>
      <c r="I5" s="23" t="str">
        <f>IF(AND(OR(I4=0,I4=""),F5=0),IF(F6=0,"",'Drilling Spec'!$C$26),H5)</f>
        <v/>
      </c>
      <c r="J5" s="16" t="e">
        <f>MAX(0,I5-'Drilling Spec'!$C$30)</f>
        <v>#VALUE!</v>
      </c>
      <c r="K5" s="18">
        <f>IFERROR(J5/'Drilling Spec'!$C$31,0)</f>
        <v>0</v>
      </c>
      <c r="L5" s="21">
        <f t="shared" si="4"/>
        <v>0</v>
      </c>
      <c r="M5" s="4">
        <f t="shared" si="14"/>
        <v>0</v>
      </c>
      <c r="N5" s="21">
        <f t="shared" si="5"/>
        <v>0</v>
      </c>
      <c r="O5" s="18">
        <f>(SQRT(4*O4*O4*vB*vB + 'Drilling Spec'!$C$48*O4 + WB*('Drilling Spec'!$C$49 + 2*lB*vB*(sB*WB + 2*vB*N5/(1+eB)) + 'Drilling Spec'!$C$50)) - 'Drilling Spec'!$C$51)/(2*vB)</f>
        <v>0</v>
      </c>
      <c r="P5" s="18">
        <f>IFERROR(((S5-'Drilling Spec'!$C$30)/'Drilling Spec'!$C$31)*'Drilling Spec'!$C$32,0)</f>
        <v>0</v>
      </c>
      <c r="Q5" s="18">
        <f t="shared" si="15"/>
        <v>0</v>
      </c>
      <c r="R5" s="18"/>
      <c r="S5" s="26" t="str">
        <f>IF(AND(OR(T4=0,T4=""),M5=0),IF(M6=0,"",'Drilling Spec'!$C$30),O5)</f>
        <v/>
      </c>
      <c r="U5" s="15">
        <f>E5*'Drilling Spec'!$C$22 + L5*'Drilling Spec'!$C$23</f>
        <v>0</v>
      </c>
      <c r="V5" s="15">
        <f t="shared" si="16"/>
        <v>0</v>
      </c>
      <c r="W5" s="15">
        <f t="shared" si="6"/>
        <v>0</v>
      </c>
      <c r="X5" s="10"/>
      <c r="Y5" s="30">
        <f>IF(W5&lt;U6,'Drilling Spec'!$C$35,0)</f>
        <v>0</v>
      </c>
      <c r="AA5" s="4">
        <f t="shared" ref="AA5:AA68" si="19">AA4+AC4+AB5</f>
        <v>4</v>
      </c>
      <c r="AB5" s="10"/>
      <c r="AC5" s="30">
        <f>IF('04-07-25-Scen3-Good,24-16hr'!K6&gt;'04-07-25-Scen3-Good,24-16hr'!AA5,'Drilling Spec'!$C$36,)</f>
        <v>0</v>
      </c>
      <c r="AE5" s="18" t="e">
        <f>(I5-'Drilling Spec'!$C$26)/'Drilling Spec'!$C$38</f>
        <v>#VALUE!</v>
      </c>
      <c r="AF5" s="18">
        <f t="shared" si="7"/>
        <v>0</v>
      </c>
      <c r="AG5" s="34">
        <f t="shared" si="8"/>
        <v>0</v>
      </c>
      <c r="AH5" s="10"/>
      <c r="AI5" s="26">
        <f>IF(C5="Camp Closed",AG5,IF(AG5&lt;'Drilling Spec'!$C$39,,'Drilling Spec'!$C$39))</f>
        <v>0</v>
      </c>
      <c r="AL5" s="16" t="e">
        <f t="shared" si="9"/>
        <v>#N/A</v>
      </c>
      <c r="AM5" s="16" t="e">
        <f t="shared" si="10"/>
        <v>#N/A</v>
      </c>
      <c r="AN5">
        <f>-'Drilling Spec'!$C$29</f>
        <v>-720</v>
      </c>
      <c r="AO5">
        <f>-'Drilling Spec'!$C$27</f>
        <v>-624</v>
      </c>
      <c r="AP5">
        <f>-'Drilling Spec'!$C$28</f>
        <v>-688</v>
      </c>
      <c r="AQ5" t="e">
        <f t="shared" si="11"/>
        <v>#N/A</v>
      </c>
      <c r="AR5" t="e">
        <f>IF(X5=0,NA(),-'Drilling Spec'!$C$29*0.1)</f>
        <v>#N/A</v>
      </c>
      <c r="AS5" t="e">
        <f>IF(Y5=0,NA(),-'Drilling Spec'!$C$29*0.1)</f>
        <v>#N/A</v>
      </c>
      <c r="AT5" t="e">
        <f>IF(AB5=0,NA(),-'Drilling Spec'!$C$29*0.2)</f>
        <v>#N/A</v>
      </c>
      <c r="AU5" t="e">
        <f>IF(AC5=0,NA(),-'Drilling Spec'!$C$29*0.2)</f>
        <v>#N/A</v>
      </c>
      <c r="AV5" t="e">
        <f>IF(AH5=0,NA(),-'Drilling Spec'!$C$29*0.3)</f>
        <v>#N/A</v>
      </c>
      <c r="AW5" t="e">
        <f>IF(AI5=0,NA(),-'Drilling Spec'!$C$29*0.3)</f>
        <v>#N/A</v>
      </c>
      <c r="AX5" s="29">
        <f t="shared" si="12"/>
        <v>0</v>
      </c>
      <c r="AY5" s="29">
        <f t="shared" si="13"/>
        <v>4</v>
      </c>
      <c r="AZ5" s="29">
        <f t="shared" si="17"/>
        <v>0</v>
      </c>
      <c r="BA5" s="31" t="s">
        <v>133</v>
      </c>
      <c r="BB5" s="32">
        <v>45978</v>
      </c>
      <c r="BC5" s="10">
        <v>5</v>
      </c>
      <c r="BE5" s="31" t="s">
        <v>167</v>
      </c>
      <c r="BF5" s="32">
        <v>46055</v>
      </c>
      <c r="BG5" s="10">
        <v>5</v>
      </c>
      <c r="BT5" s="39"/>
      <c r="BU5" s="39"/>
      <c r="BV5" s="39"/>
      <c r="BW5" s="39"/>
      <c r="BX5" s="39"/>
      <c r="BY5" s="39"/>
      <c r="BZ5" s="39"/>
      <c r="CA5" s="39"/>
    </row>
    <row r="6" spans="1:79" x14ac:dyDescent="0.35">
      <c r="A6" s="28">
        <f t="shared" si="18"/>
        <v>45976</v>
      </c>
      <c r="B6" t="str">
        <f t="shared" si="0"/>
        <v>Sat</v>
      </c>
      <c r="C6" s="10" t="s">
        <v>3</v>
      </c>
      <c r="D6" s="10">
        <v>12</v>
      </c>
      <c r="E6" s="4">
        <f t="shared" si="1"/>
        <v>0</v>
      </c>
      <c r="F6" s="4">
        <f t="shared" si="2"/>
        <v>0</v>
      </c>
      <c r="G6" s="4">
        <f t="shared" si="3"/>
        <v>0</v>
      </c>
      <c r="H6" s="15" t="e">
        <f>(SQRT(4*I5*I5*V*V + 'Drilling Spec'!$C$42*I5 + W*('Drilling Spec'!$C$43 + 2*l*V*(s*W + 2*V*G6/(1+e)) + 'Drilling Spec'!$C$44)) - 'Drilling Spec'!$C$45)/(2*V)</f>
        <v>#VALUE!</v>
      </c>
      <c r="I6" s="23" t="str">
        <f>IF(AND(OR(I5=0,I5=""),F6=0),IF(F7=0,"",'Drilling Spec'!$C$26),H6)</f>
        <v/>
      </c>
      <c r="J6" s="16" t="e">
        <f>MAX(0,I6-'Drilling Spec'!$C$30)</f>
        <v>#VALUE!</v>
      </c>
      <c r="K6" s="18">
        <f>IFERROR(J6/'Drilling Spec'!$C$31,0)</f>
        <v>0</v>
      </c>
      <c r="L6" s="21">
        <f t="shared" si="4"/>
        <v>0</v>
      </c>
      <c r="M6" s="4">
        <f t="shared" si="14"/>
        <v>0</v>
      </c>
      <c r="N6" s="21">
        <f t="shared" si="5"/>
        <v>0</v>
      </c>
      <c r="O6" s="18">
        <f>(SQRT(4*O5*O5*vB*vB + 'Drilling Spec'!$C$48*O5 + WB*('Drilling Spec'!$C$49 + 2*lB*vB*(sB*WB + 2*vB*N6/(1+eB)) + 'Drilling Spec'!$C$50)) - 'Drilling Spec'!$C$51)/(2*vB)</f>
        <v>0</v>
      </c>
      <c r="P6" s="18">
        <f>IFERROR(((S6-'Drilling Spec'!$C$30)/'Drilling Spec'!$C$31)*'Drilling Spec'!$C$32,0)</f>
        <v>0</v>
      </c>
      <c r="Q6" s="18">
        <f t="shared" si="15"/>
        <v>0</v>
      </c>
      <c r="R6" s="18"/>
      <c r="S6" s="26" t="str">
        <f>IF(AND(OR(T5=0,T5=""),M6=0),IF(M7=0,"",'Drilling Spec'!$C$30),O6)</f>
        <v/>
      </c>
      <c r="U6" s="15">
        <f>E6*'Drilling Spec'!$C$22 + L6*'Drilling Spec'!$C$23</f>
        <v>0</v>
      </c>
      <c r="V6" s="15">
        <f t="shared" si="16"/>
        <v>0</v>
      </c>
      <c r="W6" s="15">
        <f t="shared" si="6"/>
        <v>0</v>
      </c>
      <c r="X6" s="10"/>
      <c r="Y6" s="30">
        <f>IF(W6&lt;U7,'Drilling Spec'!$C$35,0)</f>
        <v>0</v>
      </c>
      <c r="AA6" s="4">
        <f t="shared" si="19"/>
        <v>4</v>
      </c>
      <c r="AB6" s="10"/>
      <c r="AC6" s="30">
        <f>IF('04-07-25-Scen3-Good,24-16hr'!K7&gt;'04-07-25-Scen3-Good,24-16hr'!AA6,'Drilling Spec'!$C$36,)</f>
        <v>0</v>
      </c>
      <c r="AE6" s="18" t="e">
        <f>(I6-'Drilling Spec'!$C$26)/'Drilling Spec'!$C$38</f>
        <v>#VALUE!</v>
      </c>
      <c r="AF6" s="18">
        <f t="shared" si="7"/>
        <v>0</v>
      </c>
      <c r="AG6" s="34">
        <f t="shared" si="8"/>
        <v>0</v>
      </c>
      <c r="AH6" s="10"/>
      <c r="AI6" s="26">
        <f>IF(C6="Camp Closed",AG6,IF(AG6&lt;'Drilling Spec'!$C$39,,'Drilling Spec'!$C$39))</f>
        <v>0</v>
      </c>
      <c r="AL6" s="16" t="e">
        <f t="shared" si="9"/>
        <v>#N/A</v>
      </c>
      <c r="AM6" s="16" t="e">
        <f t="shared" si="10"/>
        <v>#N/A</v>
      </c>
      <c r="AN6">
        <f>-'Drilling Spec'!$C$29</f>
        <v>-720</v>
      </c>
      <c r="AO6">
        <f>-'Drilling Spec'!$C$27</f>
        <v>-624</v>
      </c>
      <c r="AP6">
        <f>-'Drilling Spec'!$C$28</f>
        <v>-688</v>
      </c>
      <c r="AQ6" t="e">
        <f t="shared" si="11"/>
        <v>#N/A</v>
      </c>
      <c r="AR6" t="e">
        <f>IF(X6=0,NA(),-'Drilling Spec'!$C$29*0.1)</f>
        <v>#N/A</v>
      </c>
      <c r="AS6" t="e">
        <f>IF(Y6=0,NA(),-'Drilling Spec'!$C$29*0.1)</f>
        <v>#N/A</v>
      </c>
      <c r="AT6" t="e">
        <f>IF(AB6=0,NA(),-'Drilling Spec'!$C$29*0.2)</f>
        <v>#N/A</v>
      </c>
      <c r="AU6" t="e">
        <f>IF(AC6=0,NA(),-'Drilling Spec'!$C$29*0.2)</f>
        <v>#N/A</v>
      </c>
      <c r="AV6" t="e">
        <f>IF(AH6=0,NA(),-'Drilling Spec'!$C$29*0.3)</f>
        <v>#N/A</v>
      </c>
      <c r="AW6" t="e">
        <f>IF(AI6=0,NA(),-'Drilling Spec'!$C$29*0.3)</f>
        <v>#N/A</v>
      </c>
      <c r="AX6" s="29">
        <f t="shared" si="12"/>
        <v>0</v>
      </c>
      <c r="AY6" s="29">
        <f t="shared" si="13"/>
        <v>4</v>
      </c>
      <c r="AZ6" s="29">
        <f t="shared" si="17"/>
        <v>0</v>
      </c>
      <c r="BT6" s="45" t="s">
        <v>178</v>
      </c>
      <c r="BU6" s="45"/>
      <c r="BV6" s="45"/>
      <c r="BW6" s="45"/>
      <c r="BX6" s="45"/>
      <c r="BY6" s="45"/>
      <c r="BZ6" s="45"/>
      <c r="CA6" s="45"/>
    </row>
    <row r="7" spans="1:79" x14ac:dyDescent="0.35">
      <c r="A7" s="28">
        <f t="shared" si="18"/>
        <v>45977</v>
      </c>
      <c r="B7" t="str">
        <f t="shared" si="0"/>
        <v>Sun</v>
      </c>
      <c r="C7" s="10" t="s">
        <v>3</v>
      </c>
      <c r="D7" s="10">
        <v>12</v>
      </c>
      <c r="E7" s="4">
        <f t="shared" si="1"/>
        <v>0</v>
      </c>
      <c r="F7" s="4">
        <f t="shared" si="2"/>
        <v>0</v>
      </c>
      <c r="G7" s="4">
        <f t="shared" si="3"/>
        <v>0</v>
      </c>
      <c r="H7" s="15" t="e">
        <f>(SQRT(4*I6*I6*V*V + 'Drilling Spec'!$C$42*I6 + W*('Drilling Spec'!$C$43 + 2*l*V*(s*W + 2*V*G7/(1+e)) + 'Drilling Spec'!$C$44)) - 'Drilling Spec'!$C$45)/(2*V)</f>
        <v>#VALUE!</v>
      </c>
      <c r="I7" s="23" t="str">
        <f>IF(AND(OR(I6=0,I6=""),F7=0),IF(F8=0,"",'Drilling Spec'!$C$26),H7)</f>
        <v/>
      </c>
      <c r="J7" s="16" t="e">
        <f>MAX(0,I7-'Drilling Spec'!$C$30)</f>
        <v>#VALUE!</v>
      </c>
      <c r="K7" s="18">
        <f>IFERROR(J7/'Drilling Spec'!$C$31,0)</f>
        <v>0</v>
      </c>
      <c r="L7" s="21">
        <f t="shared" si="4"/>
        <v>0</v>
      </c>
      <c r="M7" s="4">
        <f t="shared" si="14"/>
        <v>0</v>
      </c>
      <c r="N7" s="21">
        <f t="shared" si="5"/>
        <v>0</v>
      </c>
      <c r="O7" s="18">
        <f>(SQRT(4*O6*O6*vB*vB + 'Drilling Spec'!$C$48*O6 + WB*('Drilling Spec'!$C$49 + 2*lB*vB*(sB*WB + 2*vB*N7/(1+eB)) + 'Drilling Spec'!$C$50)) - 'Drilling Spec'!$C$51)/(2*vB)</f>
        <v>0</v>
      </c>
      <c r="P7" s="18">
        <f>IFERROR(((S7-'Drilling Spec'!$C$30)/'Drilling Spec'!$C$31)*'Drilling Spec'!$C$32,0)</f>
        <v>0</v>
      </c>
      <c r="Q7" s="18">
        <f t="shared" si="15"/>
        <v>0</v>
      </c>
      <c r="R7" s="18"/>
      <c r="S7" s="26" t="str">
        <f>IF(AND(OR(T6=0,T6=""),M7=0),IF(M8=0,"",'Drilling Spec'!$C$30),O7)</f>
        <v/>
      </c>
      <c r="U7" s="15">
        <f>E7*'Drilling Spec'!$C$22 + L7*'Drilling Spec'!$C$23</f>
        <v>0</v>
      </c>
      <c r="V7" s="15">
        <f t="shared" si="16"/>
        <v>0</v>
      </c>
      <c r="W7" s="15">
        <f t="shared" si="6"/>
        <v>0</v>
      </c>
      <c r="X7" s="10"/>
      <c r="Y7" s="30">
        <f>IF(W7&lt;U8,'Drilling Spec'!$C$35,0)</f>
        <v>0</v>
      </c>
      <c r="AA7" s="4">
        <f t="shared" si="19"/>
        <v>4</v>
      </c>
      <c r="AB7" s="10"/>
      <c r="AC7" s="30">
        <f>IF('04-07-25-Scen3-Good,24-16hr'!K8&gt;'04-07-25-Scen3-Good,24-16hr'!AA7,'Drilling Spec'!$C$36,)</f>
        <v>0</v>
      </c>
      <c r="AE7" s="18" t="e">
        <f>(I7-'Drilling Spec'!$C$26)/'Drilling Spec'!$C$38</f>
        <v>#VALUE!</v>
      </c>
      <c r="AF7" s="18">
        <f t="shared" si="7"/>
        <v>0</v>
      </c>
      <c r="AG7" s="34">
        <f t="shared" si="8"/>
        <v>0</v>
      </c>
      <c r="AH7" s="10"/>
      <c r="AI7" s="26">
        <f>IF(C7="Camp Closed",AG7,IF(AG7&lt;'Drilling Spec'!$C$39,,'Drilling Spec'!$C$39))</f>
        <v>0</v>
      </c>
      <c r="AL7" s="16" t="e">
        <f t="shared" si="9"/>
        <v>#N/A</v>
      </c>
      <c r="AM7" s="16" t="e">
        <f t="shared" si="10"/>
        <v>#N/A</v>
      </c>
      <c r="AN7">
        <f>-'Drilling Spec'!$C$29</f>
        <v>-720</v>
      </c>
      <c r="AO7">
        <f>-'Drilling Spec'!$C$27</f>
        <v>-624</v>
      </c>
      <c r="AP7">
        <f>-'Drilling Spec'!$C$28</f>
        <v>-688</v>
      </c>
      <c r="AQ7" t="e">
        <f t="shared" si="11"/>
        <v>#N/A</v>
      </c>
      <c r="AR7" t="e">
        <f>IF(X7=0,NA(),-'Drilling Spec'!$C$29*0.1)</f>
        <v>#N/A</v>
      </c>
      <c r="AS7" t="e">
        <f>IF(Y7=0,NA(),-'Drilling Spec'!$C$29*0.1)</f>
        <v>#N/A</v>
      </c>
      <c r="AT7" t="e">
        <f>IF(AB7=0,NA(),-'Drilling Spec'!$C$29*0.2)</f>
        <v>#N/A</v>
      </c>
      <c r="AU7" t="e">
        <f>IF(AC7=0,NA(),-'Drilling Spec'!$C$29*0.2)</f>
        <v>#N/A</v>
      </c>
      <c r="AV7" t="e">
        <f>IF(AH7=0,NA(),-'Drilling Spec'!$C$29*0.3)</f>
        <v>#N/A</v>
      </c>
      <c r="AW7" t="e">
        <f>IF(AI7=0,NA(),-'Drilling Spec'!$C$29*0.3)</f>
        <v>#N/A</v>
      </c>
      <c r="AX7" s="29">
        <f t="shared" si="12"/>
        <v>0</v>
      </c>
      <c r="AY7" s="29">
        <f t="shared" si="13"/>
        <v>4</v>
      </c>
      <c r="AZ7" s="29">
        <f t="shared" si="17"/>
        <v>0</v>
      </c>
      <c r="BT7" t="s">
        <v>184</v>
      </c>
    </row>
    <row r="8" spans="1:79" x14ac:dyDescent="0.35">
      <c r="A8" s="28">
        <f t="shared" si="18"/>
        <v>45978</v>
      </c>
      <c r="B8" t="str">
        <f t="shared" si="0"/>
        <v>Mon</v>
      </c>
      <c r="C8" s="10" t="s">
        <v>7</v>
      </c>
      <c r="D8" s="10">
        <v>0</v>
      </c>
      <c r="E8" s="4">
        <f t="shared" si="1"/>
        <v>0</v>
      </c>
      <c r="F8" s="4">
        <f t="shared" si="2"/>
        <v>0</v>
      </c>
      <c r="G8" s="4">
        <f t="shared" si="3"/>
        <v>0</v>
      </c>
      <c r="H8" s="15" t="e">
        <f>(SQRT(4*I7*I7*V*V + 'Drilling Spec'!$C$42*I7 + W*('Drilling Spec'!$C$43 + 2*l*V*(s*W + 2*V*G8/(1+e)) + 'Drilling Spec'!$C$44)) - 'Drilling Spec'!$C$45)/(2*V)</f>
        <v>#VALUE!</v>
      </c>
      <c r="I8" s="23" t="str">
        <f>IF(AND(OR(I7=0,I7=""),F8=0),IF(F9=0,"",'Drilling Spec'!$C$26),H8)</f>
        <v/>
      </c>
      <c r="J8" s="16" t="e">
        <f>MAX(0,I8-'Drilling Spec'!$C$30)</f>
        <v>#VALUE!</v>
      </c>
      <c r="K8" s="18">
        <f>IFERROR(J8/'Drilling Spec'!$C$31,0)</f>
        <v>0</v>
      </c>
      <c r="L8" s="21">
        <f t="shared" si="4"/>
        <v>0</v>
      </c>
      <c r="M8" s="4">
        <f t="shared" si="14"/>
        <v>0</v>
      </c>
      <c r="N8" s="21">
        <f t="shared" si="5"/>
        <v>0</v>
      </c>
      <c r="O8" s="18">
        <f>(SQRT(4*O7*O7*vB*vB + 'Drilling Spec'!$C$48*O7 + WB*('Drilling Spec'!$C$49 + 2*lB*vB*(sB*WB + 2*vB*N8/(1+eB)) + 'Drilling Spec'!$C$50)) - 'Drilling Spec'!$C$51)/(2*vB)</f>
        <v>0</v>
      </c>
      <c r="P8" s="18">
        <f>IFERROR(((S8-'Drilling Spec'!$C$30)/'Drilling Spec'!$C$31)*'Drilling Spec'!$C$32,0)</f>
        <v>0</v>
      </c>
      <c r="Q8" s="18">
        <f t="shared" si="15"/>
        <v>0</v>
      </c>
      <c r="R8" s="18"/>
      <c r="S8" s="26" t="str">
        <f>IF(AND(OR(T7=0,T7=""),M8=0),IF(M9=0,"",'Drilling Spec'!$C$30),O8)</f>
        <v/>
      </c>
      <c r="U8" s="15">
        <f>E8*'Drilling Spec'!$C$22 + L8*'Drilling Spec'!$C$23</f>
        <v>0</v>
      </c>
      <c r="V8" s="15">
        <f t="shared" si="16"/>
        <v>0</v>
      </c>
      <c r="W8" s="15">
        <f t="shared" si="6"/>
        <v>0</v>
      </c>
      <c r="X8" s="10"/>
      <c r="Y8" s="30">
        <f>IF(W8&lt;U9,'Drilling Spec'!$C$35,0)</f>
        <v>0</v>
      </c>
      <c r="AA8" s="4">
        <f t="shared" si="19"/>
        <v>4</v>
      </c>
      <c r="AB8" s="10"/>
      <c r="AC8" s="30">
        <f>IF('04-07-25-Scen3-Good,24-16hr'!K9&gt;'04-07-25-Scen3-Good,24-16hr'!AA8,'Drilling Spec'!$C$36,)</f>
        <v>0</v>
      </c>
      <c r="AE8" s="18" t="e">
        <f>(I8-'Drilling Spec'!$C$26)/'Drilling Spec'!$C$38</f>
        <v>#VALUE!</v>
      </c>
      <c r="AF8" s="18">
        <f t="shared" si="7"/>
        <v>0</v>
      </c>
      <c r="AG8" s="34">
        <f t="shared" si="8"/>
        <v>0</v>
      </c>
      <c r="AH8" s="10"/>
      <c r="AI8" s="26">
        <f>IF(C8="Camp Closed",AG8,IF(AG8&lt;'Drilling Spec'!$C$39,,'Drilling Spec'!$C$39))</f>
        <v>0</v>
      </c>
      <c r="AL8" s="16" t="e">
        <f t="shared" si="9"/>
        <v>#N/A</v>
      </c>
      <c r="AM8" s="16" t="e">
        <f t="shared" si="10"/>
        <v>#N/A</v>
      </c>
      <c r="AN8">
        <f>-'Drilling Spec'!$C$29</f>
        <v>-720</v>
      </c>
      <c r="AO8">
        <f>-'Drilling Spec'!$C$27</f>
        <v>-624</v>
      </c>
      <c r="AP8">
        <f>-'Drilling Spec'!$C$28</f>
        <v>-688</v>
      </c>
      <c r="AQ8" t="e">
        <f t="shared" si="11"/>
        <v>#N/A</v>
      </c>
      <c r="AR8" t="e">
        <f>IF(X8=0,NA(),-'Drilling Spec'!$C$29*0.1)</f>
        <v>#N/A</v>
      </c>
      <c r="AS8" t="e">
        <f>IF(Y8=0,NA(),-'Drilling Spec'!$C$29*0.1)</f>
        <v>#N/A</v>
      </c>
      <c r="AT8" t="e">
        <f>IF(AB8=0,NA(),-'Drilling Spec'!$C$29*0.2)</f>
        <v>#N/A</v>
      </c>
      <c r="AU8" t="e">
        <f>IF(AC8=0,NA(),-'Drilling Spec'!$C$29*0.2)</f>
        <v>#N/A</v>
      </c>
      <c r="AV8" t="e">
        <f>IF(AH8=0,NA(),-'Drilling Spec'!$C$29*0.3)</f>
        <v>#N/A</v>
      </c>
      <c r="AW8" t="e">
        <f>IF(AI8=0,NA(),-'Drilling Spec'!$C$29*0.3)</f>
        <v>#N/A</v>
      </c>
      <c r="AX8" s="29">
        <f t="shared" si="12"/>
        <v>0</v>
      </c>
      <c r="AY8" s="29">
        <f t="shared" si="13"/>
        <v>4</v>
      </c>
      <c r="AZ8" s="29">
        <f t="shared" si="17"/>
        <v>0</v>
      </c>
      <c r="BT8" s="39" t="s">
        <v>183</v>
      </c>
      <c r="BU8" s="39"/>
      <c r="BV8" s="39"/>
      <c r="BW8" s="39"/>
      <c r="BX8" s="39"/>
      <c r="BY8" s="39"/>
      <c r="BZ8" s="39"/>
      <c r="CA8" s="39"/>
    </row>
    <row r="9" spans="1:79" x14ac:dyDescent="0.35">
      <c r="A9" s="28">
        <f t="shared" si="18"/>
        <v>45979</v>
      </c>
      <c r="B9" t="str">
        <f t="shared" si="0"/>
        <v>Tue</v>
      </c>
      <c r="C9" s="10" t="s">
        <v>4</v>
      </c>
      <c r="D9" s="10">
        <v>12</v>
      </c>
      <c r="E9" s="4">
        <f t="shared" si="1"/>
        <v>0</v>
      </c>
      <c r="F9" s="4">
        <f t="shared" si="2"/>
        <v>0</v>
      </c>
      <c r="G9" s="4">
        <f t="shared" si="3"/>
        <v>0</v>
      </c>
      <c r="H9" s="15" t="e">
        <f>(SQRT(4*I8*I8*V*V + 'Drilling Spec'!$C$42*I8 + W*('Drilling Spec'!$C$43 + 2*l*V*(s*W + 2*V*G9/(1+e)) + 'Drilling Spec'!$C$44)) - 'Drilling Spec'!$C$45)/(2*V)</f>
        <v>#VALUE!</v>
      </c>
      <c r="I9" s="23" t="str">
        <f>IF(AND(OR(I8=0,I8=""),F9=0),IF(F10=0,"",'Drilling Spec'!$C$26),H9)</f>
        <v/>
      </c>
      <c r="J9" s="16" t="e">
        <f>MAX(0,I9-'Drilling Spec'!$C$30)</f>
        <v>#VALUE!</v>
      </c>
      <c r="K9" s="18">
        <f>IFERROR(J9/'Drilling Spec'!$C$31,0)</f>
        <v>0</v>
      </c>
      <c r="L9" s="21">
        <f t="shared" si="4"/>
        <v>0</v>
      </c>
      <c r="M9" s="4">
        <f t="shared" si="14"/>
        <v>0</v>
      </c>
      <c r="N9" s="21">
        <f t="shared" si="5"/>
        <v>0</v>
      </c>
      <c r="O9" s="18">
        <f>(SQRT(4*O8*O8*vB*vB + 'Drilling Spec'!$C$48*O8 + WB*('Drilling Spec'!$C$49 + 2*lB*vB*(sB*WB + 2*vB*N9/(1+eB)) + 'Drilling Spec'!$C$50)) - 'Drilling Spec'!$C$51)/(2*vB)</f>
        <v>0</v>
      </c>
      <c r="P9" s="18">
        <f>IFERROR(((S9-'Drilling Spec'!$C$30)/'Drilling Spec'!$C$31)*'Drilling Spec'!$C$32,0)</f>
        <v>0</v>
      </c>
      <c r="Q9" s="18">
        <f t="shared" si="15"/>
        <v>0</v>
      </c>
      <c r="R9" s="18"/>
      <c r="S9" s="26" t="str">
        <f>IF(AND(OR(T8=0,T8=""),M9=0),IF(M10=0,"",'Drilling Spec'!$C$30),O9)</f>
        <v/>
      </c>
      <c r="U9" s="15">
        <f>E9*'Drilling Spec'!$C$22 + L9*'Drilling Spec'!$C$23</f>
        <v>0</v>
      </c>
      <c r="V9" s="15">
        <f t="shared" si="16"/>
        <v>0</v>
      </c>
      <c r="W9" s="15">
        <f t="shared" si="6"/>
        <v>0</v>
      </c>
      <c r="X9" s="10"/>
      <c r="Y9" s="30">
        <f>IF(W9&lt;U10,'Drilling Spec'!$C$35,0)</f>
        <v>0</v>
      </c>
      <c r="AA9" s="4">
        <f t="shared" si="19"/>
        <v>4</v>
      </c>
      <c r="AB9" s="10"/>
      <c r="AC9" s="30">
        <f>IF('04-07-25-Scen3-Good,24-16hr'!K10&gt;'04-07-25-Scen3-Good,24-16hr'!AA9,'Drilling Spec'!$C$36,)</f>
        <v>0</v>
      </c>
      <c r="AE9" s="18" t="e">
        <f>(I9-'Drilling Spec'!$C$26)/'Drilling Spec'!$C$38</f>
        <v>#VALUE!</v>
      </c>
      <c r="AF9" s="18">
        <f t="shared" si="7"/>
        <v>0</v>
      </c>
      <c r="AG9" s="34">
        <f t="shared" si="8"/>
        <v>0</v>
      </c>
      <c r="AH9" s="10"/>
      <c r="AI9" s="26">
        <f>IF(C9="Camp Closed",AG9,IF(AG9&lt;'Drilling Spec'!$C$39,,'Drilling Spec'!$C$39))</f>
        <v>0</v>
      </c>
      <c r="AL9" s="16" t="e">
        <f t="shared" si="9"/>
        <v>#N/A</v>
      </c>
      <c r="AM9" s="16" t="e">
        <f t="shared" si="10"/>
        <v>#N/A</v>
      </c>
      <c r="AN9">
        <f>-'Drilling Spec'!$C$29</f>
        <v>-720</v>
      </c>
      <c r="AO9">
        <f>-'Drilling Spec'!$C$27</f>
        <v>-624</v>
      </c>
      <c r="AP9">
        <f>-'Drilling Spec'!$C$28</f>
        <v>-688</v>
      </c>
      <c r="AQ9" t="e">
        <f t="shared" si="11"/>
        <v>#N/A</v>
      </c>
      <c r="AR9" t="e">
        <f>IF(X9=0,NA(),-'Drilling Spec'!$C$29*0.1)</f>
        <v>#N/A</v>
      </c>
      <c r="AS9" t="e">
        <f>IF(Y9=0,NA(),-'Drilling Spec'!$C$29*0.1)</f>
        <v>#N/A</v>
      </c>
      <c r="AT9" t="e">
        <f>IF(AB9=0,NA(),-'Drilling Spec'!$C$29*0.2)</f>
        <v>#N/A</v>
      </c>
      <c r="AU9" t="e">
        <f>IF(AC9=0,NA(),-'Drilling Spec'!$C$29*0.2)</f>
        <v>#N/A</v>
      </c>
      <c r="AV9" t="e">
        <f>IF(AH9=0,NA(),-'Drilling Spec'!$C$29*0.3)</f>
        <v>#N/A</v>
      </c>
      <c r="AW9" t="e">
        <f>IF(AI9=0,NA(),-'Drilling Spec'!$C$29*0.3)</f>
        <v>#N/A</v>
      </c>
      <c r="AX9" s="29">
        <f t="shared" si="12"/>
        <v>0</v>
      </c>
      <c r="AY9" s="29">
        <f t="shared" si="13"/>
        <v>4</v>
      </c>
      <c r="AZ9" s="29">
        <f t="shared" si="17"/>
        <v>0</v>
      </c>
      <c r="BT9" s="39"/>
      <c r="BU9" s="39"/>
      <c r="BV9" s="39"/>
      <c r="BW9" s="39"/>
      <c r="BX9" s="39"/>
      <c r="BY9" s="39"/>
      <c r="BZ9" s="39"/>
      <c r="CA9" s="39"/>
    </row>
    <row r="10" spans="1:79" x14ac:dyDescent="0.35">
      <c r="A10" s="28">
        <f t="shared" si="18"/>
        <v>45980</v>
      </c>
      <c r="B10" t="str">
        <f t="shared" si="0"/>
        <v>Wed</v>
      </c>
      <c r="C10" s="10" t="s">
        <v>4</v>
      </c>
      <c r="D10" s="10">
        <v>12</v>
      </c>
      <c r="E10" s="4">
        <f t="shared" si="1"/>
        <v>0</v>
      </c>
      <c r="F10" s="4">
        <f t="shared" si="2"/>
        <v>0</v>
      </c>
      <c r="G10" s="4">
        <f t="shared" si="3"/>
        <v>0</v>
      </c>
      <c r="H10" s="15" t="e">
        <f>(SQRT(4*I9*I9*V*V + 'Drilling Spec'!$C$42*I9 + W*('Drilling Spec'!$C$43 + 2*l*V*(s*W + 2*V*G10/(1+e)) + 'Drilling Spec'!$C$44)) - 'Drilling Spec'!$C$45)/(2*V)</f>
        <v>#VALUE!</v>
      </c>
      <c r="I10" s="23" t="str">
        <f>IF(AND(OR(I9=0,I9=""),F10=0),IF(F11=0,"",'Drilling Spec'!$C$26),H10)</f>
        <v/>
      </c>
      <c r="J10" s="16" t="e">
        <f>MAX(0,I10-'Drilling Spec'!$C$30)</f>
        <v>#VALUE!</v>
      </c>
      <c r="K10" s="18">
        <f>IFERROR(J10/'Drilling Spec'!$C$31,0)</f>
        <v>0</v>
      </c>
      <c r="L10" s="21">
        <f t="shared" si="4"/>
        <v>0</v>
      </c>
      <c r="M10" s="4">
        <f t="shared" si="14"/>
        <v>0</v>
      </c>
      <c r="N10" s="21">
        <f t="shared" si="5"/>
        <v>0</v>
      </c>
      <c r="O10" s="18">
        <f>(SQRT(4*O9*O9*vB*vB + 'Drilling Spec'!$C$48*O9 + WB*('Drilling Spec'!$C$49 + 2*lB*vB*(sB*WB + 2*vB*N10/(1+eB)) + 'Drilling Spec'!$C$50)) - 'Drilling Spec'!$C$51)/(2*vB)</f>
        <v>0</v>
      </c>
      <c r="P10" s="18">
        <f>IFERROR(((S10-'Drilling Spec'!$C$30)/'Drilling Spec'!$C$31)*'Drilling Spec'!$C$32,0)</f>
        <v>0</v>
      </c>
      <c r="Q10" s="18">
        <f t="shared" si="15"/>
        <v>0</v>
      </c>
      <c r="R10" s="18"/>
      <c r="S10" s="26" t="str">
        <f>IF(AND(OR(T9=0,T9=""),M10=0),IF(M11=0,"",'Drilling Spec'!$C$30),O10)</f>
        <v/>
      </c>
      <c r="U10" s="15">
        <f>E10*'Drilling Spec'!$C$22 + L10*'Drilling Spec'!$C$23</f>
        <v>0</v>
      </c>
      <c r="V10" s="15">
        <f t="shared" si="16"/>
        <v>0</v>
      </c>
      <c r="W10" s="15">
        <f t="shared" si="6"/>
        <v>0</v>
      </c>
      <c r="X10" s="10"/>
      <c r="Y10" s="30">
        <f>IF(W10&lt;U11,'Drilling Spec'!$C$35,0)</f>
        <v>0</v>
      </c>
      <c r="AA10" s="4">
        <f t="shared" si="19"/>
        <v>4</v>
      </c>
      <c r="AB10" s="10"/>
      <c r="AC10" s="30">
        <f>IF('04-07-25-Scen3-Good,24-16hr'!K11&gt;'04-07-25-Scen3-Good,24-16hr'!AA10,'Drilling Spec'!$C$36,)</f>
        <v>0</v>
      </c>
      <c r="AE10" s="18" t="e">
        <f>(I10-'Drilling Spec'!$C$26)/'Drilling Spec'!$C$38</f>
        <v>#VALUE!</v>
      </c>
      <c r="AF10" s="18">
        <f t="shared" si="7"/>
        <v>0</v>
      </c>
      <c r="AG10" s="34">
        <f t="shared" si="8"/>
        <v>0</v>
      </c>
      <c r="AH10" s="10"/>
      <c r="AI10" s="26">
        <f>IF(C10="Camp Closed",AG10,IF(AG10&lt;'Drilling Spec'!$C$39,,'Drilling Spec'!$C$39))</f>
        <v>0</v>
      </c>
      <c r="AL10" s="16" t="e">
        <f t="shared" si="9"/>
        <v>#N/A</v>
      </c>
      <c r="AM10" s="16" t="e">
        <f t="shared" si="10"/>
        <v>#N/A</v>
      </c>
      <c r="AN10">
        <f>-'Drilling Spec'!$C$29</f>
        <v>-720</v>
      </c>
      <c r="AO10">
        <f>-'Drilling Spec'!$C$27</f>
        <v>-624</v>
      </c>
      <c r="AP10">
        <f>-'Drilling Spec'!$C$28</f>
        <v>-688</v>
      </c>
      <c r="AQ10" t="e">
        <f t="shared" si="11"/>
        <v>#N/A</v>
      </c>
      <c r="AR10" t="e">
        <f>IF(X10=0,NA(),-'Drilling Spec'!$C$29*0.1)</f>
        <v>#N/A</v>
      </c>
      <c r="AS10" t="e">
        <f>IF(Y10=0,NA(),-'Drilling Spec'!$C$29*0.1)</f>
        <v>#N/A</v>
      </c>
      <c r="AT10" t="e">
        <f>IF(AB10=0,NA(),-'Drilling Spec'!$C$29*0.2)</f>
        <v>#N/A</v>
      </c>
      <c r="AU10" t="e">
        <f>IF(AC10=0,NA(),-'Drilling Spec'!$C$29*0.2)</f>
        <v>#N/A</v>
      </c>
      <c r="AV10" t="e">
        <f>IF(AH10=0,NA(),-'Drilling Spec'!$C$29*0.3)</f>
        <v>#N/A</v>
      </c>
      <c r="AW10" t="e">
        <f>IF(AI10=0,NA(),-'Drilling Spec'!$C$29*0.3)</f>
        <v>#N/A</v>
      </c>
      <c r="AX10" s="29">
        <f t="shared" si="12"/>
        <v>0</v>
      </c>
      <c r="AY10" s="29">
        <f t="shared" si="13"/>
        <v>4</v>
      </c>
      <c r="AZ10" s="29">
        <f t="shared" si="17"/>
        <v>0</v>
      </c>
      <c r="BT10" s="39"/>
      <c r="BU10" s="39"/>
      <c r="BV10" s="39"/>
      <c r="BW10" s="39"/>
      <c r="BX10" s="39"/>
      <c r="BY10" s="39"/>
      <c r="BZ10" s="39"/>
      <c r="CA10" s="39"/>
    </row>
    <row r="11" spans="1:79" x14ac:dyDescent="0.35">
      <c r="A11" s="28">
        <f t="shared" si="18"/>
        <v>45981</v>
      </c>
      <c r="B11" t="str">
        <f t="shared" si="0"/>
        <v>Thu</v>
      </c>
      <c r="C11" s="10" t="s">
        <v>4</v>
      </c>
      <c r="D11" s="10">
        <v>12</v>
      </c>
      <c r="E11" s="4">
        <f t="shared" si="1"/>
        <v>0</v>
      </c>
      <c r="F11" s="4">
        <f t="shared" si="2"/>
        <v>0</v>
      </c>
      <c r="G11" s="4">
        <f t="shared" si="3"/>
        <v>0</v>
      </c>
      <c r="H11" s="15" t="e">
        <f>(SQRT(4*I10*I10*V*V + 'Drilling Spec'!$C$42*I10 + W*('Drilling Spec'!$C$43 + 2*l*V*(s*W + 2*V*G11/(1+e)) + 'Drilling Spec'!$C$44)) - 'Drilling Spec'!$C$45)/(2*V)</f>
        <v>#VALUE!</v>
      </c>
      <c r="I11" s="23" t="str">
        <f>IF(AND(OR(I10=0,I10=""),F11=0),IF(F12=0,"",'Drilling Spec'!$C$26),H11)</f>
        <v/>
      </c>
      <c r="J11" s="16" t="e">
        <f>MAX(0,I11-'Drilling Spec'!$C$30)</f>
        <v>#VALUE!</v>
      </c>
      <c r="K11" s="18">
        <f>IFERROR(J11/'Drilling Spec'!$C$31,0)</f>
        <v>0</v>
      </c>
      <c r="L11" s="21">
        <f t="shared" si="4"/>
        <v>0</v>
      </c>
      <c r="M11" s="4">
        <f t="shared" si="14"/>
        <v>0</v>
      </c>
      <c r="N11" s="21">
        <f t="shared" si="5"/>
        <v>0</v>
      </c>
      <c r="O11" s="18">
        <f>(SQRT(4*O10*O10*vB*vB + 'Drilling Spec'!$C$48*O10 + WB*('Drilling Spec'!$C$49 + 2*lB*vB*(sB*WB + 2*vB*N11/(1+eB)) + 'Drilling Spec'!$C$50)) - 'Drilling Spec'!$C$51)/(2*vB)</f>
        <v>0</v>
      </c>
      <c r="P11" s="18">
        <f>IFERROR(((S11-'Drilling Spec'!$C$30)/'Drilling Spec'!$C$31)*'Drilling Spec'!$C$32,0)</f>
        <v>0</v>
      </c>
      <c r="Q11" s="18">
        <f t="shared" si="15"/>
        <v>0</v>
      </c>
      <c r="R11" s="18"/>
      <c r="S11" s="26" t="str">
        <f>IF(AND(OR(T10=0,T10=""),M11=0),IF(M12=0,"",'Drilling Spec'!$C$30),O11)</f>
        <v/>
      </c>
      <c r="U11" s="15">
        <f>E11*'Drilling Spec'!$C$22 + L11*'Drilling Spec'!$C$23</f>
        <v>0</v>
      </c>
      <c r="V11" s="15">
        <f t="shared" si="16"/>
        <v>0</v>
      </c>
      <c r="W11" s="15">
        <f t="shared" si="6"/>
        <v>0</v>
      </c>
      <c r="X11" s="10"/>
      <c r="Y11" s="30">
        <f>IF(W11&lt;U12,'Drilling Spec'!$C$35,0)</f>
        <v>0</v>
      </c>
      <c r="AA11" s="4">
        <f t="shared" si="19"/>
        <v>4</v>
      </c>
      <c r="AB11" s="10"/>
      <c r="AC11" s="30">
        <f>IF('04-07-25-Scen3-Good,24-16hr'!K12&gt;'04-07-25-Scen3-Good,24-16hr'!AA11,'Drilling Spec'!$C$36,)</f>
        <v>0</v>
      </c>
      <c r="AE11" s="18" t="e">
        <f>(I11-'Drilling Spec'!$C$26)/'Drilling Spec'!$C$38</f>
        <v>#VALUE!</v>
      </c>
      <c r="AF11" s="18">
        <f t="shared" si="7"/>
        <v>0</v>
      </c>
      <c r="AG11" s="34">
        <f t="shared" si="8"/>
        <v>0</v>
      </c>
      <c r="AH11" s="10"/>
      <c r="AI11" s="26">
        <f>IF(C11="Camp Closed",AG11,IF(AG11&lt;'Drilling Spec'!$C$39,,'Drilling Spec'!$C$39))</f>
        <v>0</v>
      </c>
      <c r="AL11" s="16" t="e">
        <f t="shared" si="9"/>
        <v>#N/A</v>
      </c>
      <c r="AM11" s="16" t="e">
        <f t="shared" si="10"/>
        <v>#N/A</v>
      </c>
      <c r="AN11">
        <f>-'Drilling Spec'!$C$29</f>
        <v>-720</v>
      </c>
      <c r="AO11">
        <f>-'Drilling Spec'!$C$27</f>
        <v>-624</v>
      </c>
      <c r="AP11">
        <f>-'Drilling Spec'!$C$28</f>
        <v>-688</v>
      </c>
      <c r="AQ11" t="e">
        <f t="shared" si="11"/>
        <v>#N/A</v>
      </c>
      <c r="AR11" t="e">
        <f>IF(X11=0,NA(),-'Drilling Spec'!$C$29*0.1)</f>
        <v>#N/A</v>
      </c>
      <c r="AS11" t="e">
        <f>IF(Y11=0,NA(),-'Drilling Spec'!$C$29*0.1)</f>
        <v>#N/A</v>
      </c>
      <c r="AT11" t="e">
        <f>IF(AB11=0,NA(),-'Drilling Spec'!$C$29*0.2)</f>
        <v>#N/A</v>
      </c>
      <c r="AU11" t="e">
        <f>IF(AC11=0,NA(),-'Drilling Spec'!$C$29*0.2)</f>
        <v>#N/A</v>
      </c>
      <c r="AV11" t="e">
        <f>IF(AH11=0,NA(),-'Drilling Spec'!$C$29*0.3)</f>
        <v>#N/A</v>
      </c>
      <c r="AW11" t="e">
        <f>IF(AI11=0,NA(),-'Drilling Spec'!$C$29*0.3)</f>
        <v>#N/A</v>
      </c>
      <c r="AX11" s="29">
        <f t="shared" si="12"/>
        <v>0</v>
      </c>
      <c r="AY11" s="29">
        <f t="shared" si="13"/>
        <v>4</v>
      </c>
      <c r="AZ11" s="29">
        <f t="shared" si="17"/>
        <v>0</v>
      </c>
      <c r="BS11" s="35"/>
      <c r="BT11" s="35"/>
      <c r="BU11" s="41" t="s">
        <v>7</v>
      </c>
      <c r="BV11" s="41"/>
      <c r="BW11" s="42" t="s">
        <v>182</v>
      </c>
      <c r="BX11" s="43"/>
      <c r="BY11" s="43"/>
      <c r="BZ11" s="43"/>
      <c r="CA11" s="43"/>
    </row>
    <row r="12" spans="1:79" x14ac:dyDescent="0.35">
      <c r="A12" s="28">
        <f t="shared" si="18"/>
        <v>45982</v>
      </c>
      <c r="B12" t="str">
        <f t="shared" si="0"/>
        <v>Fri</v>
      </c>
      <c r="C12" s="10" t="s">
        <v>4</v>
      </c>
      <c r="D12" s="10">
        <v>12</v>
      </c>
      <c r="E12" s="4">
        <f t="shared" si="1"/>
        <v>0</v>
      </c>
      <c r="F12" s="4">
        <f t="shared" si="2"/>
        <v>0</v>
      </c>
      <c r="G12" s="4">
        <f t="shared" si="3"/>
        <v>0</v>
      </c>
      <c r="H12" s="15" t="e">
        <f>(SQRT(4*I11*I11*V*V + 'Drilling Spec'!$C$42*I11 + W*('Drilling Spec'!$C$43 + 2*l*V*(s*W + 2*V*G12/(1+e)) + 'Drilling Spec'!$C$44)) - 'Drilling Spec'!$C$45)/(2*V)</f>
        <v>#VALUE!</v>
      </c>
      <c r="I12" s="23" t="str">
        <f>IF(AND(OR(I11=0,I11=""),F12=0),IF(F13=0,"",'Drilling Spec'!$C$26),H12)</f>
        <v/>
      </c>
      <c r="J12" s="16" t="e">
        <f>MAX(0,I12-'Drilling Spec'!$C$30)</f>
        <v>#VALUE!</v>
      </c>
      <c r="K12" s="18">
        <f>IFERROR(J12/'Drilling Spec'!$C$31,0)</f>
        <v>0</v>
      </c>
      <c r="L12" s="21">
        <f t="shared" si="4"/>
        <v>0</v>
      </c>
      <c r="M12" s="4">
        <f t="shared" si="14"/>
        <v>0</v>
      </c>
      <c r="N12" s="21">
        <f t="shared" si="5"/>
        <v>0</v>
      </c>
      <c r="O12" s="18">
        <f>(SQRT(4*O11*O11*vB*vB + 'Drilling Spec'!$C$48*O11 + WB*('Drilling Spec'!$C$49 + 2*lB*vB*(sB*WB + 2*vB*N12/(1+eB)) + 'Drilling Spec'!$C$50)) - 'Drilling Spec'!$C$51)/(2*vB)</f>
        <v>0</v>
      </c>
      <c r="P12" s="18">
        <f>IFERROR(((S12-'Drilling Spec'!$C$30)/'Drilling Spec'!$C$31)*'Drilling Spec'!$C$32,0)</f>
        <v>0</v>
      </c>
      <c r="Q12" s="18">
        <f t="shared" si="15"/>
        <v>0</v>
      </c>
      <c r="R12" s="18"/>
      <c r="S12" s="26" t="str">
        <f>IF(AND(OR(T11=0,T11=""),M12=0),IF(M13=0,"",'Drilling Spec'!$C$30),O12)</f>
        <v/>
      </c>
      <c r="U12" s="15">
        <f>E12*'Drilling Spec'!$C$22 + L12*'Drilling Spec'!$C$23</f>
        <v>0</v>
      </c>
      <c r="V12" s="15">
        <f t="shared" si="16"/>
        <v>0</v>
      </c>
      <c r="W12" s="15">
        <f t="shared" si="6"/>
        <v>0</v>
      </c>
      <c r="X12" s="10"/>
      <c r="Y12" s="30">
        <f>IF(W12&lt;U13,'Drilling Spec'!$C$35,0)</f>
        <v>0</v>
      </c>
      <c r="AA12" s="4">
        <f t="shared" si="19"/>
        <v>4</v>
      </c>
      <c r="AB12" s="10"/>
      <c r="AC12" s="30">
        <f>IF('04-07-25-Scen3-Good,24-16hr'!K13&gt;'04-07-25-Scen3-Good,24-16hr'!AA12,'Drilling Spec'!$C$36,)</f>
        <v>0</v>
      </c>
      <c r="AE12" s="18" t="e">
        <f>(I12-'Drilling Spec'!$C$26)/'Drilling Spec'!$C$38</f>
        <v>#VALUE!</v>
      </c>
      <c r="AF12" s="18">
        <f t="shared" si="7"/>
        <v>0</v>
      </c>
      <c r="AG12" s="34">
        <f t="shared" si="8"/>
        <v>0</v>
      </c>
      <c r="AH12" s="10"/>
      <c r="AI12" s="26">
        <f>IF(C12="Camp Closed",AG12,IF(AG12&lt;'Drilling Spec'!$C$39,,'Drilling Spec'!$C$39))</f>
        <v>0</v>
      </c>
      <c r="AL12" s="16" t="e">
        <f t="shared" si="9"/>
        <v>#N/A</v>
      </c>
      <c r="AM12" s="16" t="e">
        <f t="shared" si="10"/>
        <v>#N/A</v>
      </c>
      <c r="AN12">
        <f>-'Drilling Spec'!$C$29</f>
        <v>-720</v>
      </c>
      <c r="AO12">
        <f>-'Drilling Spec'!$C$27</f>
        <v>-624</v>
      </c>
      <c r="AP12">
        <f>-'Drilling Spec'!$C$28</f>
        <v>-688</v>
      </c>
      <c r="AQ12" t="e">
        <f t="shared" si="11"/>
        <v>#N/A</v>
      </c>
      <c r="AR12" t="e">
        <f>IF(X12=0,NA(),-'Drilling Spec'!$C$29*0.1)</f>
        <v>#N/A</v>
      </c>
      <c r="AS12" t="e">
        <f>IF(Y12=0,NA(),-'Drilling Spec'!$C$29*0.1)</f>
        <v>#N/A</v>
      </c>
      <c r="AT12" t="e">
        <f>IF(AB12=0,NA(),-'Drilling Spec'!$C$29*0.2)</f>
        <v>#N/A</v>
      </c>
      <c r="AU12" t="e">
        <f>IF(AC12=0,NA(),-'Drilling Spec'!$C$29*0.2)</f>
        <v>#N/A</v>
      </c>
      <c r="AV12" t="e">
        <f>IF(AH12=0,NA(),-'Drilling Spec'!$C$29*0.3)</f>
        <v>#N/A</v>
      </c>
      <c r="AW12" t="e">
        <f>IF(AI12=0,NA(),-'Drilling Spec'!$C$29*0.3)</f>
        <v>#N/A</v>
      </c>
      <c r="AX12" s="29">
        <f t="shared" si="12"/>
        <v>0</v>
      </c>
      <c r="AY12" s="29">
        <f t="shared" si="13"/>
        <v>4</v>
      </c>
      <c r="AZ12" s="29">
        <f t="shared" si="17"/>
        <v>0</v>
      </c>
      <c r="BS12" s="35"/>
      <c r="BT12" s="35"/>
      <c r="BU12" s="41" t="s">
        <v>9</v>
      </c>
      <c r="BV12" s="41"/>
      <c r="BW12" s="42" t="s">
        <v>181</v>
      </c>
      <c r="BX12" s="43"/>
      <c r="BY12" s="43"/>
      <c r="BZ12" s="43"/>
      <c r="CA12" s="43"/>
    </row>
    <row r="13" spans="1:79" x14ac:dyDescent="0.35">
      <c r="A13" s="28">
        <f t="shared" si="18"/>
        <v>45983</v>
      </c>
      <c r="B13" t="str">
        <f t="shared" si="0"/>
        <v>Sat</v>
      </c>
      <c r="C13" s="10" t="s">
        <v>4</v>
      </c>
      <c r="D13" s="10">
        <v>12</v>
      </c>
      <c r="E13" s="4">
        <f t="shared" si="1"/>
        <v>0</v>
      </c>
      <c r="F13" s="4">
        <f t="shared" si="2"/>
        <v>0</v>
      </c>
      <c r="G13" s="4">
        <f t="shared" si="3"/>
        <v>0</v>
      </c>
      <c r="H13" s="15" t="e">
        <f>(SQRT(4*I12*I12*V*V + 'Drilling Spec'!$C$42*I12 + W*('Drilling Spec'!$C$43 + 2*l*V*(s*W + 2*V*G13/(1+e)) + 'Drilling Spec'!$C$44)) - 'Drilling Spec'!$C$45)/(2*V)</f>
        <v>#VALUE!</v>
      </c>
      <c r="I13" s="23" t="str">
        <f>IF(AND(OR(I12=0,I12=""),F13=0),IF(F14=0,"",'Drilling Spec'!$C$26),H13)</f>
        <v/>
      </c>
      <c r="J13" s="16" t="e">
        <f>MAX(0,I13-'Drilling Spec'!$C$30)</f>
        <v>#VALUE!</v>
      </c>
      <c r="K13" s="18">
        <f>IFERROR(J13/'Drilling Spec'!$C$31,0)</f>
        <v>0</v>
      </c>
      <c r="L13" s="21">
        <f t="shared" si="4"/>
        <v>0</v>
      </c>
      <c r="M13" s="4">
        <f t="shared" si="14"/>
        <v>0</v>
      </c>
      <c r="N13" s="21">
        <f t="shared" si="5"/>
        <v>0</v>
      </c>
      <c r="O13" s="18">
        <f>(SQRT(4*O12*O12*vB*vB + 'Drilling Spec'!$C$48*O12 + WB*('Drilling Spec'!$C$49 + 2*lB*vB*(sB*WB + 2*vB*N13/(1+eB)) + 'Drilling Spec'!$C$50)) - 'Drilling Spec'!$C$51)/(2*vB)</f>
        <v>0</v>
      </c>
      <c r="P13" s="18">
        <f>IFERROR(((S13-'Drilling Spec'!$C$30)/'Drilling Spec'!$C$31)*'Drilling Spec'!$C$32,0)</f>
        <v>0</v>
      </c>
      <c r="Q13" s="18">
        <f t="shared" si="15"/>
        <v>0</v>
      </c>
      <c r="R13" s="18"/>
      <c r="S13" s="26" t="str">
        <f>IF(AND(OR(T12=0,T12=""),M13=0),IF(M14=0,"",'Drilling Spec'!$C$30),O13)</f>
        <v/>
      </c>
      <c r="U13" s="15">
        <f>E13*'Drilling Spec'!$C$22 + L13*'Drilling Spec'!$C$23</f>
        <v>0</v>
      </c>
      <c r="V13" s="15">
        <f t="shared" si="16"/>
        <v>0</v>
      </c>
      <c r="W13" s="15">
        <f t="shared" si="6"/>
        <v>0</v>
      </c>
      <c r="X13" s="10"/>
      <c r="Y13" s="30">
        <f>IF(W13&lt;U14,'Drilling Spec'!$C$35,0)</f>
        <v>0</v>
      </c>
      <c r="AA13" s="4">
        <f t="shared" si="19"/>
        <v>4</v>
      </c>
      <c r="AB13" s="10"/>
      <c r="AC13" s="30">
        <f>IF('04-07-25-Scen3-Good,24-16hr'!K14&gt;'04-07-25-Scen3-Good,24-16hr'!AA13,'Drilling Spec'!$C$36,)</f>
        <v>0</v>
      </c>
      <c r="AE13" s="18" t="e">
        <f>(I13-'Drilling Spec'!$C$26)/'Drilling Spec'!$C$38</f>
        <v>#VALUE!</v>
      </c>
      <c r="AF13" s="18">
        <f t="shared" si="7"/>
        <v>0</v>
      </c>
      <c r="AG13" s="34">
        <f t="shared" si="8"/>
        <v>0</v>
      </c>
      <c r="AH13" s="10"/>
      <c r="AI13" s="26">
        <f>IF(C13="Camp Closed",AG13,IF(AG13&lt;'Drilling Spec'!$C$39,,'Drilling Spec'!$C$39))</f>
        <v>0</v>
      </c>
      <c r="AL13" s="16" t="e">
        <f t="shared" si="9"/>
        <v>#N/A</v>
      </c>
      <c r="AM13" s="16" t="e">
        <f t="shared" si="10"/>
        <v>#N/A</v>
      </c>
      <c r="AN13">
        <f>-'Drilling Spec'!$C$29</f>
        <v>-720</v>
      </c>
      <c r="AO13">
        <f>-'Drilling Spec'!$C$27</f>
        <v>-624</v>
      </c>
      <c r="AP13">
        <f>-'Drilling Spec'!$C$28</f>
        <v>-688</v>
      </c>
      <c r="AQ13" t="e">
        <f t="shared" si="11"/>
        <v>#N/A</v>
      </c>
      <c r="AR13" t="e">
        <f>IF(X13=0,NA(),-'Drilling Spec'!$C$29*0.1)</f>
        <v>#N/A</v>
      </c>
      <c r="AS13" t="e">
        <f>IF(Y13=0,NA(),-'Drilling Spec'!$C$29*0.1)</f>
        <v>#N/A</v>
      </c>
      <c r="AT13" t="e">
        <f>IF(AB13=0,NA(),-'Drilling Spec'!$C$29*0.2)</f>
        <v>#N/A</v>
      </c>
      <c r="AU13" t="e">
        <f>IF(AC13=0,NA(),-'Drilling Spec'!$C$29*0.2)</f>
        <v>#N/A</v>
      </c>
      <c r="AV13" t="e">
        <f>IF(AH13=0,NA(),-'Drilling Spec'!$C$29*0.3)</f>
        <v>#N/A</v>
      </c>
      <c r="AW13" t="e">
        <f>IF(AI13=0,NA(),-'Drilling Spec'!$C$29*0.3)</f>
        <v>#N/A</v>
      </c>
      <c r="AX13" s="29">
        <f t="shared" si="12"/>
        <v>0</v>
      </c>
      <c r="AY13" s="29">
        <f t="shared" si="13"/>
        <v>4</v>
      </c>
      <c r="AZ13" s="29">
        <f t="shared" si="17"/>
        <v>0</v>
      </c>
      <c r="BS13" s="35"/>
      <c r="BT13" s="35"/>
      <c r="BU13" s="41" t="s">
        <v>10</v>
      </c>
      <c r="BV13" s="41"/>
      <c r="BW13" s="42" t="s">
        <v>180</v>
      </c>
      <c r="BX13" s="43"/>
      <c r="BY13" s="43"/>
      <c r="BZ13" s="43"/>
      <c r="CA13" s="43"/>
    </row>
    <row r="14" spans="1:79" x14ac:dyDescent="0.35">
      <c r="A14" s="28">
        <f t="shared" si="18"/>
        <v>45984</v>
      </c>
      <c r="B14" t="str">
        <f t="shared" si="0"/>
        <v>Sun</v>
      </c>
      <c r="C14" s="10" t="s">
        <v>7</v>
      </c>
      <c r="D14" s="10">
        <v>0</v>
      </c>
      <c r="E14" s="4">
        <f t="shared" si="1"/>
        <v>0</v>
      </c>
      <c r="F14" s="4">
        <f t="shared" si="2"/>
        <v>0</v>
      </c>
      <c r="G14" s="4">
        <f t="shared" si="3"/>
        <v>0</v>
      </c>
      <c r="H14" s="15" t="e">
        <f>(SQRT(4*I13*I13*V*V + 'Drilling Spec'!$C$42*I13 + W*('Drilling Spec'!$C$43 + 2*l*V*(s*W + 2*V*G14/(1+e)) + 'Drilling Spec'!$C$44)) - 'Drilling Spec'!$C$45)/(2*V)</f>
        <v>#VALUE!</v>
      </c>
      <c r="I14" s="23" t="str">
        <f>IF(AND(OR(I13=0,I13=""),F14=0),IF(F15=0,"",'Drilling Spec'!$C$26),H14)</f>
        <v/>
      </c>
      <c r="J14" s="16" t="e">
        <f>MAX(0,I14-'Drilling Spec'!$C$30)</f>
        <v>#VALUE!</v>
      </c>
      <c r="K14" s="18">
        <f>IFERROR(J14/'Drilling Spec'!$C$31,0)</f>
        <v>0</v>
      </c>
      <c r="L14" s="21">
        <f t="shared" si="4"/>
        <v>0</v>
      </c>
      <c r="M14" s="4">
        <f t="shared" si="14"/>
        <v>0</v>
      </c>
      <c r="N14" s="21">
        <f t="shared" si="5"/>
        <v>0</v>
      </c>
      <c r="O14" s="18">
        <f>(SQRT(4*O13*O13*vB*vB + 'Drilling Spec'!$C$48*O13 + WB*('Drilling Spec'!$C$49 + 2*lB*vB*(sB*WB + 2*vB*N14/(1+eB)) + 'Drilling Spec'!$C$50)) - 'Drilling Spec'!$C$51)/(2*vB)</f>
        <v>0</v>
      </c>
      <c r="P14" s="18">
        <f>IFERROR(((S14-'Drilling Spec'!$C$30)/'Drilling Spec'!$C$31)*'Drilling Spec'!$C$32,0)</f>
        <v>0</v>
      </c>
      <c r="Q14" s="18">
        <f t="shared" si="15"/>
        <v>0</v>
      </c>
      <c r="R14" s="18"/>
      <c r="S14" s="26" t="str">
        <f>IF(AND(OR(T13=0,T13=""),M14=0),IF(M15=0,"",'Drilling Spec'!$C$30),O14)</f>
        <v/>
      </c>
      <c r="U14" s="15">
        <f>E14*'Drilling Spec'!$C$22 + L14*'Drilling Spec'!$C$23</f>
        <v>0</v>
      </c>
      <c r="V14" s="15">
        <f t="shared" si="16"/>
        <v>0</v>
      </c>
      <c r="W14" s="15">
        <f t="shared" si="6"/>
        <v>0</v>
      </c>
      <c r="X14" s="10"/>
      <c r="Y14" s="30">
        <f>IF(W14&lt;U15,'Drilling Spec'!$C$35,0)</f>
        <v>0</v>
      </c>
      <c r="AA14" s="4">
        <f t="shared" si="19"/>
        <v>4</v>
      </c>
      <c r="AB14" s="10"/>
      <c r="AC14" s="30">
        <f>IF('04-07-25-Scen3-Good,24-16hr'!K15&gt;'04-07-25-Scen3-Good,24-16hr'!AA14,'Drilling Spec'!$C$36,)</f>
        <v>0</v>
      </c>
      <c r="AE14" s="18" t="e">
        <f>(I14-'Drilling Spec'!$C$26)/'Drilling Spec'!$C$38</f>
        <v>#VALUE!</v>
      </c>
      <c r="AF14" s="18">
        <f t="shared" si="7"/>
        <v>0</v>
      </c>
      <c r="AG14" s="34">
        <f t="shared" si="8"/>
        <v>0</v>
      </c>
      <c r="AH14" s="10"/>
      <c r="AI14" s="26">
        <f>IF(C14="Camp Closed",AG14,IF(AG14&lt;'Drilling Spec'!$C$39,,'Drilling Spec'!$C$39))</f>
        <v>0</v>
      </c>
      <c r="AL14" s="16" t="e">
        <f t="shared" si="9"/>
        <v>#N/A</v>
      </c>
      <c r="AM14" s="16" t="e">
        <f t="shared" si="10"/>
        <v>#N/A</v>
      </c>
      <c r="AN14">
        <f>-'Drilling Spec'!$C$29</f>
        <v>-720</v>
      </c>
      <c r="AO14">
        <f>-'Drilling Spec'!$C$27</f>
        <v>-624</v>
      </c>
      <c r="AP14">
        <f>-'Drilling Spec'!$C$28</f>
        <v>-688</v>
      </c>
      <c r="AQ14" t="e">
        <f t="shared" si="11"/>
        <v>#N/A</v>
      </c>
      <c r="AR14" t="e">
        <f>IF(X14=0,NA(),-'Drilling Spec'!$C$29*0.1)</f>
        <v>#N/A</v>
      </c>
      <c r="AS14" t="e">
        <f>IF(Y14=0,NA(),-'Drilling Spec'!$C$29*0.1)</f>
        <v>#N/A</v>
      </c>
      <c r="AT14" t="e">
        <f>IF(AB14=0,NA(),-'Drilling Spec'!$C$29*0.2)</f>
        <v>#N/A</v>
      </c>
      <c r="AU14" t="e">
        <f>IF(AC14=0,NA(),-'Drilling Spec'!$C$29*0.2)</f>
        <v>#N/A</v>
      </c>
      <c r="AV14" t="e">
        <f>IF(AH14=0,NA(),-'Drilling Spec'!$C$29*0.3)</f>
        <v>#N/A</v>
      </c>
      <c r="AW14" t="e">
        <f>IF(AI14=0,NA(),-'Drilling Spec'!$C$29*0.3)</f>
        <v>#N/A</v>
      </c>
      <c r="AX14" s="29">
        <f t="shared" si="12"/>
        <v>0</v>
      </c>
      <c r="AY14" s="29">
        <f t="shared" si="13"/>
        <v>4</v>
      </c>
      <c r="AZ14" s="29">
        <f t="shared" si="17"/>
        <v>0</v>
      </c>
      <c r="BS14" s="35"/>
      <c r="BT14" s="35"/>
      <c r="BU14" s="44" t="s">
        <v>71</v>
      </c>
      <c r="BV14" s="44"/>
      <c r="BW14" s="42" t="s">
        <v>179</v>
      </c>
      <c r="BX14" s="43"/>
      <c r="BY14" s="43"/>
      <c r="BZ14" s="43"/>
      <c r="CA14" s="43"/>
    </row>
    <row r="15" spans="1:79" x14ac:dyDescent="0.35">
      <c r="A15" s="28">
        <f t="shared" si="18"/>
        <v>45985</v>
      </c>
      <c r="B15" t="str">
        <f t="shared" si="0"/>
        <v>Mon</v>
      </c>
      <c r="C15" s="10" t="s">
        <v>4</v>
      </c>
      <c r="D15" s="10">
        <v>12</v>
      </c>
      <c r="E15" s="4">
        <f t="shared" si="1"/>
        <v>0</v>
      </c>
      <c r="F15" s="4">
        <f t="shared" si="2"/>
        <v>0</v>
      </c>
      <c r="G15" s="4">
        <f t="shared" si="3"/>
        <v>0</v>
      </c>
      <c r="H15" s="15" t="e">
        <f>(SQRT(4*I14*I14*V*V + 'Drilling Spec'!$C$42*I14 + W*('Drilling Spec'!$C$43 + 2*l*V*(s*W + 2*V*G15/(1+e)) + 'Drilling Spec'!$C$44)) - 'Drilling Spec'!$C$45)/(2*V)</f>
        <v>#VALUE!</v>
      </c>
      <c r="I15" s="23" t="str">
        <f>IF(AND(OR(I14=0,I14=""),F15=0),IF(F16=0,"",'Drilling Spec'!$C$26),H15)</f>
        <v/>
      </c>
      <c r="J15" s="16" t="e">
        <f>MAX(0,I15-'Drilling Spec'!$C$30)</f>
        <v>#VALUE!</v>
      </c>
      <c r="K15" s="18">
        <f>IFERROR(J15/'Drilling Spec'!$C$31,0)</f>
        <v>0</v>
      </c>
      <c r="L15" s="21">
        <f t="shared" si="4"/>
        <v>0</v>
      </c>
      <c r="M15" s="4">
        <f t="shared" si="14"/>
        <v>0</v>
      </c>
      <c r="N15" s="21">
        <f t="shared" si="5"/>
        <v>0</v>
      </c>
      <c r="O15" s="18">
        <f>(SQRT(4*O14*O14*vB*vB + 'Drilling Spec'!$C$48*O14 + WB*('Drilling Spec'!$C$49 + 2*lB*vB*(sB*WB + 2*vB*N15/(1+eB)) + 'Drilling Spec'!$C$50)) - 'Drilling Spec'!$C$51)/(2*vB)</f>
        <v>0</v>
      </c>
      <c r="P15" s="18">
        <f>IFERROR(((S15-'Drilling Spec'!$C$30)/'Drilling Spec'!$C$31)*'Drilling Spec'!$C$32,0)</f>
        <v>0</v>
      </c>
      <c r="Q15" s="18">
        <f t="shared" si="15"/>
        <v>0</v>
      </c>
      <c r="R15" s="18"/>
      <c r="S15" s="26" t="str">
        <f>IF(AND(OR(T14=0,T14=""),M15=0),IF(M16=0,"",'Drilling Spec'!$C$30),O15)</f>
        <v/>
      </c>
      <c r="U15" s="15">
        <f>E15*'Drilling Spec'!$C$22 + L15*'Drilling Spec'!$C$23</f>
        <v>0</v>
      </c>
      <c r="V15" s="15">
        <f t="shared" si="16"/>
        <v>0</v>
      </c>
      <c r="W15" s="15">
        <f t="shared" si="6"/>
        <v>0</v>
      </c>
      <c r="X15" s="10"/>
      <c r="Y15" s="30">
        <f>IF(W15&lt;U16,'Drilling Spec'!$C$35,0)</f>
        <v>0</v>
      </c>
      <c r="AA15" s="4">
        <f t="shared" si="19"/>
        <v>4</v>
      </c>
      <c r="AB15" s="10"/>
      <c r="AC15" s="30">
        <f>IF('04-07-25-Scen3-Good,24-16hr'!K16&gt;'04-07-25-Scen3-Good,24-16hr'!AA15,'Drilling Spec'!$C$36,)</f>
        <v>0</v>
      </c>
      <c r="AE15" s="18" t="e">
        <f>(I15-'Drilling Spec'!$C$26)/'Drilling Spec'!$C$38</f>
        <v>#VALUE!</v>
      </c>
      <c r="AF15" s="18">
        <f t="shared" si="7"/>
        <v>0</v>
      </c>
      <c r="AG15" s="34">
        <f t="shared" si="8"/>
        <v>0</v>
      </c>
      <c r="AH15" s="10"/>
      <c r="AI15" s="26">
        <f>IF(C15="Camp Closed",AG15,IF(AG15&lt;'Drilling Spec'!$C$39,,'Drilling Spec'!$C$39))</f>
        <v>0</v>
      </c>
      <c r="AL15" s="16" t="e">
        <f t="shared" si="9"/>
        <v>#N/A</v>
      </c>
      <c r="AM15" s="16" t="e">
        <f t="shared" si="10"/>
        <v>#N/A</v>
      </c>
      <c r="AN15">
        <f>-'Drilling Spec'!$C$29</f>
        <v>-720</v>
      </c>
      <c r="AO15">
        <f>-'Drilling Spec'!$C$27</f>
        <v>-624</v>
      </c>
      <c r="AP15">
        <f>-'Drilling Spec'!$C$28</f>
        <v>-688</v>
      </c>
      <c r="AQ15" t="e">
        <f t="shared" si="11"/>
        <v>#N/A</v>
      </c>
      <c r="AR15" t="e">
        <f>IF(X15=0,NA(),-'Drilling Spec'!$C$29*0.1)</f>
        <v>#N/A</v>
      </c>
      <c r="AS15" t="e">
        <f>IF(Y15=0,NA(),-'Drilling Spec'!$C$29*0.1)</f>
        <v>#N/A</v>
      </c>
      <c r="AT15" t="e">
        <f>IF(AB15=0,NA(),-'Drilling Spec'!$C$29*0.2)</f>
        <v>#N/A</v>
      </c>
      <c r="AU15" t="e">
        <f>IF(AC15=0,NA(),-'Drilling Spec'!$C$29*0.2)</f>
        <v>#N/A</v>
      </c>
      <c r="AV15" t="e">
        <f>IF(AH15=0,NA(),-'Drilling Spec'!$C$29*0.3)</f>
        <v>#N/A</v>
      </c>
      <c r="AW15" t="e">
        <f>IF(AI15=0,NA(),-'Drilling Spec'!$C$29*0.3)</f>
        <v>#N/A</v>
      </c>
      <c r="AX15" s="29">
        <f t="shared" si="12"/>
        <v>0</v>
      </c>
      <c r="AY15" s="29">
        <f t="shared" si="13"/>
        <v>4</v>
      </c>
      <c r="AZ15" s="29">
        <f t="shared" si="17"/>
        <v>0</v>
      </c>
      <c r="BS15" s="35"/>
      <c r="BT15" s="35"/>
      <c r="BU15" s="39" t="s">
        <v>185</v>
      </c>
      <c r="BV15" s="39"/>
      <c r="BW15" s="39"/>
      <c r="BX15" s="39"/>
      <c r="BY15" s="39"/>
      <c r="BZ15" s="39"/>
      <c r="CA15" s="39"/>
    </row>
    <row r="16" spans="1:79" x14ac:dyDescent="0.35">
      <c r="A16" s="28">
        <f t="shared" si="18"/>
        <v>45986</v>
      </c>
      <c r="B16" t="str">
        <f t="shared" si="0"/>
        <v>Tue</v>
      </c>
      <c r="C16" s="10" t="s">
        <v>4</v>
      </c>
      <c r="D16" s="10">
        <v>12</v>
      </c>
      <c r="E16" s="4">
        <f t="shared" si="1"/>
        <v>0</v>
      </c>
      <c r="F16" s="4">
        <f t="shared" si="2"/>
        <v>0</v>
      </c>
      <c r="G16" s="4">
        <f t="shared" si="3"/>
        <v>0</v>
      </c>
      <c r="H16" s="15" t="e">
        <f>(SQRT(4*I15*I15*V*V + 'Drilling Spec'!$C$42*I15 + W*('Drilling Spec'!$C$43 + 2*l*V*(s*W + 2*V*G16/(1+e)) + 'Drilling Spec'!$C$44)) - 'Drilling Spec'!$C$45)/(2*V)</f>
        <v>#VALUE!</v>
      </c>
      <c r="I16" s="23">
        <f>IF(AND(OR(I15=0,I15=""),F16=0),IF(F17=0,"",'Drilling Spec'!$C$26),H16)</f>
        <v>70</v>
      </c>
      <c r="J16" s="16">
        <f>MAX(0,I16-'Drilling Spec'!$C$30)</f>
        <v>0</v>
      </c>
      <c r="K16" s="18">
        <f>IFERROR(J16/'Drilling Spec'!$C$31,0)</f>
        <v>0</v>
      </c>
      <c r="L16" s="21">
        <f t="shared" si="4"/>
        <v>0</v>
      </c>
      <c r="M16" s="4">
        <f t="shared" si="14"/>
        <v>0</v>
      </c>
      <c r="N16" s="21">
        <f t="shared" si="5"/>
        <v>0</v>
      </c>
      <c r="O16" s="18">
        <f>(SQRT(4*O15*O15*vB*vB + 'Drilling Spec'!$C$48*O15 + WB*('Drilling Spec'!$C$49 + 2*lB*vB*(sB*WB + 2*vB*N16/(1+eB)) + 'Drilling Spec'!$C$50)) - 'Drilling Spec'!$C$51)/(2*vB)</f>
        <v>0</v>
      </c>
      <c r="P16" s="18">
        <f>IFERROR(((S16-'Drilling Spec'!$C$30)/'Drilling Spec'!$C$31)*'Drilling Spec'!$C$32,0)</f>
        <v>0</v>
      </c>
      <c r="Q16" s="18">
        <f t="shared" si="15"/>
        <v>0</v>
      </c>
      <c r="R16" s="18"/>
      <c r="S16" s="26" t="str">
        <f>IF(AND(OR(T15=0,T15=""),M16=0),IF(M17=0,"",'Drilling Spec'!$C$30),O16)</f>
        <v/>
      </c>
      <c r="U16" s="15">
        <f>E16*'Drilling Spec'!$C$22 + L16*'Drilling Spec'!$C$23</f>
        <v>0</v>
      </c>
      <c r="V16" s="15">
        <f t="shared" si="16"/>
        <v>0</v>
      </c>
      <c r="W16" s="15">
        <f t="shared" si="6"/>
        <v>0</v>
      </c>
      <c r="X16" s="10"/>
      <c r="Y16" s="30">
        <f>IF(W16&lt;U17,'Drilling Spec'!$C$35,0)</f>
        <v>6</v>
      </c>
      <c r="AA16" s="4">
        <f t="shared" si="19"/>
        <v>4</v>
      </c>
      <c r="AB16" s="10"/>
      <c r="AC16" s="30">
        <f>IF('04-07-25-Scen3-Good,24-16hr'!K17&gt;'04-07-25-Scen3-Good,24-16hr'!AA16,'Drilling Spec'!$C$36,)</f>
        <v>0</v>
      </c>
      <c r="AE16" s="18">
        <f>(I16-'Drilling Spec'!$C$26)/'Drilling Spec'!$C$38</f>
        <v>0</v>
      </c>
      <c r="AF16" s="18">
        <f t="shared" si="7"/>
        <v>0</v>
      </c>
      <c r="AG16" s="34">
        <f t="shared" si="8"/>
        <v>0</v>
      </c>
      <c r="AH16" s="10"/>
      <c r="AI16" s="26">
        <f>IF(C16="Camp Closed",AG16,IF(AG16&lt;'Drilling Spec'!$C$39,,'Drilling Spec'!$C$39))</f>
        <v>0</v>
      </c>
      <c r="AL16" s="16">
        <f t="shared" si="9"/>
        <v>-70</v>
      </c>
      <c r="AM16" s="16" t="e">
        <f t="shared" si="10"/>
        <v>#N/A</v>
      </c>
      <c r="AN16">
        <f>-'Drilling Spec'!$C$29</f>
        <v>-720</v>
      </c>
      <c r="AO16">
        <f>-'Drilling Spec'!$C$27</f>
        <v>-624</v>
      </c>
      <c r="AP16">
        <f>-'Drilling Spec'!$C$28</f>
        <v>-688</v>
      </c>
      <c r="AQ16" t="e">
        <f t="shared" si="11"/>
        <v>#N/A</v>
      </c>
      <c r="AR16" t="e">
        <f>IF(X16=0,NA(),-'Drilling Spec'!$C$29*0.1)</f>
        <v>#N/A</v>
      </c>
      <c r="AS16">
        <f>IF(Y16=0,NA(),-'Drilling Spec'!$C$29*0.1)</f>
        <v>-72</v>
      </c>
      <c r="AT16" t="e">
        <f>IF(AB16=0,NA(),-'Drilling Spec'!$C$29*0.2)</f>
        <v>#N/A</v>
      </c>
      <c r="AU16" t="e">
        <f>IF(AC16=0,NA(),-'Drilling Spec'!$C$29*0.2)</f>
        <v>#N/A</v>
      </c>
      <c r="AV16" t="e">
        <f>IF(AH16=0,NA(),-'Drilling Spec'!$C$29*0.3)</f>
        <v>#N/A</v>
      </c>
      <c r="AW16" t="e">
        <f>IF(AI16=0,NA(),-'Drilling Spec'!$C$29*0.3)</f>
        <v>#N/A</v>
      </c>
      <c r="AX16" s="29">
        <f t="shared" si="12"/>
        <v>0</v>
      </c>
      <c r="AY16" s="29">
        <f t="shared" si="13"/>
        <v>4</v>
      </c>
      <c r="AZ16" s="29">
        <f t="shared" si="17"/>
        <v>0</v>
      </c>
      <c r="BS16" s="35"/>
      <c r="BT16" s="35"/>
      <c r="BU16" s="39"/>
      <c r="BV16" s="39"/>
      <c r="BW16" s="39"/>
      <c r="BX16" s="39"/>
      <c r="BY16" s="39"/>
      <c r="BZ16" s="39"/>
      <c r="CA16" s="39"/>
    </row>
    <row r="17" spans="1:79" x14ac:dyDescent="0.35">
      <c r="A17" s="28">
        <f t="shared" si="18"/>
        <v>45987</v>
      </c>
      <c r="B17" t="str">
        <f t="shared" si="0"/>
        <v>Wed</v>
      </c>
      <c r="C17" s="10" t="s">
        <v>9</v>
      </c>
      <c r="D17" s="10">
        <v>8</v>
      </c>
      <c r="E17" s="4">
        <f t="shared" si="1"/>
        <v>8</v>
      </c>
      <c r="F17" s="4">
        <f t="shared" si="2"/>
        <v>8</v>
      </c>
      <c r="G17" s="4">
        <f t="shared" si="3"/>
        <v>480</v>
      </c>
      <c r="H17" s="15">
        <f>(SQRT(4*I16*I16*V*V + 'Drilling Spec'!$C$42*I16 + W*('Drilling Spec'!$C$43 + 2*l*V*(s*W + 2*V*G17/(1+e)) + 'Drilling Spec'!$C$44)) - 'Drilling Spec'!$C$45)/(2*V)</f>
        <v>79.833321918590045</v>
      </c>
      <c r="I17" s="23">
        <f>IF(AND(OR(I16=0,I16=""),F17=0),IF(F18=0,"",'Drilling Spec'!$C$26),H17)</f>
        <v>79.833321918590045</v>
      </c>
      <c r="J17" s="16">
        <f>MAX(0,I17-'Drilling Spec'!$C$30)</f>
        <v>0</v>
      </c>
      <c r="K17" s="18">
        <f>IFERROR(J17/'Drilling Spec'!$C$31,0)</f>
        <v>0</v>
      </c>
      <c r="L17" s="21">
        <f t="shared" si="4"/>
        <v>0</v>
      </c>
      <c r="M17" s="4">
        <f t="shared" si="14"/>
        <v>0</v>
      </c>
      <c r="N17" s="21">
        <f t="shared" si="5"/>
        <v>0</v>
      </c>
      <c r="O17" s="18">
        <f>(SQRT(4*O16*O16*vB*vB + 'Drilling Spec'!$C$48*O16 + WB*('Drilling Spec'!$C$49 + 2*lB*vB*(sB*WB + 2*vB*N17/(1+eB)) + 'Drilling Spec'!$C$50)) - 'Drilling Spec'!$C$51)/(2*vB)</f>
        <v>0</v>
      </c>
      <c r="P17" s="18">
        <f>IFERROR(((S17-'Drilling Spec'!$C$30)/'Drilling Spec'!$C$31)*'Drilling Spec'!$C$32,0)</f>
        <v>0</v>
      </c>
      <c r="Q17" s="18">
        <f t="shared" si="15"/>
        <v>0</v>
      </c>
      <c r="R17" s="18"/>
      <c r="S17" s="26" t="str">
        <f>IF(AND(OR(T16=0,T16=""),M17=0),IF(M18=0,"",'Drilling Spec'!$C$30),O17)</f>
        <v/>
      </c>
      <c r="U17" s="15">
        <f>E17*'Drilling Spec'!$C$22 + L17*'Drilling Spec'!$C$23</f>
        <v>0.16032520325203253</v>
      </c>
      <c r="V17" s="15">
        <f t="shared" si="16"/>
        <v>0.16032520325203253</v>
      </c>
      <c r="W17" s="15">
        <f>W16-U17+X16+Y16</f>
        <v>5.8396747967479676</v>
      </c>
      <c r="X17" s="10"/>
      <c r="Y17" s="30">
        <f>IF(W17&lt;U18,'Drilling Spec'!$C$35,0)</f>
        <v>0</v>
      </c>
      <c r="AA17" s="4">
        <f t="shared" si="19"/>
        <v>4</v>
      </c>
      <c r="AB17" s="10"/>
      <c r="AC17" s="30">
        <f>IF('04-07-25-Scen3-Good,24-16hr'!K18&gt;'04-07-25-Scen3-Good,24-16hr'!AA17,'Drilling Spec'!$C$36,)</f>
        <v>0</v>
      </c>
      <c r="AE17" s="18">
        <f>(I17-'Drilling Spec'!$C$26)/'Drilling Spec'!$C$38</f>
        <v>1.6388869864316742</v>
      </c>
      <c r="AF17" s="18">
        <f t="shared" si="7"/>
        <v>1.6388869864316742</v>
      </c>
      <c r="AG17" s="34">
        <f t="shared" si="8"/>
        <v>1.6388869864316742</v>
      </c>
      <c r="AH17" s="10"/>
      <c r="AI17" s="26">
        <f>IF(C17="Camp Closed",AG17,IF(AG17&lt;'Drilling Spec'!$C$39,,'Drilling Spec'!$C$39))</f>
        <v>0</v>
      </c>
      <c r="AL17" s="16">
        <f t="shared" si="9"/>
        <v>-79.833321918590045</v>
      </c>
      <c r="AM17" s="16" t="e">
        <f t="shared" si="10"/>
        <v>#N/A</v>
      </c>
      <c r="AN17">
        <f>-'Drilling Spec'!$C$29</f>
        <v>-720</v>
      </c>
      <c r="AO17">
        <f>-'Drilling Spec'!$C$27</f>
        <v>-624</v>
      </c>
      <c r="AP17">
        <f>-'Drilling Spec'!$C$28</f>
        <v>-688</v>
      </c>
      <c r="AQ17" t="e">
        <f t="shared" si="11"/>
        <v>#N/A</v>
      </c>
      <c r="AR17" t="e">
        <f>IF(X17=0,NA(),-'Drilling Spec'!$C$29*0.1)</f>
        <v>#N/A</v>
      </c>
      <c r="AS17" t="e">
        <f>IF(Y17=0,NA(),-'Drilling Spec'!$C$29*0.1)</f>
        <v>#N/A</v>
      </c>
      <c r="AT17" t="e">
        <f>IF(AB17=0,NA(),-'Drilling Spec'!$C$29*0.2)</f>
        <v>#N/A</v>
      </c>
      <c r="AU17" t="e">
        <f>IF(AC17=0,NA(),-'Drilling Spec'!$C$29*0.2)</f>
        <v>#N/A</v>
      </c>
      <c r="AV17" t="e">
        <f>IF(AH17=0,NA(),-'Drilling Spec'!$C$29*0.3)</f>
        <v>#N/A</v>
      </c>
      <c r="AW17" t="e">
        <f>IF(AI17=0,NA(),-'Drilling Spec'!$C$29*0.3)</f>
        <v>#N/A</v>
      </c>
      <c r="AX17" s="29">
        <f t="shared" si="12"/>
        <v>5.8396747967479676</v>
      </c>
      <c r="AY17" s="29">
        <f t="shared" si="13"/>
        <v>4</v>
      </c>
      <c r="AZ17" s="29">
        <f t="shared" si="17"/>
        <v>1.6388869864316742</v>
      </c>
      <c r="BS17" s="35"/>
      <c r="BU17" s="38" t="s">
        <v>186</v>
      </c>
      <c r="BV17" s="38"/>
      <c r="BW17" s="38"/>
      <c r="BX17" s="38"/>
      <c r="BY17" s="38"/>
      <c r="BZ17" s="38"/>
      <c r="CA17" s="38"/>
    </row>
    <row r="18" spans="1:79" x14ac:dyDescent="0.35">
      <c r="A18" s="28">
        <f t="shared" si="18"/>
        <v>45988</v>
      </c>
      <c r="B18" t="str">
        <f t="shared" si="0"/>
        <v>Thu</v>
      </c>
      <c r="C18" s="10" t="s">
        <v>9</v>
      </c>
      <c r="D18" s="10">
        <v>8</v>
      </c>
      <c r="E18" s="4">
        <f t="shared" si="1"/>
        <v>8</v>
      </c>
      <c r="F18" s="4">
        <f t="shared" si="2"/>
        <v>16</v>
      </c>
      <c r="G18" s="4">
        <f t="shared" si="3"/>
        <v>480</v>
      </c>
      <c r="H18" s="15">
        <f>(SQRT(4*I17*I17*V*V + 'Drilling Spec'!$C$42*I17 + W*('Drilling Spec'!$C$43 + 2*l*V*(s*W + 2*V*G18/(1+e)) + 'Drilling Spec'!$C$44)) - 'Drilling Spec'!$C$45)/(2*V)</f>
        <v>89.510213628273647</v>
      </c>
      <c r="I18" s="23">
        <f>IF(AND(OR(I17=0,I17=""),F18=0),IF(F19=0,"",'Drilling Spec'!$C$26),H18)</f>
        <v>89.510213628273647</v>
      </c>
      <c r="J18" s="16">
        <f>MAX(0,I18-'Drilling Spec'!$C$30)</f>
        <v>9.5102136282736467</v>
      </c>
      <c r="K18" s="18">
        <f>IFERROR(J18/'Drilling Spec'!$C$31,0)</f>
        <v>0.63401424188490973</v>
      </c>
      <c r="L18" s="21">
        <f t="shared" si="4"/>
        <v>0</v>
      </c>
      <c r="M18" s="4">
        <f t="shared" si="14"/>
        <v>0</v>
      </c>
      <c r="N18" s="21">
        <f t="shared" si="5"/>
        <v>0</v>
      </c>
      <c r="O18" s="18">
        <f>(SQRT(4*O17*O17*vB*vB + 'Drilling Spec'!$C$48*O17 + WB*('Drilling Spec'!$C$49 + 2*lB*vB*(sB*WB + 2*vB*N18/(1+eB)) + 'Drilling Spec'!$C$50)) - 'Drilling Spec'!$C$51)/(2*vB)</f>
        <v>0</v>
      </c>
      <c r="P18" s="18">
        <f>IFERROR(((S18-'Drilling Spec'!$C$30)/'Drilling Spec'!$C$31)*'Drilling Spec'!$C$32,0)</f>
        <v>0</v>
      </c>
      <c r="Q18" s="18">
        <f t="shared" si="15"/>
        <v>0</v>
      </c>
      <c r="R18" s="18"/>
      <c r="S18" s="26" t="str">
        <f>IF(AND(OR(T17=0,T17=""),M18=0),IF(M19=0,"",'Drilling Spec'!$C$30),O18)</f>
        <v/>
      </c>
      <c r="U18" s="15">
        <f>E18*'Drilling Spec'!$C$22 + L18*'Drilling Spec'!$C$23</f>
        <v>0.16032520325203253</v>
      </c>
      <c r="V18" s="15">
        <f t="shared" si="16"/>
        <v>0.32065040650406507</v>
      </c>
      <c r="W18" s="15">
        <f t="shared" si="6"/>
        <v>5.6793495934959353</v>
      </c>
      <c r="X18" s="10"/>
      <c r="Y18" s="30">
        <f>IF(W18&lt;U19,'Drilling Spec'!$C$35,0)</f>
        <v>0</v>
      </c>
      <c r="AA18" s="4">
        <f t="shared" si="19"/>
        <v>4</v>
      </c>
      <c r="AB18" s="10"/>
      <c r="AC18" s="30">
        <f>IF('04-07-25-Scen3-Good,24-16hr'!K19&gt;'04-07-25-Scen3-Good,24-16hr'!AA18,'Drilling Spec'!$C$36,)</f>
        <v>0</v>
      </c>
      <c r="AE18" s="18">
        <f>(I18-'Drilling Spec'!$C$26)/'Drilling Spec'!$C$38</f>
        <v>3.251702271378941</v>
      </c>
      <c r="AF18" s="18">
        <f t="shared" si="7"/>
        <v>1.6128152849472668</v>
      </c>
      <c r="AG18" s="34">
        <f t="shared" si="8"/>
        <v>3.251702271378941</v>
      </c>
      <c r="AH18" s="10"/>
      <c r="AI18" s="26">
        <f>IF(C18="Camp Closed",AG18,IF(AG18&lt;'Drilling Spec'!$C$39,,'Drilling Spec'!$C$39))</f>
        <v>0</v>
      </c>
      <c r="AL18" s="16">
        <f t="shared" si="9"/>
        <v>-89.510213628273647</v>
      </c>
      <c r="AM18" s="16" t="e">
        <f t="shared" si="10"/>
        <v>#N/A</v>
      </c>
      <c r="AN18">
        <f>-'Drilling Spec'!$C$29</f>
        <v>-720</v>
      </c>
      <c r="AO18">
        <f>-'Drilling Spec'!$C$27</f>
        <v>-624</v>
      </c>
      <c r="AP18">
        <f>-'Drilling Spec'!$C$28</f>
        <v>-688</v>
      </c>
      <c r="AQ18" t="e">
        <f t="shared" si="11"/>
        <v>#N/A</v>
      </c>
      <c r="AR18" t="e">
        <f>IF(X18=0,NA(),-'Drilling Spec'!$C$29*0.1)</f>
        <v>#N/A</v>
      </c>
      <c r="AS18" t="e">
        <f>IF(Y18=0,NA(),-'Drilling Spec'!$C$29*0.1)</f>
        <v>#N/A</v>
      </c>
      <c r="AT18" t="e">
        <f>IF(AB18=0,NA(),-'Drilling Spec'!$C$29*0.2)</f>
        <v>#N/A</v>
      </c>
      <c r="AU18" t="e">
        <f>IF(AC18=0,NA(),-'Drilling Spec'!$C$29*0.2)</f>
        <v>#N/A</v>
      </c>
      <c r="AV18" t="e">
        <f>IF(AH18=0,NA(),-'Drilling Spec'!$C$29*0.3)</f>
        <v>#N/A</v>
      </c>
      <c r="AW18" t="e">
        <f>IF(AI18=0,NA(),-'Drilling Spec'!$C$29*0.3)</f>
        <v>#N/A</v>
      </c>
      <c r="AX18" s="29">
        <f t="shared" si="12"/>
        <v>5.6793495934959353</v>
      </c>
      <c r="AY18" s="29">
        <f t="shared" si="13"/>
        <v>3.36598575811509</v>
      </c>
      <c r="AZ18" s="29">
        <f t="shared" si="17"/>
        <v>3.251702271378941</v>
      </c>
      <c r="BS18" s="35"/>
      <c r="BU18" s="38"/>
      <c r="BV18" s="38"/>
      <c r="BW18" s="38"/>
      <c r="BX18" s="38"/>
      <c r="BY18" s="38"/>
      <c r="BZ18" s="38"/>
      <c r="CA18" s="38"/>
    </row>
    <row r="19" spans="1:79" x14ac:dyDescent="0.35">
      <c r="A19" s="28">
        <f t="shared" si="18"/>
        <v>45989</v>
      </c>
      <c r="B19" t="str">
        <f t="shared" si="0"/>
        <v>Fri</v>
      </c>
      <c r="C19" s="10" t="s">
        <v>9</v>
      </c>
      <c r="D19" s="10">
        <v>8</v>
      </c>
      <c r="E19" s="4">
        <f t="shared" si="1"/>
        <v>8</v>
      </c>
      <c r="F19" s="4">
        <f t="shared" si="2"/>
        <v>24</v>
      </c>
      <c r="G19" s="4">
        <f t="shared" si="3"/>
        <v>480</v>
      </c>
      <c r="H19" s="15">
        <f>(SQRT(4*I18*I18*V*V + 'Drilling Spec'!$C$42*I18 + W*('Drilling Spec'!$C$43 + 2*l*V*(s*W + 2*V*G19/(1+e)) + 'Drilling Spec'!$C$44)) - 'Drilling Spec'!$C$45)/(2*V)</f>
        <v>99.037911344051594</v>
      </c>
      <c r="I19" s="23">
        <f>IF(AND(OR(I18=0,I18=""),F19=0),IF(F20=0,"",'Drilling Spec'!$C$26),H19)</f>
        <v>99.037911344051594</v>
      </c>
      <c r="J19" s="16">
        <f>MAX(0,I19-'Drilling Spec'!$C$30)</f>
        <v>19.037911344051594</v>
      </c>
      <c r="K19" s="18">
        <f>IFERROR(J19/'Drilling Spec'!$C$31,0)</f>
        <v>1.2691940896034395</v>
      </c>
      <c r="L19" s="21">
        <f t="shared" si="4"/>
        <v>0</v>
      </c>
      <c r="M19" s="4">
        <f t="shared" si="14"/>
        <v>0</v>
      </c>
      <c r="N19" s="21">
        <f t="shared" si="5"/>
        <v>0</v>
      </c>
      <c r="O19" s="18">
        <f>(SQRT(4*O18*O18*vB*vB + 'Drilling Spec'!$C$48*O18 + WB*('Drilling Spec'!$C$49 + 2*lB*vB*(sB*WB + 2*vB*N19/(1+eB)) + 'Drilling Spec'!$C$50)) - 'Drilling Spec'!$C$51)/(2*vB)</f>
        <v>0</v>
      </c>
      <c r="P19" s="18">
        <f>IFERROR(((S19-'Drilling Spec'!$C$30)/'Drilling Spec'!$C$31)*'Drilling Spec'!$C$32,0)</f>
        <v>0</v>
      </c>
      <c r="Q19" s="18">
        <f t="shared" si="15"/>
        <v>0</v>
      </c>
      <c r="R19" s="18"/>
      <c r="S19" s="26" t="str">
        <f>IF(AND(OR(T18=0,T18=""),M19=0),IF(M20=0,"",'Drilling Spec'!$C$30),O19)</f>
        <v/>
      </c>
      <c r="U19" s="15">
        <f>E19*'Drilling Spec'!$C$22 + L19*'Drilling Spec'!$C$23</f>
        <v>0.16032520325203253</v>
      </c>
      <c r="V19" s="15">
        <f t="shared" si="16"/>
        <v>0.4809756097560976</v>
      </c>
      <c r="W19" s="15">
        <f t="shared" si="6"/>
        <v>5.5190243902439029</v>
      </c>
      <c r="X19" s="10"/>
      <c r="Y19" s="30">
        <f>IF(W19&lt;U20,'Drilling Spec'!$C$35,0)</f>
        <v>0</v>
      </c>
      <c r="AA19" s="4">
        <f t="shared" si="19"/>
        <v>4</v>
      </c>
      <c r="AB19" s="10"/>
      <c r="AC19" s="30">
        <f>IF('04-07-25-Scen3-Good,24-16hr'!K20&gt;'04-07-25-Scen3-Good,24-16hr'!AA19,'Drilling Spec'!$C$36,)</f>
        <v>0</v>
      </c>
      <c r="AE19" s="18">
        <f>(I19-'Drilling Spec'!$C$26)/'Drilling Spec'!$C$38</f>
        <v>4.8396518906752659</v>
      </c>
      <c r="AF19" s="18">
        <f t="shared" si="7"/>
        <v>1.5879496192963249</v>
      </c>
      <c r="AG19" s="34">
        <f t="shared" si="8"/>
        <v>4.8396518906752659</v>
      </c>
      <c r="AH19" s="10"/>
      <c r="AI19" s="26">
        <f>IF(C19="Camp Closed",AG19,IF(AG19&lt;'Drilling Spec'!$C$39,,'Drilling Spec'!$C$39))</f>
        <v>0</v>
      </c>
      <c r="AL19" s="16">
        <f t="shared" si="9"/>
        <v>-99.037911344051594</v>
      </c>
      <c r="AM19" s="16" t="e">
        <f t="shared" si="10"/>
        <v>#N/A</v>
      </c>
      <c r="AN19">
        <f>-'Drilling Spec'!$C$29</f>
        <v>-720</v>
      </c>
      <c r="AO19">
        <f>-'Drilling Spec'!$C$27</f>
        <v>-624</v>
      </c>
      <c r="AP19">
        <f>-'Drilling Spec'!$C$28</f>
        <v>-688</v>
      </c>
      <c r="AQ19" t="e">
        <f t="shared" si="11"/>
        <v>#N/A</v>
      </c>
      <c r="AR19" t="e">
        <f>IF(X19=0,NA(),-'Drilling Spec'!$C$29*0.1)</f>
        <v>#N/A</v>
      </c>
      <c r="AS19" t="e">
        <f>IF(Y19=0,NA(),-'Drilling Spec'!$C$29*0.1)</f>
        <v>#N/A</v>
      </c>
      <c r="AT19" t="e">
        <f>IF(AB19=0,NA(),-'Drilling Spec'!$C$29*0.2)</f>
        <v>#N/A</v>
      </c>
      <c r="AU19" t="e">
        <f>IF(AC19=0,NA(),-'Drilling Spec'!$C$29*0.2)</f>
        <v>#N/A</v>
      </c>
      <c r="AV19" t="e">
        <f>IF(AH19=0,NA(),-'Drilling Spec'!$C$29*0.3)</f>
        <v>#N/A</v>
      </c>
      <c r="AW19" t="e">
        <f>IF(AI19=0,NA(),-'Drilling Spec'!$C$29*0.3)</f>
        <v>#N/A</v>
      </c>
      <c r="AX19" s="29">
        <f t="shared" si="12"/>
        <v>5.5190243902439029</v>
      </c>
      <c r="AY19" s="29">
        <f t="shared" si="13"/>
        <v>2.7308059103965605</v>
      </c>
      <c r="AZ19" s="29">
        <f t="shared" si="17"/>
        <v>4.8396518906752659</v>
      </c>
      <c r="BS19" s="35"/>
      <c r="BU19" s="40" t="s">
        <v>187</v>
      </c>
      <c r="BV19" s="40"/>
      <c r="BW19" s="40"/>
      <c r="BX19" s="40"/>
      <c r="BY19" s="40"/>
      <c r="BZ19" s="40"/>
      <c r="CA19" s="40"/>
    </row>
    <row r="20" spans="1:79" x14ac:dyDescent="0.35">
      <c r="A20" s="28">
        <f t="shared" si="18"/>
        <v>45990</v>
      </c>
      <c r="B20" t="str">
        <f t="shared" si="0"/>
        <v>Sat</v>
      </c>
      <c r="C20" s="10" t="s">
        <v>9</v>
      </c>
      <c r="D20" s="10">
        <v>24</v>
      </c>
      <c r="E20" s="4">
        <f t="shared" si="1"/>
        <v>24</v>
      </c>
      <c r="F20" s="4">
        <f t="shared" si="2"/>
        <v>48</v>
      </c>
      <c r="G20" s="4">
        <f t="shared" si="3"/>
        <v>1440</v>
      </c>
      <c r="H20" s="15">
        <f>(SQRT(4*I19*I19*V*V + 'Drilling Spec'!$C$42*I19 + W*('Drilling Spec'!$C$43 + 2*l*V*(s*W + 2*V*G20/(1+e)) + 'Drilling Spec'!$C$44)) - 'Drilling Spec'!$C$45)/(2*V)</f>
        <v>126.79040696937267</v>
      </c>
      <c r="I20" s="23">
        <f>IF(AND(OR(I19=0,I19=""),F20=0),IF(F21=0,"",'Drilling Spec'!$C$26),H20)</f>
        <v>126.79040696937267</v>
      </c>
      <c r="J20" s="16">
        <f>MAX(0,I20-'Drilling Spec'!$C$30)</f>
        <v>46.790406969372668</v>
      </c>
      <c r="K20" s="18">
        <f>IFERROR(J20/'Drilling Spec'!$C$31,0)</f>
        <v>3.1193604646248447</v>
      </c>
      <c r="L20" s="21">
        <f t="shared" si="4"/>
        <v>0</v>
      </c>
      <c r="M20" s="4">
        <f t="shared" si="14"/>
        <v>0</v>
      </c>
      <c r="N20" s="21">
        <f t="shared" si="5"/>
        <v>0</v>
      </c>
      <c r="O20" s="18">
        <f>(SQRT(4*O19*O19*vB*vB + 'Drilling Spec'!$C$48*O19 + WB*('Drilling Spec'!$C$49 + 2*lB*vB*(sB*WB + 2*vB*N20/(1+eB)) + 'Drilling Spec'!$C$50)) - 'Drilling Spec'!$C$51)/(2*vB)</f>
        <v>0</v>
      </c>
      <c r="P20" s="18">
        <f>IFERROR(((S20-'Drilling Spec'!$C$30)/'Drilling Spec'!$C$31)*'Drilling Spec'!$C$32,0)</f>
        <v>0</v>
      </c>
      <c r="Q20" s="18">
        <f t="shared" si="15"/>
        <v>0</v>
      </c>
      <c r="R20" s="18"/>
      <c r="S20" s="26" t="str">
        <f>IF(AND(OR(T19=0,T19=""),M20=0),IF(M21=0,"",'Drilling Spec'!$C$30),O20)</f>
        <v/>
      </c>
      <c r="U20" s="15">
        <f>E20*'Drilling Spec'!$C$22 + L20*'Drilling Spec'!$C$23</f>
        <v>0.4809756097560976</v>
      </c>
      <c r="V20" s="15">
        <f t="shared" si="16"/>
        <v>0.9619512195121952</v>
      </c>
      <c r="W20" s="15">
        <f t="shared" si="6"/>
        <v>5.0380487804878049</v>
      </c>
      <c r="X20" s="10"/>
      <c r="Y20" s="30">
        <f>IF(W20&lt;U21,'Drilling Spec'!$C$35,0)</f>
        <v>0</v>
      </c>
      <c r="AA20" s="4">
        <f t="shared" si="19"/>
        <v>4</v>
      </c>
      <c r="AB20" s="10"/>
      <c r="AC20" s="30">
        <f>IF('04-07-25-Scen3-Good,24-16hr'!K21&gt;'04-07-25-Scen3-Good,24-16hr'!AA20,'Drilling Spec'!$C$36,)</f>
        <v>0</v>
      </c>
      <c r="AE20" s="18">
        <f>(I20-'Drilling Spec'!$C$26)/'Drilling Spec'!$C$38</f>
        <v>9.4650678282287775</v>
      </c>
      <c r="AF20" s="18">
        <f t="shared" si="7"/>
        <v>4.6254159375535115</v>
      </c>
      <c r="AG20" s="34">
        <f t="shared" si="8"/>
        <v>9.4650678282287775</v>
      </c>
      <c r="AH20" s="10"/>
      <c r="AI20" s="26">
        <f>IF(C20="Camp Closed",AG20,IF(AG20&lt;'Drilling Spec'!$C$39,,'Drilling Spec'!$C$39))</f>
        <v>0</v>
      </c>
      <c r="AL20" s="16">
        <f t="shared" si="9"/>
        <v>-126.79040696937267</v>
      </c>
      <c r="AM20" s="16" t="e">
        <f t="shared" si="10"/>
        <v>#N/A</v>
      </c>
      <c r="AN20">
        <f>-'Drilling Spec'!$C$29</f>
        <v>-720</v>
      </c>
      <c r="AO20">
        <f>-'Drilling Spec'!$C$27</f>
        <v>-624</v>
      </c>
      <c r="AP20">
        <f>-'Drilling Spec'!$C$28</f>
        <v>-688</v>
      </c>
      <c r="AQ20" t="e">
        <f t="shared" si="11"/>
        <v>#N/A</v>
      </c>
      <c r="AR20" t="e">
        <f>IF(X20=0,NA(),-'Drilling Spec'!$C$29*0.1)</f>
        <v>#N/A</v>
      </c>
      <c r="AS20" t="e">
        <f>IF(Y20=0,NA(),-'Drilling Spec'!$C$29*0.1)</f>
        <v>#N/A</v>
      </c>
      <c r="AT20" t="e">
        <f>IF(AB20=0,NA(),-'Drilling Spec'!$C$29*0.2)</f>
        <v>#N/A</v>
      </c>
      <c r="AU20" t="e">
        <f>IF(AC20=0,NA(),-'Drilling Spec'!$C$29*0.2)</f>
        <v>#N/A</v>
      </c>
      <c r="AV20" t="e">
        <f>IF(AH20=0,NA(),-'Drilling Spec'!$C$29*0.3)</f>
        <v>#N/A</v>
      </c>
      <c r="AW20" t="e">
        <f>IF(AI20=0,NA(),-'Drilling Spec'!$C$29*0.3)</f>
        <v>#N/A</v>
      </c>
      <c r="AX20" s="29">
        <f t="shared" si="12"/>
        <v>5.0380487804878049</v>
      </c>
      <c r="AY20" s="29">
        <f t="shared" si="13"/>
        <v>0.88063953537515527</v>
      </c>
      <c r="AZ20" s="29">
        <f t="shared" si="17"/>
        <v>9.4650678282287775</v>
      </c>
      <c r="BS20" s="35"/>
      <c r="BU20" s="40"/>
      <c r="BV20" s="40"/>
      <c r="BW20" s="40"/>
      <c r="BX20" s="40"/>
      <c r="BY20" s="40"/>
      <c r="BZ20" s="40"/>
      <c r="CA20" s="40"/>
    </row>
    <row r="21" spans="1:79" x14ac:dyDescent="0.35">
      <c r="A21" s="28">
        <f t="shared" si="18"/>
        <v>45991</v>
      </c>
      <c r="B21" t="str">
        <f t="shared" si="0"/>
        <v>Sun</v>
      </c>
      <c r="C21" s="10" t="s">
        <v>7</v>
      </c>
      <c r="D21" s="10">
        <v>0</v>
      </c>
      <c r="E21" s="4">
        <f t="shared" si="1"/>
        <v>0</v>
      </c>
      <c r="F21" s="4">
        <f t="shared" si="2"/>
        <v>48</v>
      </c>
      <c r="G21" s="4">
        <f t="shared" si="3"/>
        <v>0</v>
      </c>
      <c r="H21" s="15">
        <f>(SQRT(4*I20*I20*V*V + 'Drilling Spec'!$C$42*I20 + W*('Drilling Spec'!$C$43 + 2*l*V*(s*W + 2*V*G21/(1+e)) + 'Drilling Spec'!$C$44)) - 'Drilling Spec'!$C$45)/(2*V)</f>
        <v>126.79040696937267</v>
      </c>
      <c r="I21" s="23">
        <f>IF(AND(OR(I20=0,I20=""),F21=0),IF(F22=0,"",'Drilling Spec'!$C$26),H21)</f>
        <v>126.79040696937267</v>
      </c>
      <c r="J21" s="16">
        <f>MAX(0,I21-'Drilling Spec'!$C$30)</f>
        <v>46.790406969372668</v>
      </c>
      <c r="K21" s="18">
        <f>IFERROR(J21/'Drilling Spec'!$C$31,0)</f>
        <v>3.1193604646248447</v>
      </c>
      <c r="L21" s="21">
        <f t="shared" si="4"/>
        <v>0</v>
      </c>
      <c r="M21" s="4">
        <f t="shared" si="14"/>
        <v>0</v>
      </c>
      <c r="N21" s="21">
        <f t="shared" si="5"/>
        <v>0</v>
      </c>
      <c r="O21" s="18">
        <f>(SQRT(4*O20*O20*vB*vB + 'Drilling Spec'!$C$48*O20 + WB*('Drilling Spec'!$C$49 + 2*lB*vB*(sB*WB + 2*vB*N21/(1+eB)) + 'Drilling Spec'!$C$50)) - 'Drilling Spec'!$C$51)/(2*vB)</f>
        <v>0</v>
      </c>
      <c r="P21" s="18">
        <f>IFERROR(((S21-'Drilling Spec'!$C$30)/'Drilling Spec'!$C$31)*'Drilling Spec'!$C$32,0)</f>
        <v>0</v>
      </c>
      <c r="Q21" s="18">
        <f t="shared" si="15"/>
        <v>0</v>
      </c>
      <c r="R21" s="18"/>
      <c r="S21" s="26" t="str">
        <f>IF(AND(OR(T20=0,T20=""),M21=0),IF(M22=0,"",'Drilling Spec'!$C$30),O21)</f>
        <v/>
      </c>
      <c r="U21" s="15">
        <f>E21*'Drilling Spec'!$C$22 + L21*'Drilling Spec'!$C$23</f>
        <v>0</v>
      </c>
      <c r="V21" s="15">
        <f t="shared" si="16"/>
        <v>0.9619512195121952</v>
      </c>
      <c r="W21" s="15">
        <f t="shared" si="6"/>
        <v>5.0380487804878049</v>
      </c>
      <c r="X21" s="10"/>
      <c r="Y21" s="30">
        <f>IF(W21&lt;U22,'Drilling Spec'!$C$35,0)</f>
        <v>0</v>
      </c>
      <c r="AA21" s="4">
        <f t="shared" si="19"/>
        <v>4</v>
      </c>
      <c r="AB21" s="10"/>
      <c r="AC21" s="30">
        <f>IF('04-07-25-Scen3-Good,24-16hr'!K22&gt;'04-07-25-Scen3-Good,24-16hr'!AA21,'Drilling Spec'!$C$36,)</f>
        <v>6</v>
      </c>
      <c r="AE21" s="18">
        <f>(I21-'Drilling Spec'!$C$26)/'Drilling Spec'!$C$38</f>
        <v>9.4650678282287775</v>
      </c>
      <c r="AF21" s="18">
        <f t="shared" si="7"/>
        <v>0</v>
      </c>
      <c r="AG21" s="34">
        <f t="shared" si="8"/>
        <v>9.4650678282287775</v>
      </c>
      <c r="AH21" s="10"/>
      <c r="AI21" s="26">
        <f>IF(C21="Camp Closed",AG21,IF(AG21&lt;'Drilling Spec'!$C$39,,'Drilling Spec'!$C$39))</f>
        <v>0</v>
      </c>
      <c r="AL21" s="16">
        <f t="shared" si="9"/>
        <v>-126.79040696937267</v>
      </c>
      <c r="AM21" s="16" t="e">
        <f t="shared" si="10"/>
        <v>#N/A</v>
      </c>
      <c r="AN21">
        <f>-'Drilling Spec'!$C$29</f>
        <v>-720</v>
      </c>
      <c r="AO21">
        <f>-'Drilling Spec'!$C$27</f>
        <v>-624</v>
      </c>
      <c r="AP21">
        <f>-'Drilling Spec'!$C$28</f>
        <v>-688</v>
      </c>
      <c r="AQ21" t="e">
        <f t="shared" si="11"/>
        <v>#N/A</v>
      </c>
      <c r="AR21" t="e">
        <f>IF(X21=0,NA(),-'Drilling Spec'!$C$29*0.1)</f>
        <v>#N/A</v>
      </c>
      <c r="AS21" t="e">
        <f>IF(Y21=0,NA(),-'Drilling Spec'!$C$29*0.1)</f>
        <v>#N/A</v>
      </c>
      <c r="AT21" t="e">
        <f>IF(AB21=0,NA(),-'Drilling Spec'!$C$29*0.2)</f>
        <v>#N/A</v>
      </c>
      <c r="AU21">
        <f>IF(AC21=0,NA(),-'Drilling Spec'!$C$29*0.2)</f>
        <v>-144</v>
      </c>
      <c r="AV21" t="e">
        <f>IF(AH21=0,NA(),-'Drilling Spec'!$C$29*0.3)</f>
        <v>#N/A</v>
      </c>
      <c r="AW21" t="e">
        <f>IF(AI21=0,NA(),-'Drilling Spec'!$C$29*0.3)</f>
        <v>#N/A</v>
      </c>
      <c r="AX21" s="29">
        <f t="shared" si="12"/>
        <v>5.0380487804878049</v>
      </c>
      <c r="AY21" s="29">
        <f t="shared" si="13"/>
        <v>0.88063953537515527</v>
      </c>
      <c r="AZ21" s="29">
        <f t="shared" si="17"/>
        <v>9.4650678282287775</v>
      </c>
      <c r="BS21" s="35"/>
      <c r="BU21" s="40"/>
      <c r="BV21" s="40"/>
      <c r="BW21" s="40"/>
      <c r="BX21" s="40"/>
      <c r="BY21" s="40"/>
      <c r="BZ21" s="40"/>
      <c r="CA21" s="40"/>
    </row>
    <row r="22" spans="1:79" x14ac:dyDescent="0.35">
      <c r="A22" s="28">
        <f t="shared" si="18"/>
        <v>45992</v>
      </c>
      <c r="B22" t="str">
        <f t="shared" si="0"/>
        <v>Mon</v>
      </c>
      <c r="C22" s="10" t="s">
        <v>9</v>
      </c>
      <c r="D22" s="10">
        <v>24</v>
      </c>
      <c r="E22" s="4">
        <f t="shared" si="1"/>
        <v>24</v>
      </c>
      <c r="F22" s="4">
        <f t="shared" si="2"/>
        <v>72</v>
      </c>
      <c r="G22" s="4">
        <f t="shared" si="3"/>
        <v>1440</v>
      </c>
      <c r="H22" s="15">
        <f>(SQRT(4*I21*I21*V*V + 'Drilling Spec'!$C$42*I21 + W*('Drilling Spec'!$C$43 + 2*l*V*(s*W + 2*V*G22/(1+e)) + 'Drilling Spec'!$C$44)) - 'Drilling Spec'!$C$45)/(2*V)</f>
        <v>153.41443656587367</v>
      </c>
      <c r="I22" s="23">
        <f>IF(AND(OR(I21=0,I21=""),F22=0),IF(F23=0,"",'Drilling Spec'!$C$26),H22)</f>
        <v>153.41443656587367</v>
      </c>
      <c r="J22" s="16">
        <f>MAX(0,I22-'Drilling Spec'!$C$30)</f>
        <v>73.414436565873672</v>
      </c>
      <c r="K22" s="18">
        <f>IFERROR(J22/'Drilling Spec'!$C$31,0)</f>
        <v>4.8942957710582444</v>
      </c>
      <c r="L22" s="21">
        <f t="shared" si="4"/>
        <v>0</v>
      </c>
      <c r="M22" s="4">
        <f t="shared" si="14"/>
        <v>0</v>
      </c>
      <c r="N22" s="21">
        <f t="shared" si="5"/>
        <v>0</v>
      </c>
      <c r="O22" s="18">
        <f>(SQRT(4*O21*O21*vB*vB + 'Drilling Spec'!$C$48*O21 + WB*('Drilling Spec'!$C$49 + 2*lB*vB*(sB*WB + 2*vB*N22/(1+eB)) + 'Drilling Spec'!$C$50)) - 'Drilling Spec'!$C$51)/(2*vB)</f>
        <v>0</v>
      </c>
      <c r="P22" s="18">
        <f>IFERROR(((S22-'Drilling Spec'!$C$30)/'Drilling Spec'!$C$31)*'Drilling Spec'!$C$32,0)</f>
        <v>0</v>
      </c>
      <c r="Q22" s="18">
        <f t="shared" si="15"/>
        <v>0</v>
      </c>
      <c r="R22" s="18"/>
      <c r="S22" s="26" t="str">
        <f>IF(AND(OR(T21=0,T21=""),M22=0),IF(M23=0,"",'Drilling Spec'!$C$30),O22)</f>
        <v/>
      </c>
      <c r="U22" s="15">
        <f>E22*'Drilling Spec'!$C$22 + L22*'Drilling Spec'!$C$23</f>
        <v>0.4809756097560976</v>
      </c>
      <c r="V22" s="15">
        <f t="shared" si="16"/>
        <v>1.4429268292682929</v>
      </c>
      <c r="W22" s="15">
        <f t="shared" si="6"/>
        <v>4.5570731707317069</v>
      </c>
      <c r="X22" s="10"/>
      <c r="Y22" s="30">
        <f>IF(W22&lt;U23,'Drilling Spec'!$C$35,0)</f>
        <v>0</v>
      </c>
      <c r="AA22" s="4">
        <f t="shared" si="19"/>
        <v>10</v>
      </c>
      <c r="AB22" s="10"/>
      <c r="AC22" s="30">
        <f>IF('04-07-25-Scen3-Good,24-16hr'!K23&gt;'04-07-25-Scen3-Good,24-16hr'!AA22,'Drilling Spec'!$C$36,)</f>
        <v>0</v>
      </c>
      <c r="AE22" s="18">
        <f>(I22-'Drilling Spec'!$C$26)/'Drilling Spec'!$C$38</f>
        <v>13.902406094312278</v>
      </c>
      <c r="AF22" s="18">
        <f t="shared" si="7"/>
        <v>4.4373382660835006</v>
      </c>
      <c r="AG22" s="34">
        <f t="shared" si="8"/>
        <v>13.902406094312278</v>
      </c>
      <c r="AH22" s="10"/>
      <c r="AI22" s="26">
        <f>IF(C22="Camp Closed",AG22,IF(AG22&lt;'Drilling Spec'!$C$39,,'Drilling Spec'!$C$39))</f>
        <v>0</v>
      </c>
      <c r="AL22" s="16">
        <f t="shared" si="9"/>
        <v>-153.41443656587367</v>
      </c>
      <c r="AM22" s="16" t="e">
        <f t="shared" si="10"/>
        <v>#N/A</v>
      </c>
      <c r="AN22">
        <f>-'Drilling Spec'!$C$29</f>
        <v>-720</v>
      </c>
      <c r="AO22">
        <f>-'Drilling Spec'!$C$27</f>
        <v>-624</v>
      </c>
      <c r="AP22">
        <f>-'Drilling Spec'!$C$28</f>
        <v>-688</v>
      </c>
      <c r="AQ22" t="e">
        <f t="shared" si="11"/>
        <v>#N/A</v>
      </c>
      <c r="AR22" t="e">
        <f>IF(X22=0,NA(),-'Drilling Spec'!$C$29*0.1)</f>
        <v>#N/A</v>
      </c>
      <c r="AS22" t="e">
        <f>IF(Y22=0,NA(),-'Drilling Spec'!$C$29*0.1)</f>
        <v>#N/A</v>
      </c>
      <c r="AT22" t="e">
        <f>IF(AB22=0,NA(),-'Drilling Spec'!$C$29*0.2)</f>
        <v>#N/A</v>
      </c>
      <c r="AU22" t="e">
        <f>IF(AC22=0,NA(),-'Drilling Spec'!$C$29*0.2)</f>
        <v>#N/A</v>
      </c>
      <c r="AV22" t="e">
        <f>IF(AH22=0,NA(),-'Drilling Spec'!$C$29*0.3)</f>
        <v>#N/A</v>
      </c>
      <c r="AW22" t="e">
        <f>IF(AI22=0,NA(),-'Drilling Spec'!$C$29*0.3)</f>
        <v>#N/A</v>
      </c>
      <c r="AX22" s="29">
        <f t="shared" si="12"/>
        <v>4.5570731707317069</v>
      </c>
      <c r="AY22" s="29">
        <f t="shared" si="13"/>
        <v>5.1057042289417556</v>
      </c>
      <c r="AZ22" s="29">
        <f t="shared" si="17"/>
        <v>13.902406094312278</v>
      </c>
      <c r="BS22" s="35"/>
      <c r="BU22" s="40"/>
      <c r="BV22" s="40"/>
      <c r="BW22" s="40"/>
      <c r="BX22" s="40"/>
      <c r="BY22" s="40"/>
      <c r="BZ22" s="40"/>
      <c r="CA22" s="40"/>
    </row>
    <row r="23" spans="1:79" x14ac:dyDescent="0.35">
      <c r="A23" s="28">
        <f t="shared" si="18"/>
        <v>45993</v>
      </c>
      <c r="B23" t="str">
        <f t="shared" si="0"/>
        <v>Tue</v>
      </c>
      <c r="C23" s="10" t="s">
        <v>9</v>
      </c>
      <c r="D23" s="10">
        <v>24</v>
      </c>
      <c r="E23" s="4">
        <f t="shared" si="1"/>
        <v>24</v>
      </c>
      <c r="F23" s="4">
        <f t="shared" si="2"/>
        <v>96</v>
      </c>
      <c r="G23" s="4">
        <f t="shared" si="3"/>
        <v>1440</v>
      </c>
      <c r="H23" s="15">
        <f>(SQRT(4*I22*I22*V*V + 'Drilling Spec'!$C$42*I22 + W*('Drilling Spec'!$C$43 + 2*l*V*(s*W + 2*V*G23/(1+e)) + 'Drilling Spec'!$C$44)) - 'Drilling Spec'!$C$45)/(2*V)</f>
        <v>179.03739374715821</v>
      </c>
      <c r="I23" s="23">
        <f>IF(AND(OR(I22=0,I22=""),F23=0),IF(F24=0,"",'Drilling Spec'!$C$26),H23)</f>
        <v>179.03739374715821</v>
      </c>
      <c r="J23" s="16">
        <f>MAX(0,I23-'Drilling Spec'!$C$30)</f>
        <v>99.037393747158205</v>
      </c>
      <c r="K23" s="18">
        <f>IFERROR(J23/'Drilling Spec'!$C$31,0)</f>
        <v>6.6024929164772139</v>
      </c>
      <c r="L23" s="21">
        <f t="shared" si="4"/>
        <v>0</v>
      </c>
      <c r="M23" s="4">
        <f t="shared" si="14"/>
        <v>0</v>
      </c>
      <c r="N23" s="21">
        <f t="shared" si="5"/>
        <v>0</v>
      </c>
      <c r="O23" s="18">
        <f>(SQRT(4*O22*O22*vB*vB + 'Drilling Spec'!$C$48*O22 + WB*('Drilling Spec'!$C$49 + 2*lB*vB*(sB*WB + 2*vB*N23/(1+eB)) + 'Drilling Spec'!$C$50)) - 'Drilling Spec'!$C$51)/(2*vB)</f>
        <v>0</v>
      </c>
      <c r="P23" s="18">
        <f>IFERROR(((S23-'Drilling Spec'!$C$30)/'Drilling Spec'!$C$31)*'Drilling Spec'!$C$32,0)</f>
        <v>0</v>
      </c>
      <c r="Q23" s="18">
        <f t="shared" si="15"/>
        <v>0</v>
      </c>
      <c r="R23" s="18"/>
      <c r="S23" s="26" t="str">
        <f>IF(AND(OR(T22=0,T22=""),M23=0),IF(M24=0,"",'Drilling Spec'!$C$30),O23)</f>
        <v/>
      </c>
      <c r="U23" s="15">
        <f>E23*'Drilling Spec'!$C$22 + L23*'Drilling Spec'!$C$23</f>
        <v>0.4809756097560976</v>
      </c>
      <c r="V23" s="15">
        <f t="shared" si="16"/>
        <v>1.9239024390243904</v>
      </c>
      <c r="W23" s="15">
        <f t="shared" si="6"/>
        <v>4.0760975609756089</v>
      </c>
      <c r="X23" s="10"/>
      <c r="Y23" s="30">
        <f>IF(W23&lt;U24,'Drilling Spec'!$C$35,0)</f>
        <v>0</v>
      </c>
      <c r="AA23" s="4">
        <f t="shared" si="19"/>
        <v>10</v>
      </c>
      <c r="AB23" s="10"/>
      <c r="AC23" s="30">
        <f>IF('04-07-25-Scen3-Good,24-16hr'!K24&gt;'04-07-25-Scen3-Good,24-16hr'!AA23,'Drilling Spec'!$C$36,)</f>
        <v>0</v>
      </c>
      <c r="AE23" s="18">
        <f>(I23-'Drilling Spec'!$C$26)/'Drilling Spec'!$C$38</f>
        <v>18.172898957859701</v>
      </c>
      <c r="AF23" s="18">
        <f t="shared" si="7"/>
        <v>4.2704928635474229</v>
      </c>
      <c r="AG23" s="34">
        <f t="shared" si="8"/>
        <v>18.172898957859701</v>
      </c>
      <c r="AH23" s="10"/>
      <c r="AI23" s="26">
        <f>IF(C23="Camp Closed",AG23,IF(AG23&lt;'Drilling Spec'!$C$39,,'Drilling Spec'!$C$39))</f>
        <v>0</v>
      </c>
      <c r="AL23" s="16">
        <f t="shared" si="9"/>
        <v>-179.03739374715821</v>
      </c>
      <c r="AM23" s="16" t="e">
        <f t="shared" si="10"/>
        <v>#N/A</v>
      </c>
      <c r="AN23">
        <f>-'Drilling Spec'!$C$29</f>
        <v>-720</v>
      </c>
      <c r="AO23">
        <f>-'Drilling Spec'!$C$27</f>
        <v>-624</v>
      </c>
      <c r="AP23">
        <f>-'Drilling Spec'!$C$28</f>
        <v>-688</v>
      </c>
      <c r="AQ23" t="e">
        <f t="shared" si="11"/>
        <v>#N/A</v>
      </c>
      <c r="AR23" t="e">
        <f>IF(X23=0,NA(),-'Drilling Spec'!$C$29*0.1)</f>
        <v>#N/A</v>
      </c>
      <c r="AS23" t="e">
        <f>IF(Y23=0,NA(),-'Drilling Spec'!$C$29*0.1)</f>
        <v>#N/A</v>
      </c>
      <c r="AT23" t="e">
        <f>IF(AB23=0,NA(),-'Drilling Spec'!$C$29*0.2)</f>
        <v>#N/A</v>
      </c>
      <c r="AU23" t="e">
        <f>IF(AC23=0,NA(),-'Drilling Spec'!$C$29*0.2)</f>
        <v>#N/A</v>
      </c>
      <c r="AV23" t="e">
        <f>IF(AH23=0,NA(),-'Drilling Spec'!$C$29*0.3)</f>
        <v>#N/A</v>
      </c>
      <c r="AW23" t="e">
        <f>IF(AI23=0,NA(),-'Drilling Spec'!$C$29*0.3)</f>
        <v>#N/A</v>
      </c>
      <c r="AX23" s="29">
        <f t="shared" si="12"/>
        <v>4.0760975609756089</v>
      </c>
      <c r="AY23" s="29">
        <f t="shared" si="13"/>
        <v>3.3975070835227861</v>
      </c>
      <c r="AZ23" s="29">
        <f t="shared" si="17"/>
        <v>18.172898957859701</v>
      </c>
      <c r="BS23" s="35"/>
      <c r="BU23" s="40"/>
      <c r="BV23" s="40"/>
      <c r="BW23" s="40"/>
      <c r="BX23" s="40"/>
      <c r="BY23" s="40"/>
      <c r="BZ23" s="40"/>
      <c r="CA23" s="40"/>
    </row>
    <row r="24" spans="1:79" x14ac:dyDescent="0.35">
      <c r="A24" s="28">
        <f t="shared" si="18"/>
        <v>45994</v>
      </c>
      <c r="B24" t="str">
        <f t="shared" si="0"/>
        <v>Wed</v>
      </c>
      <c r="C24" s="10" t="s">
        <v>9</v>
      </c>
      <c r="D24" s="10">
        <v>24</v>
      </c>
      <c r="E24" s="4">
        <f t="shared" si="1"/>
        <v>24</v>
      </c>
      <c r="F24" s="4">
        <f t="shared" si="2"/>
        <v>120</v>
      </c>
      <c r="G24" s="4">
        <f t="shared" si="3"/>
        <v>1440</v>
      </c>
      <c r="H24" s="15">
        <f>(SQRT(4*I23*I23*V*V + 'Drilling Spec'!$C$42*I23 + W*('Drilling Spec'!$C$43 + 2*l*V*(s*W + 2*V*G24/(1+e)) + 'Drilling Spec'!$C$44)) - 'Drilling Spec'!$C$45)/(2*V)</f>
        <v>203.76436685764563</v>
      </c>
      <c r="I24" s="23">
        <f>IF(AND(OR(I23=0,I23=""),F24=0),IF(F25=0,"",'Drilling Spec'!$C$26),H24)</f>
        <v>203.76436685764563</v>
      </c>
      <c r="J24" s="16">
        <f>MAX(0,I24-'Drilling Spec'!$C$30)</f>
        <v>123.76436685764563</v>
      </c>
      <c r="K24" s="18">
        <f>IFERROR(J24/'Drilling Spec'!$C$31,0)</f>
        <v>8.2509577905097089</v>
      </c>
      <c r="L24" s="21">
        <f t="shared" si="4"/>
        <v>0</v>
      </c>
      <c r="M24" s="4">
        <f t="shared" si="14"/>
        <v>0</v>
      </c>
      <c r="N24" s="21">
        <f t="shared" si="5"/>
        <v>0</v>
      </c>
      <c r="O24" s="18">
        <f>(SQRT(4*O23*O23*vB*vB + 'Drilling Spec'!$C$48*O23 + WB*('Drilling Spec'!$C$49 + 2*lB*vB*(sB*WB + 2*vB*N24/(1+eB)) + 'Drilling Spec'!$C$50)) - 'Drilling Spec'!$C$51)/(2*vB)</f>
        <v>0</v>
      </c>
      <c r="P24" s="18">
        <f>IFERROR(((S24-'Drilling Spec'!$C$30)/'Drilling Spec'!$C$31)*'Drilling Spec'!$C$32,0)</f>
        <v>0</v>
      </c>
      <c r="Q24" s="18">
        <f t="shared" si="15"/>
        <v>0</v>
      </c>
      <c r="R24" s="18"/>
      <c r="S24" s="26" t="str">
        <f>IF(AND(OR(T23=0,T23=""),M24=0),IF(M25=0,"",'Drilling Spec'!$C$30),O24)</f>
        <v/>
      </c>
      <c r="U24" s="15">
        <f>E24*'Drilling Spec'!$C$22 + L24*'Drilling Spec'!$C$23</f>
        <v>0.4809756097560976</v>
      </c>
      <c r="V24" s="15">
        <f t="shared" si="16"/>
        <v>2.4048780487804882</v>
      </c>
      <c r="W24" s="15">
        <f t="shared" si="6"/>
        <v>3.5951219512195114</v>
      </c>
      <c r="X24" s="10"/>
      <c r="Y24" s="30">
        <f>IF(W24&lt;U25,'Drilling Spec'!$C$35,0)</f>
        <v>0</v>
      </c>
      <c r="AA24" s="4">
        <f t="shared" si="19"/>
        <v>10</v>
      </c>
      <c r="AB24" s="10"/>
      <c r="AC24" s="30">
        <f>IF('04-07-25-Scen3-Good,24-16hr'!K25&gt;'04-07-25-Scen3-Good,24-16hr'!AA24,'Drilling Spec'!$C$36,)</f>
        <v>0</v>
      </c>
      <c r="AE24" s="18">
        <f>(I24-'Drilling Spec'!$C$26)/'Drilling Spec'!$C$38</f>
        <v>22.294061142940937</v>
      </c>
      <c r="AF24" s="18">
        <f t="shared" si="7"/>
        <v>4.1211621850812357</v>
      </c>
      <c r="AG24" s="34">
        <f t="shared" si="8"/>
        <v>22.294061142940937</v>
      </c>
      <c r="AH24" s="10"/>
      <c r="AI24" s="26">
        <f>IF(C24="Camp Closed",AG24,IF(AG24&lt;'Drilling Spec'!$C$39,,'Drilling Spec'!$C$39))</f>
        <v>20</v>
      </c>
      <c r="AL24" s="16">
        <f t="shared" si="9"/>
        <v>-203.76436685764563</v>
      </c>
      <c r="AM24" s="16" t="e">
        <f t="shared" si="10"/>
        <v>#N/A</v>
      </c>
      <c r="AN24">
        <f>-'Drilling Spec'!$C$29</f>
        <v>-720</v>
      </c>
      <c r="AO24">
        <f>-'Drilling Spec'!$C$27</f>
        <v>-624</v>
      </c>
      <c r="AP24">
        <f>-'Drilling Spec'!$C$28</f>
        <v>-688</v>
      </c>
      <c r="AQ24" t="e">
        <f t="shared" si="11"/>
        <v>#N/A</v>
      </c>
      <c r="AR24" t="e">
        <f>IF(X24=0,NA(),-'Drilling Spec'!$C$29*0.1)</f>
        <v>#N/A</v>
      </c>
      <c r="AS24" t="e">
        <f>IF(Y24=0,NA(),-'Drilling Spec'!$C$29*0.1)</f>
        <v>#N/A</v>
      </c>
      <c r="AT24" t="e">
        <f>IF(AB24=0,NA(),-'Drilling Spec'!$C$29*0.2)</f>
        <v>#N/A</v>
      </c>
      <c r="AU24" t="e">
        <f>IF(AC24=0,NA(),-'Drilling Spec'!$C$29*0.2)</f>
        <v>#N/A</v>
      </c>
      <c r="AV24" t="e">
        <f>IF(AH24=0,NA(),-'Drilling Spec'!$C$29*0.3)</f>
        <v>#N/A</v>
      </c>
      <c r="AW24">
        <f>IF(AI24=0,NA(),-'Drilling Spec'!$C$29*0.3)</f>
        <v>-216</v>
      </c>
      <c r="AX24" s="29">
        <f t="shared" si="12"/>
        <v>3.5951219512195114</v>
      </c>
      <c r="AY24" s="29">
        <f t="shared" si="13"/>
        <v>1.7490422094902911</v>
      </c>
      <c r="AZ24" s="29">
        <f t="shared" si="17"/>
        <v>22.294061142940937</v>
      </c>
      <c r="BS24" s="35"/>
      <c r="BU24" s="38" t="s">
        <v>190</v>
      </c>
      <c r="BV24" s="38"/>
      <c r="BW24" s="38"/>
      <c r="BX24" s="38"/>
      <c r="BY24" s="38"/>
      <c r="BZ24" s="38"/>
      <c r="CA24" s="38"/>
    </row>
    <row r="25" spans="1:79" x14ac:dyDescent="0.35">
      <c r="A25" s="28">
        <f t="shared" si="18"/>
        <v>45995</v>
      </c>
      <c r="B25" t="str">
        <f t="shared" si="0"/>
        <v>Thu</v>
      </c>
      <c r="C25" s="10" t="s">
        <v>9</v>
      </c>
      <c r="D25" s="10">
        <v>24</v>
      </c>
      <c r="E25" s="4">
        <f t="shared" si="1"/>
        <v>24</v>
      </c>
      <c r="F25" s="4">
        <f t="shared" si="2"/>
        <v>144</v>
      </c>
      <c r="G25" s="4">
        <f t="shared" si="3"/>
        <v>1440</v>
      </c>
      <c r="H25" s="15">
        <f>(SQRT(4*I24*I24*V*V + 'Drilling Spec'!$C$42*I24 + W*('Drilling Spec'!$C$43 + 2*l*V*(s*W + 2*V*G25/(1+e)) + 'Drilling Spec'!$C$44)) - 'Drilling Spec'!$C$45)/(2*V)</f>
        <v>227.6832514206119</v>
      </c>
      <c r="I25" s="23">
        <f>IF(AND(OR(I24=0,I24=""),F25=0),IF(F26=0,"",'Drilling Spec'!$C$26),H25)</f>
        <v>227.6832514206119</v>
      </c>
      <c r="J25" s="16">
        <f>MAX(0,I25-'Drilling Spec'!$C$30)</f>
        <v>147.6832514206119</v>
      </c>
      <c r="K25" s="18">
        <f>IFERROR(J25/'Drilling Spec'!$C$31,0)</f>
        <v>9.845550094707459</v>
      </c>
      <c r="L25" s="21">
        <f t="shared" si="4"/>
        <v>0</v>
      </c>
      <c r="M25" s="4">
        <f t="shared" si="14"/>
        <v>0</v>
      </c>
      <c r="N25" s="21">
        <f t="shared" si="5"/>
        <v>0</v>
      </c>
      <c r="O25" s="18">
        <f>(SQRT(4*O24*O24*vB*vB + 'Drilling Spec'!$C$48*O24 + WB*('Drilling Spec'!$C$49 + 2*lB*vB*(sB*WB + 2*vB*N25/(1+eB)) + 'Drilling Spec'!$C$50)) - 'Drilling Spec'!$C$51)/(2*vB)</f>
        <v>0</v>
      </c>
      <c r="P25" s="18">
        <f>IFERROR(((S25-'Drilling Spec'!$C$30)/'Drilling Spec'!$C$31)*'Drilling Spec'!$C$32,0)</f>
        <v>0</v>
      </c>
      <c r="Q25" s="18">
        <f t="shared" si="15"/>
        <v>0</v>
      </c>
      <c r="R25" s="18"/>
      <c r="S25" s="26" t="str">
        <f>IF(AND(OR(T24=0,T24=""),M25=0),IF(M26=0,"",'Drilling Spec'!$C$30),O25)</f>
        <v/>
      </c>
      <c r="U25" s="15">
        <f>E25*'Drilling Spec'!$C$22 + L25*'Drilling Spec'!$C$23</f>
        <v>0.4809756097560976</v>
      </c>
      <c r="V25" s="15">
        <f t="shared" si="16"/>
        <v>2.8858536585365857</v>
      </c>
      <c r="W25" s="15">
        <f t="shared" si="6"/>
        <v>3.1141463414634138</v>
      </c>
      <c r="X25" s="10"/>
      <c r="Y25" s="30">
        <f>IF(W25&lt;U26,'Drilling Spec'!$C$35,0)</f>
        <v>0</v>
      </c>
      <c r="AA25" s="4">
        <f t="shared" si="19"/>
        <v>10</v>
      </c>
      <c r="AB25" s="10"/>
      <c r="AC25" s="30">
        <f>IF('04-07-25-Scen3-Good,24-16hr'!K26&gt;'04-07-25-Scen3-Good,24-16hr'!AA25,'Drilling Spec'!$C$36,)</f>
        <v>6</v>
      </c>
      <c r="AE25" s="18">
        <f>(I25-'Drilling Spec'!$C$26)/'Drilling Spec'!$C$38</f>
        <v>26.280541903435317</v>
      </c>
      <c r="AF25" s="18">
        <f t="shared" si="7"/>
        <v>3.9864807604943806</v>
      </c>
      <c r="AG25" s="34">
        <f t="shared" si="8"/>
        <v>6.2805419034353172</v>
      </c>
      <c r="AH25" s="10"/>
      <c r="AI25" s="26">
        <f>IF(C25="Camp Closed",AG25,IF(AG25&lt;'Drilling Spec'!$C$39,,'Drilling Spec'!$C$39))</f>
        <v>0</v>
      </c>
      <c r="AL25" s="16">
        <f t="shared" si="9"/>
        <v>-227.6832514206119</v>
      </c>
      <c r="AM25" s="16" t="e">
        <f t="shared" si="10"/>
        <v>#N/A</v>
      </c>
      <c r="AN25">
        <f>-'Drilling Spec'!$C$29</f>
        <v>-720</v>
      </c>
      <c r="AO25">
        <f>-'Drilling Spec'!$C$27</f>
        <v>-624</v>
      </c>
      <c r="AP25">
        <f>-'Drilling Spec'!$C$28</f>
        <v>-688</v>
      </c>
      <c r="AQ25" t="e">
        <f t="shared" si="11"/>
        <v>#N/A</v>
      </c>
      <c r="AR25" t="e">
        <f>IF(X25=0,NA(),-'Drilling Spec'!$C$29*0.1)</f>
        <v>#N/A</v>
      </c>
      <c r="AS25" t="e">
        <f>IF(Y25=0,NA(),-'Drilling Spec'!$C$29*0.1)</f>
        <v>#N/A</v>
      </c>
      <c r="AT25" t="e">
        <f>IF(AB25=0,NA(),-'Drilling Spec'!$C$29*0.2)</f>
        <v>#N/A</v>
      </c>
      <c r="AU25">
        <f>IF(AC25=0,NA(),-'Drilling Spec'!$C$29*0.2)</f>
        <v>-144</v>
      </c>
      <c r="AV25" t="e">
        <f>IF(AH25=0,NA(),-'Drilling Spec'!$C$29*0.3)</f>
        <v>#N/A</v>
      </c>
      <c r="AW25" t="e">
        <f>IF(AI25=0,NA(),-'Drilling Spec'!$C$29*0.3)</f>
        <v>#N/A</v>
      </c>
      <c r="AX25" s="29">
        <f t="shared" si="12"/>
        <v>3.1141463414634138</v>
      </c>
      <c r="AY25" s="29">
        <f t="shared" si="13"/>
        <v>0.15444990529254099</v>
      </c>
      <c r="AZ25" s="29">
        <f t="shared" si="17"/>
        <v>6.2805419034353172</v>
      </c>
      <c r="BS25" s="35"/>
      <c r="BU25" s="38"/>
      <c r="BV25" s="38"/>
      <c r="BW25" s="38"/>
      <c r="BX25" s="38"/>
      <c r="BY25" s="38"/>
      <c r="BZ25" s="38"/>
      <c r="CA25" s="38"/>
    </row>
    <row r="26" spans="1:79" x14ac:dyDescent="0.35">
      <c r="A26" s="28">
        <f t="shared" si="18"/>
        <v>45996</v>
      </c>
      <c r="B26" t="str">
        <f t="shared" si="0"/>
        <v>Fri</v>
      </c>
      <c r="C26" s="10" t="s">
        <v>9</v>
      </c>
      <c r="D26" s="10">
        <v>24</v>
      </c>
      <c r="E26" s="4">
        <f t="shared" si="1"/>
        <v>24</v>
      </c>
      <c r="F26" s="4">
        <f t="shared" si="2"/>
        <v>168</v>
      </c>
      <c r="G26" s="4">
        <f t="shared" si="3"/>
        <v>1440</v>
      </c>
      <c r="H26" s="15">
        <f>(SQRT(4*I25*I25*V*V + 'Drilling Spec'!$C$42*I25 + W*('Drilling Spec'!$C$43 + 2*l*V*(s*W + 2*V*G26/(1+e)) + 'Drilling Spec'!$C$44)) - 'Drilling Spec'!$C$45)/(2*V)</f>
        <v>250.8684479303349</v>
      </c>
      <c r="I26" s="23">
        <f>IF(AND(OR(I25=0,I25=""),F26=0),IF(F27=0,"",'Drilling Spec'!$C$26),H26)</f>
        <v>250.8684479303349</v>
      </c>
      <c r="J26" s="16">
        <f>MAX(0,I26-'Drilling Spec'!$C$30)</f>
        <v>170.8684479303349</v>
      </c>
      <c r="K26" s="18">
        <f>IFERROR(J26/'Drilling Spec'!$C$31,0)</f>
        <v>11.391229862022326</v>
      </c>
      <c r="L26" s="21">
        <f t="shared" si="4"/>
        <v>0</v>
      </c>
      <c r="M26" s="4">
        <f t="shared" si="14"/>
        <v>0</v>
      </c>
      <c r="N26" s="21">
        <f t="shared" si="5"/>
        <v>0</v>
      </c>
      <c r="O26" s="18">
        <f>(SQRT(4*O25*O25*vB*vB + 'Drilling Spec'!$C$48*O25 + WB*('Drilling Spec'!$C$49 + 2*lB*vB*(sB*WB + 2*vB*N26/(1+eB)) + 'Drilling Spec'!$C$50)) - 'Drilling Spec'!$C$51)/(2*vB)</f>
        <v>0</v>
      </c>
      <c r="P26" s="18">
        <f>IFERROR(((S26-'Drilling Spec'!$C$30)/'Drilling Spec'!$C$31)*'Drilling Spec'!$C$32,0)</f>
        <v>0</v>
      </c>
      <c r="Q26" s="18">
        <f t="shared" si="15"/>
        <v>0</v>
      </c>
      <c r="R26" s="18"/>
      <c r="S26" s="26" t="str">
        <f>IF(AND(OR(T25=0,T25=""),M26=0),IF(M27=0,"",'Drilling Spec'!$C$30),O26)</f>
        <v/>
      </c>
      <c r="U26" s="15">
        <f>E26*'Drilling Spec'!$C$22 + L26*'Drilling Spec'!$C$23</f>
        <v>0.4809756097560976</v>
      </c>
      <c r="V26" s="15">
        <f t="shared" si="16"/>
        <v>3.3668292682926833</v>
      </c>
      <c r="W26" s="15">
        <f t="shared" si="6"/>
        <v>2.6331707317073163</v>
      </c>
      <c r="X26" s="10"/>
      <c r="Y26" s="30">
        <f>IF(W26&lt;U27,'Drilling Spec'!$C$35,0)</f>
        <v>0</v>
      </c>
      <c r="AA26" s="4">
        <f t="shared" si="19"/>
        <v>16</v>
      </c>
      <c r="AB26" s="10"/>
      <c r="AC26" s="30">
        <f>IF('04-07-25-Scen3-Good,24-16hr'!K27&gt;'04-07-25-Scen3-Good,24-16hr'!AA26,'Drilling Spec'!$C$36,)</f>
        <v>0</v>
      </c>
      <c r="AE26" s="18">
        <f>(I26-'Drilling Spec'!$C$26)/'Drilling Spec'!$C$38</f>
        <v>30.144741321722481</v>
      </c>
      <c r="AF26" s="18">
        <f t="shared" si="7"/>
        <v>3.8641994182871642</v>
      </c>
      <c r="AG26" s="34">
        <f t="shared" si="8"/>
        <v>10.144741321722481</v>
      </c>
      <c r="AH26" s="10"/>
      <c r="AI26" s="26">
        <f>IF(C26="Camp Closed",AG26,IF(AG26&lt;'Drilling Spec'!$C$39,,'Drilling Spec'!$C$39))</f>
        <v>0</v>
      </c>
      <c r="AL26" s="16">
        <f t="shared" si="9"/>
        <v>-250.8684479303349</v>
      </c>
      <c r="AM26" s="16" t="e">
        <f t="shared" si="10"/>
        <v>#N/A</v>
      </c>
      <c r="AN26">
        <f>-'Drilling Spec'!$C$29</f>
        <v>-720</v>
      </c>
      <c r="AO26">
        <f>-'Drilling Spec'!$C$27</f>
        <v>-624</v>
      </c>
      <c r="AP26">
        <f>-'Drilling Spec'!$C$28</f>
        <v>-688</v>
      </c>
      <c r="AQ26" t="e">
        <f t="shared" si="11"/>
        <v>#N/A</v>
      </c>
      <c r="AR26" t="e">
        <f>IF(X26=0,NA(),-'Drilling Spec'!$C$29*0.1)</f>
        <v>#N/A</v>
      </c>
      <c r="AS26" t="e">
        <f>IF(Y26=0,NA(),-'Drilling Spec'!$C$29*0.1)</f>
        <v>#N/A</v>
      </c>
      <c r="AT26" t="e">
        <f>IF(AB26=0,NA(),-'Drilling Spec'!$C$29*0.2)</f>
        <v>#N/A</v>
      </c>
      <c r="AU26" t="e">
        <f>IF(AC26=0,NA(),-'Drilling Spec'!$C$29*0.2)</f>
        <v>#N/A</v>
      </c>
      <c r="AV26" t="e">
        <f>IF(AH26=0,NA(),-'Drilling Spec'!$C$29*0.3)</f>
        <v>#N/A</v>
      </c>
      <c r="AW26" t="e">
        <f>IF(AI26=0,NA(),-'Drilling Spec'!$C$29*0.3)</f>
        <v>#N/A</v>
      </c>
      <c r="AX26" s="29">
        <f t="shared" si="12"/>
        <v>2.6331707317073163</v>
      </c>
      <c r="AY26" s="29">
        <f t="shared" si="13"/>
        <v>4.6087701379776735</v>
      </c>
      <c r="AZ26" s="29">
        <f t="shared" si="17"/>
        <v>10.144741321722481</v>
      </c>
      <c r="BS26" s="35"/>
      <c r="BT26" s="39" t="s">
        <v>188</v>
      </c>
      <c r="BU26" s="39"/>
      <c r="BV26" s="39"/>
      <c r="BW26" s="39"/>
      <c r="BX26" s="39"/>
      <c r="BY26" s="39"/>
      <c r="BZ26" s="39"/>
      <c r="CA26" s="39"/>
    </row>
    <row r="27" spans="1:79" x14ac:dyDescent="0.35">
      <c r="A27" s="28">
        <f t="shared" si="18"/>
        <v>45997</v>
      </c>
      <c r="B27" t="str">
        <f t="shared" si="0"/>
        <v>Sat</v>
      </c>
      <c r="C27" s="10" t="s">
        <v>9</v>
      </c>
      <c r="D27" s="10">
        <v>24</v>
      </c>
      <c r="E27" s="4">
        <f t="shared" si="1"/>
        <v>24</v>
      </c>
      <c r="F27" s="4">
        <f t="shared" si="2"/>
        <v>192</v>
      </c>
      <c r="G27" s="4">
        <f t="shared" si="3"/>
        <v>1440</v>
      </c>
      <c r="H27" s="15">
        <f>(SQRT(4*I26*I26*V*V + 'Drilling Spec'!$C$42*I26 + W*('Drilling Spec'!$C$43 + 2*l*V*(s*W + 2*V*G27/(1+e)) + 'Drilling Spec'!$C$44)) - 'Drilling Spec'!$C$45)/(2*V)</f>
        <v>273.38359589594342</v>
      </c>
      <c r="I27" s="23">
        <f>IF(AND(OR(I26=0,I26=""),F27=0),IF(F28=0,"",'Drilling Spec'!$C$26),H27)</f>
        <v>273.38359589594342</v>
      </c>
      <c r="J27" s="16">
        <f>MAX(0,I27-'Drilling Spec'!$C$30)</f>
        <v>193.38359589594342</v>
      </c>
      <c r="K27" s="18">
        <f>IFERROR(J27/'Drilling Spec'!$C$31,0)</f>
        <v>12.892239726396229</v>
      </c>
      <c r="L27" s="21">
        <f t="shared" si="4"/>
        <v>0</v>
      </c>
      <c r="M27" s="4">
        <f t="shared" si="14"/>
        <v>0</v>
      </c>
      <c r="N27" s="21">
        <f t="shared" si="5"/>
        <v>0</v>
      </c>
      <c r="O27" s="18">
        <f>(SQRT(4*O26*O26*vB*vB + 'Drilling Spec'!$C$48*O26 + WB*('Drilling Spec'!$C$49 + 2*lB*vB*(sB*WB + 2*vB*N27/(1+eB)) + 'Drilling Spec'!$C$50)) - 'Drilling Spec'!$C$51)/(2*vB)</f>
        <v>0</v>
      </c>
      <c r="P27" s="18">
        <f>IFERROR(((S27-'Drilling Spec'!$C$30)/'Drilling Spec'!$C$31)*'Drilling Spec'!$C$32,0)</f>
        <v>0</v>
      </c>
      <c r="Q27" s="18">
        <f t="shared" si="15"/>
        <v>0</v>
      </c>
      <c r="R27" s="18"/>
      <c r="S27" s="26" t="str">
        <f>IF(AND(OR(T26=0,T26=""),M27=0),IF(M28=0,"",'Drilling Spec'!$C$30),O27)</f>
        <v/>
      </c>
      <c r="U27" s="15">
        <f>E27*'Drilling Spec'!$C$22 + L27*'Drilling Spec'!$C$23</f>
        <v>0.4809756097560976</v>
      </c>
      <c r="V27" s="15">
        <f t="shared" si="16"/>
        <v>3.8478048780487808</v>
      </c>
      <c r="W27" s="15">
        <f t="shared" si="6"/>
        <v>2.1521951219512188</v>
      </c>
      <c r="X27" s="10"/>
      <c r="Y27" s="30">
        <f>IF(W27&lt;U28,'Drilling Spec'!$C$35,0)</f>
        <v>0</v>
      </c>
      <c r="AA27" s="4">
        <f t="shared" si="19"/>
        <v>16</v>
      </c>
      <c r="AB27" s="10"/>
      <c r="AC27" s="30">
        <f>IF('04-07-25-Scen3-Good,24-16hr'!K28&gt;'04-07-25-Scen3-Good,24-16hr'!AA27,'Drilling Spec'!$C$36,)</f>
        <v>0</v>
      </c>
      <c r="AE27" s="18">
        <f>(I27-'Drilling Spec'!$C$26)/'Drilling Spec'!$C$38</f>
        <v>33.897265982657238</v>
      </c>
      <c r="AF27" s="18">
        <f t="shared" si="7"/>
        <v>3.7525246609347569</v>
      </c>
      <c r="AG27" s="34">
        <f t="shared" si="8"/>
        <v>13.897265982657238</v>
      </c>
      <c r="AH27" s="10"/>
      <c r="AI27" s="26">
        <f>IF(C27="Camp Closed",AG27,IF(AG27&lt;'Drilling Spec'!$C$39,,'Drilling Spec'!$C$39))</f>
        <v>0</v>
      </c>
      <c r="AL27" s="16">
        <f t="shared" si="9"/>
        <v>-273.38359589594342</v>
      </c>
      <c r="AM27" s="16" t="e">
        <f t="shared" si="10"/>
        <v>#N/A</v>
      </c>
      <c r="AN27">
        <f>-'Drilling Spec'!$C$29</f>
        <v>-720</v>
      </c>
      <c r="AO27">
        <f>-'Drilling Spec'!$C$27</f>
        <v>-624</v>
      </c>
      <c r="AP27">
        <f>-'Drilling Spec'!$C$28</f>
        <v>-688</v>
      </c>
      <c r="AQ27" t="e">
        <f t="shared" si="11"/>
        <v>#N/A</v>
      </c>
      <c r="AR27" t="e">
        <f>IF(X27=0,NA(),-'Drilling Spec'!$C$29*0.1)</f>
        <v>#N/A</v>
      </c>
      <c r="AS27" t="e">
        <f>IF(Y27=0,NA(),-'Drilling Spec'!$C$29*0.1)</f>
        <v>#N/A</v>
      </c>
      <c r="AT27" t="e">
        <f>IF(AB27=0,NA(),-'Drilling Spec'!$C$29*0.2)</f>
        <v>#N/A</v>
      </c>
      <c r="AU27" t="e">
        <f>IF(AC27=0,NA(),-'Drilling Spec'!$C$29*0.2)</f>
        <v>#N/A</v>
      </c>
      <c r="AV27" t="e">
        <f>IF(AH27=0,NA(),-'Drilling Spec'!$C$29*0.3)</f>
        <v>#N/A</v>
      </c>
      <c r="AW27" t="e">
        <f>IF(AI27=0,NA(),-'Drilling Spec'!$C$29*0.3)</f>
        <v>#N/A</v>
      </c>
      <c r="AX27" s="29">
        <f t="shared" si="12"/>
        <v>2.1521951219512188</v>
      </c>
      <c r="AY27" s="29">
        <f t="shared" si="13"/>
        <v>3.1077602736037715</v>
      </c>
      <c r="AZ27" s="29">
        <f t="shared" si="17"/>
        <v>13.897265982657238</v>
      </c>
      <c r="BS27" s="35"/>
      <c r="BT27" s="39"/>
      <c r="BU27" s="39"/>
      <c r="BV27" s="39"/>
      <c r="BW27" s="39"/>
      <c r="BX27" s="39"/>
      <c r="BY27" s="39"/>
      <c r="BZ27" s="39"/>
      <c r="CA27" s="39"/>
    </row>
    <row r="28" spans="1:79" x14ac:dyDescent="0.35">
      <c r="A28" s="28">
        <f t="shared" si="18"/>
        <v>45998</v>
      </c>
      <c r="B28" t="str">
        <f t="shared" si="0"/>
        <v>Sun</v>
      </c>
      <c r="C28" s="10" t="s">
        <v>7</v>
      </c>
      <c r="D28" s="10">
        <v>0</v>
      </c>
      <c r="E28" s="4">
        <f t="shared" si="1"/>
        <v>0</v>
      </c>
      <c r="F28" s="4">
        <f t="shared" si="2"/>
        <v>192</v>
      </c>
      <c r="G28" s="4">
        <f t="shared" si="3"/>
        <v>0</v>
      </c>
      <c r="H28" s="15">
        <f>(SQRT(4*I27*I27*V*V + 'Drilling Spec'!$C$42*I27 + W*('Drilling Spec'!$C$43 + 2*l*V*(s*W + 2*V*G28/(1+e)) + 'Drilling Spec'!$C$44)) - 'Drilling Spec'!$C$45)/(2*V)</f>
        <v>273.38359589594342</v>
      </c>
      <c r="I28" s="23">
        <f>IF(AND(OR(I27=0,I27=""),F28=0),IF(F29=0,"",'Drilling Spec'!$C$26),H28)</f>
        <v>273.38359589594342</v>
      </c>
      <c r="J28" s="16">
        <f>MAX(0,I28-'Drilling Spec'!$C$30)</f>
        <v>193.38359589594342</v>
      </c>
      <c r="K28" s="18">
        <f>IFERROR(J28/'Drilling Spec'!$C$31,0)</f>
        <v>12.892239726396229</v>
      </c>
      <c r="L28" s="21">
        <f t="shared" si="4"/>
        <v>0</v>
      </c>
      <c r="M28" s="4">
        <f t="shared" si="14"/>
        <v>0</v>
      </c>
      <c r="N28" s="21">
        <f t="shared" si="5"/>
        <v>0</v>
      </c>
      <c r="O28" s="18">
        <f>(SQRT(4*O27*O27*vB*vB + 'Drilling Spec'!$C$48*O27 + WB*('Drilling Spec'!$C$49 + 2*lB*vB*(sB*WB + 2*vB*N28/(1+eB)) + 'Drilling Spec'!$C$50)) - 'Drilling Spec'!$C$51)/(2*vB)</f>
        <v>0</v>
      </c>
      <c r="P28" s="18">
        <f>IFERROR(((S28-'Drilling Spec'!$C$30)/'Drilling Spec'!$C$31)*'Drilling Spec'!$C$32,0)</f>
        <v>0</v>
      </c>
      <c r="Q28" s="18">
        <f t="shared" si="15"/>
        <v>0</v>
      </c>
      <c r="R28" s="18"/>
      <c r="S28" s="26" t="str">
        <f>IF(AND(OR(T27=0,T27=""),M28=0),IF(M29=0,"",'Drilling Spec'!$C$30),O28)</f>
        <v/>
      </c>
      <c r="U28" s="15">
        <f>E28*'Drilling Spec'!$C$22 + L28*'Drilling Spec'!$C$23</f>
        <v>0</v>
      </c>
      <c r="V28" s="15">
        <f t="shared" si="16"/>
        <v>3.8478048780487808</v>
      </c>
      <c r="W28" s="15">
        <f t="shared" si="6"/>
        <v>2.1521951219512188</v>
      </c>
      <c r="X28" s="10"/>
      <c r="Y28" s="30">
        <f>IF(W28&lt;U29,'Drilling Spec'!$C$35,0)</f>
        <v>0</v>
      </c>
      <c r="AA28" s="4">
        <f t="shared" si="19"/>
        <v>16</v>
      </c>
      <c r="AB28" s="10"/>
      <c r="AC28" s="30">
        <f>IF('04-07-25-Scen3-Good,24-16hr'!K29&gt;'04-07-25-Scen3-Good,24-16hr'!AA28,'Drilling Spec'!$C$36,)</f>
        <v>0</v>
      </c>
      <c r="AE28" s="18">
        <f>(I28-'Drilling Spec'!$C$26)/'Drilling Spec'!$C$38</f>
        <v>33.897265982657238</v>
      </c>
      <c r="AF28" s="18">
        <f t="shared" si="7"/>
        <v>0</v>
      </c>
      <c r="AG28" s="34">
        <f t="shared" si="8"/>
        <v>13.897265982657238</v>
      </c>
      <c r="AH28" s="10"/>
      <c r="AI28" s="26">
        <f>IF(C28="Camp Closed",AG28,IF(AG28&lt;'Drilling Spec'!$C$39,,'Drilling Spec'!$C$39))</f>
        <v>0</v>
      </c>
      <c r="AL28" s="16">
        <f t="shared" si="9"/>
        <v>-273.38359589594342</v>
      </c>
      <c r="AM28" s="16" t="e">
        <f t="shared" si="10"/>
        <v>#N/A</v>
      </c>
      <c r="AN28">
        <f>-'Drilling Spec'!$C$29</f>
        <v>-720</v>
      </c>
      <c r="AO28">
        <f>-'Drilling Spec'!$C$27</f>
        <v>-624</v>
      </c>
      <c r="AP28">
        <f>-'Drilling Spec'!$C$28</f>
        <v>-688</v>
      </c>
      <c r="AQ28" t="e">
        <f t="shared" si="11"/>
        <v>#N/A</v>
      </c>
      <c r="AR28" t="e">
        <f>IF(X28=0,NA(),-'Drilling Spec'!$C$29*0.1)</f>
        <v>#N/A</v>
      </c>
      <c r="AS28" t="e">
        <f>IF(Y28=0,NA(),-'Drilling Spec'!$C$29*0.1)</f>
        <v>#N/A</v>
      </c>
      <c r="AT28" t="e">
        <f>IF(AB28=0,NA(),-'Drilling Spec'!$C$29*0.2)</f>
        <v>#N/A</v>
      </c>
      <c r="AU28" t="e">
        <f>IF(AC28=0,NA(),-'Drilling Spec'!$C$29*0.2)</f>
        <v>#N/A</v>
      </c>
      <c r="AV28" t="e">
        <f>IF(AH28=0,NA(),-'Drilling Spec'!$C$29*0.3)</f>
        <v>#N/A</v>
      </c>
      <c r="AW28" t="e">
        <f>IF(AI28=0,NA(),-'Drilling Spec'!$C$29*0.3)</f>
        <v>#N/A</v>
      </c>
      <c r="AX28" s="29">
        <f t="shared" si="12"/>
        <v>2.1521951219512188</v>
      </c>
      <c r="AY28" s="29">
        <f t="shared" si="13"/>
        <v>3.1077602736037715</v>
      </c>
      <c r="AZ28" s="29">
        <f t="shared" si="17"/>
        <v>13.897265982657238</v>
      </c>
      <c r="BS28" s="35"/>
      <c r="BT28" s="39"/>
      <c r="BU28" s="39"/>
      <c r="BV28" s="39"/>
      <c r="BW28" s="39"/>
      <c r="BX28" s="39"/>
      <c r="BY28" s="39"/>
      <c r="BZ28" s="39"/>
      <c r="CA28" s="39"/>
    </row>
    <row r="29" spans="1:79" x14ac:dyDescent="0.35">
      <c r="A29" s="28">
        <f t="shared" si="18"/>
        <v>45999</v>
      </c>
      <c r="B29" t="str">
        <f t="shared" si="0"/>
        <v>Mon</v>
      </c>
      <c r="C29" s="10" t="s">
        <v>9</v>
      </c>
      <c r="D29" s="10">
        <v>24</v>
      </c>
      <c r="E29" s="4">
        <f t="shared" si="1"/>
        <v>24</v>
      </c>
      <c r="F29" s="4">
        <f t="shared" si="2"/>
        <v>216</v>
      </c>
      <c r="G29" s="4">
        <f t="shared" si="3"/>
        <v>1440</v>
      </c>
      <c r="H29" s="15">
        <f>(SQRT(4*I28*I28*V*V + 'Drilling Spec'!$C$42*I28 + W*('Drilling Spec'!$C$43 + 2*l*V*(s*W + 2*V*G29/(1+e)) + 'Drilling Spec'!$C$44)) - 'Drilling Spec'!$C$45)/(2*V)</f>
        <v>295.28363443552161</v>
      </c>
      <c r="I29" s="23">
        <f>IF(AND(OR(I28=0,I28=""),F29=0),IF(F30=0,"",'Drilling Spec'!$C$26),H29)</f>
        <v>295.28363443552161</v>
      </c>
      <c r="J29" s="16">
        <f>MAX(0,I29-'Drilling Spec'!$C$30)</f>
        <v>215.28363443552161</v>
      </c>
      <c r="K29" s="18">
        <f>IFERROR(J29/'Drilling Spec'!$C$31,0)</f>
        <v>14.352242295701441</v>
      </c>
      <c r="L29" s="21">
        <f t="shared" si="4"/>
        <v>0</v>
      </c>
      <c r="M29" s="4">
        <f t="shared" si="14"/>
        <v>0</v>
      </c>
      <c r="N29" s="21">
        <f t="shared" si="5"/>
        <v>0</v>
      </c>
      <c r="O29" s="18">
        <f>(SQRT(4*O28*O28*vB*vB + 'Drilling Spec'!$C$48*O28 + WB*('Drilling Spec'!$C$49 + 2*lB*vB*(sB*WB + 2*vB*N29/(1+eB)) + 'Drilling Spec'!$C$50)) - 'Drilling Spec'!$C$51)/(2*vB)</f>
        <v>0</v>
      </c>
      <c r="P29" s="18">
        <f>IFERROR(((S29-'Drilling Spec'!$C$30)/'Drilling Spec'!$C$31)*'Drilling Spec'!$C$32,0)</f>
        <v>0</v>
      </c>
      <c r="Q29" s="18">
        <f t="shared" si="15"/>
        <v>0</v>
      </c>
      <c r="R29" s="18"/>
      <c r="S29" s="26" t="str">
        <f>IF(AND(OR(T28=0,T28=""),M29=0),IF(M30=0,"",'Drilling Spec'!$C$30),O29)</f>
        <v/>
      </c>
      <c r="U29" s="15">
        <f>E29*'Drilling Spec'!$C$22 + L29*'Drilling Spec'!$C$23</f>
        <v>0.4809756097560976</v>
      </c>
      <c r="V29" s="15">
        <f t="shared" si="16"/>
        <v>4.3287804878048783</v>
      </c>
      <c r="W29" s="15">
        <f t="shared" si="6"/>
        <v>1.6712195121951212</v>
      </c>
      <c r="X29" s="10"/>
      <c r="Y29" s="30">
        <f>IF(W29&lt;U30,'Drilling Spec'!$C$35,0)</f>
        <v>0</v>
      </c>
      <c r="AA29" s="4">
        <f t="shared" si="19"/>
        <v>16</v>
      </c>
      <c r="AB29" s="10"/>
      <c r="AC29" s="30">
        <f>IF('04-07-25-Scen3-Good,24-16hr'!K30&gt;'04-07-25-Scen3-Good,24-16hr'!AA29,'Drilling Spec'!$C$36,)</f>
        <v>0</v>
      </c>
      <c r="AE29" s="18">
        <f>(I29-'Drilling Spec'!$C$26)/'Drilling Spec'!$C$38</f>
        <v>37.547272405920268</v>
      </c>
      <c r="AF29" s="18">
        <f t="shared" si="7"/>
        <v>3.6500064232630294</v>
      </c>
      <c r="AG29" s="34">
        <f t="shared" si="8"/>
        <v>17.547272405920268</v>
      </c>
      <c r="AH29" s="10"/>
      <c r="AI29" s="26">
        <f>IF(C29="Camp Closed",AG29,IF(AG29&lt;'Drilling Spec'!$C$39,,'Drilling Spec'!$C$39))</f>
        <v>0</v>
      </c>
      <c r="AL29" s="16">
        <f t="shared" si="9"/>
        <v>-295.28363443552161</v>
      </c>
      <c r="AM29" s="16" t="e">
        <f t="shared" si="10"/>
        <v>#N/A</v>
      </c>
      <c r="AN29">
        <f>-'Drilling Spec'!$C$29</f>
        <v>-720</v>
      </c>
      <c r="AO29">
        <f>-'Drilling Spec'!$C$27</f>
        <v>-624</v>
      </c>
      <c r="AP29">
        <f>-'Drilling Spec'!$C$28</f>
        <v>-688</v>
      </c>
      <c r="AQ29" t="e">
        <f t="shared" si="11"/>
        <v>#N/A</v>
      </c>
      <c r="AR29" t="e">
        <f>IF(X29=0,NA(),-'Drilling Spec'!$C$29*0.1)</f>
        <v>#N/A</v>
      </c>
      <c r="AS29" t="e">
        <f>IF(Y29=0,NA(),-'Drilling Spec'!$C$29*0.1)</f>
        <v>#N/A</v>
      </c>
      <c r="AT29" t="e">
        <f>IF(AB29=0,NA(),-'Drilling Spec'!$C$29*0.2)</f>
        <v>#N/A</v>
      </c>
      <c r="AU29" t="e">
        <f>IF(AC29=0,NA(),-'Drilling Spec'!$C$29*0.2)</f>
        <v>#N/A</v>
      </c>
      <c r="AV29" t="e">
        <f>IF(AH29=0,NA(),-'Drilling Spec'!$C$29*0.3)</f>
        <v>#N/A</v>
      </c>
      <c r="AW29" t="e">
        <f>IF(AI29=0,NA(),-'Drilling Spec'!$C$29*0.3)</f>
        <v>#N/A</v>
      </c>
      <c r="AX29" s="29">
        <f t="shared" si="12"/>
        <v>1.6712195121951212</v>
      </c>
      <c r="AY29" s="29">
        <f t="shared" si="13"/>
        <v>1.6477577042985594</v>
      </c>
      <c r="AZ29" s="29">
        <f t="shared" si="17"/>
        <v>17.547272405920268</v>
      </c>
      <c r="BS29" s="35"/>
      <c r="BT29" s="39"/>
      <c r="BU29" s="39"/>
      <c r="BV29" s="39"/>
      <c r="BW29" s="39"/>
      <c r="BX29" s="39"/>
      <c r="BY29" s="39"/>
      <c r="BZ29" s="39"/>
      <c r="CA29" s="39"/>
    </row>
    <row r="30" spans="1:79" x14ac:dyDescent="0.35">
      <c r="A30" s="28">
        <f t="shared" si="18"/>
        <v>46000</v>
      </c>
      <c r="B30" t="str">
        <f t="shared" si="0"/>
        <v>Tue</v>
      </c>
      <c r="C30" s="10" t="s">
        <v>9</v>
      </c>
      <c r="D30" s="10">
        <v>24</v>
      </c>
      <c r="E30" s="4">
        <f t="shared" si="1"/>
        <v>24</v>
      </c>
      <c r="F30" s="4">
        <f t="shared" si="2"/>
        <v>240</v>
      </c>
      <c r="G30" s="4">
        <f t="shared" si="3"/>
        <v>1440</v>
      </c>
      <c r="H30" s="15">
        <f>(SQRT(4*I29*I29*V*V + 'Drilling Spec'!$C$42*I29 + W*('Drilling Spec'!$C$43 + 2*l*V*(s*W + 2*V*G30/(1+e)) + 'Drilling Spec'!$C$44)) - 'Drilling Spec'!$C$45)/(2*V)</f>
        <v>316.6163817101509</v>
      </c>
      <c r="I30" s="23">
        <f>IF(AND(OR(I29=0,I29=""),F30=0),IF(F31=0,"",'Drilling Spec'!$C$26),H30)</f>
        <v>316.6163817101509</v>
      </c>
      <c r="J30" s="16">
        <f>MAX(0,I30-'Drilling Spec'!$C$30)</f>
        <v>236.6163817101509</v>
      </c>
      <c r="K30" s="18">
        <f>IFERROR(J30/'Drilling Spec'!$C$31,0)</f>
        <v>15.774425447343393</v>
      </c>
      <c r="L30" s="21">
        <f t="shared" si="4"/>
        <v>0</v>
      </c>
      <c r="M30" s="4">
        <f t="shared" si="14"/>
        <v>0</v>
      </c>
      <c r="N30" s="21">
        <f t="shared" si="5"/>
        <v>0</v>
      </c>
      <c r="O30" s="18">
        <f>(SQRT(4*O29*O29*vB*vB + 'Drilling Spec'!$C$48*O29 + WB*('Drilling Spec'!$C$49 + 2*lB*vB*(sB*WB + 2*vB*N30/(1+eB)) + 'Drilling Spec'!$C$50)) - 'Drilling Spec'!$C$51)/(2*vB)</f>
        <v>0</v>
      </c>
      <c r="P30" s="18">
        <f>IFERROR(((S30-'Drilling Spec'!$C$30)/'Drilling Spec'!$C$31)*'Drilling Spec'!$C$32,0)</f>
        <v>0</v>
      </c>
      <c r="Q30" s="18">
        <f t="shared" si="15"/>
        <v>0</v>
      </c>
      <c r="R30" s="18"/>
      <c r="S30" s="26" t="str">
        <f>IF(AND(OR(T29=0,T29=""),M30=0),IF(M31=0,"",'Drilling Spec'!$C$30),O30)</f>
        <v/>
      </c>
      <c r="U30" s="15">
        <f>E30*'Drilling Spec'!$C$22 + L30*'Drilling Spec'!$C$23</f>
        <v>0.4809756097560976</v>
      </c>
      <c r="V30" s="15">
        <f t="shared" si="16"/>
        <v>4.8097560975609763</v>
      </c>
      <c r="W30" s="15">
        <f t="shared" si="6"/>
        <v>1.1902439024390237</v>
      </c>
      <c r="X30" s="10"/>
      <c r="Y30" s="30">
        <f>IF(W30&lt;U31,'Drilling Spec'!$C$35,0)</f>
        <v>0</v>
      </c>
      <c r="AA30" s="4">
        <f t="shared" si="19"/>
        <v>16</v>
      </c>
      <c r="AB30" s="10"/>
      <c r="AC30" s="30">
        <f>IF('04-07-25-Scen3-Good,24-16hr'!K31&gt;'04-07-25-Scen3-Good,24-16hr'!AA30,'Drilling Spec'!$C$36,)</f>
        <v>6</v>
      </c>
      <c r="AE30" s="18">
        <f>(I30-'Drilling Spec'!$C$26)/'Drilling Spec'!$C$38</f>
        <v>41.102730285025153</v>
      </c>
      <c r="AF30" s="18">
        <f t="shared" si="7"/>
        <v>3.5554578791048854</v>
      </c>
      <c r="AG30" s="34">
        <f t="shared" si="8"/>
        <v>21.102730285025153</v>
      </c>
      <c r="AH30" s="10"/>
      <c r="AI30" s="26">
        <f>IF(C30="Camp Closed",AG30,IF(AG30&lt;'Drilling Spec'!$C$39,,'Drilling Spec'!$C$39))</f>
        <v>20</v>
      </c>
      <c r="AL30" s="16">
        <f t="shared" si="9"/>
        <v>-316.6163817101509</v>
      </c>
      <c r="AM30" s="16" t="e">
        <f t="shared" si="10"/>
        <v>#N/A</v>
      </c>
      <c r="AN30">
        <f>-'Drilling Spec'!$C$29</f>
        <v>-720</v>
      </c>
      <c r="AO30">
        <f>-'Drilling Spec'!$C$27</f>
        <v>-624</v>
      </c>
      <c r="AP30">
        <f>-'Drilling Spec'!$C$28</f>
        <v>-688</v>
      </c>
      <c r="AQ30" t="e">
        <f t="shared" si="11"/>
        <v>#N/A</v>
      </c>
      <c r="AR30" t="e">
        <f>IF(X30=0,NA(),-'Drilling Spec'!$C$29*0.1)</f>
        <v>#N/A</v>
      </c>
      <c r="AS30" t="e">
        <f>IF(Y30=0,NA(),-'Drilling Spec'!$C$29*0.1)</f>
        <v>#N/A</v>
      </c>
      <c r="AT30" t="e">
        <f>IF(AB30=0,NA(),-'Drilling Spec'!$C$29*0.2)</f>
        <v>#N/A</v>
      </c>
      <c r="AU30">
        <f>IF(AC30=0,NA(),-'Drilling Spec'!$C$29*0.2)</f>
        <v>-144</v>
      </c>
      <c r="AV30" t="e">
        <f>IF(AH30=0,NA(),-'Drilling Spec'!$C$29*0.3)</f>
        <v>#N/A</v>
      </c>
      <c r="AW30">
        <f>IF(AI30=0,NA(),-'Drilling Spec'!$C$29*0.3)</f>
        <v>-216</v>
      </c>
      <c r="AX30" s="29">
        <f t="shared" si="12"/>
        <v>1.1902439024390237</v>
      </c>
      <c r="AY30" s="29">
        <f t="shared" si="13"/>
        <v>0.22557455265660664</v>
      </c>
      <c r="AZ30" s="29">
        <f t="shared" si="17"/>
        <v>21.102730285025153</v>
      </c>
      <c r="BS30" s="35"/>
      <c r="BT30" s="39"/>
      <c r="BU30" s="39"/>
      <c r="BV30" s="39"/>
      <c r="BW30" s="39"/>
      <c r="BX30" s="39"/>
      <c r="BY30" s="39"/>
      <c r="BZ30" s="39"/>
      <c r="CA30" s="39"/>
    </row>
    <row r="31" spans="1:79" x14ac:dyDescent="0.35">
      <c r="A31" s="28">
        <f t="shared" si="18"/>
        <v>46001</v>
      </c>
      <c r="B31" t="str">
        <f t="shared" si="0"/>
        <v>Wed</v>
      </c>
      <c r="C31" s="10" t="s">
        <v>9</v>
      </c>
      <c r="D31" s="10">
        <v>24</v>
      </c>
      <c r="E31" s="4">
        <f t="shared" si="1"/>
        <v>24</v>
      </c>
      <c r="F31" s="4">
        <f t="shared" si="2"/>
        <v>264</v>
      </c>
      <c r="G31" s="4">
        <f t="shared" si="3"/>
        <v>1440</v>
      </c>
      <c r="H31" s="15">
        <f>(SQRT(4*I30*I30*V*V + 'Drilling Spec'!$C$42*I30 + W*('Drilling Spec'!$C$43 + 2*l*V*(s*W + 2*V*G31/(1+e)) + 'Drilling Spec'!$C$44)) - 'Drilling Spec'!$C$45)/(2*V)</f>
        <v>337.42376378429032</v>
      </c>
      <c r="I31" s="23">
        <f>IF(AND(OR(I30=0,I30=""),F31=0),IF(F32=0,"",'Drilling Spec'!$C$26),H31)</f>
        <v>337.42376378429032</v>
      </c>
      <c r="J31" s="16">
        <f>MAX(0,I31-'Drilling Spec'!$C$30)</f>
        <v>257.42376378429032</v>
      </c>
      <c r="K31" s="18">
        <f>IFERROR(J31/'Drilling Spec'!$C$31,0)</f>
        <v>17.161584252286023</v>
      </c>
      <c r="L31" s="21">
        <f t="shared" si="4"/>
        <v>0</v>
      </c>
      <c r="M31" s="4">
        <f t="shared" si="14"/>
        <v>0</v>
      </c>
      <c r="N31" s="21">
        <f t="shared" si="5"/>
        <v>0</v>
      </c>
      <c r="O31" s="18">
        <f>(SQRT(4*O30*O30*vB*vB + 'Drilling Spec'!$C$48*O30 + WB*('Drilling Spec'!$C$49 + 2*lB*vB*(sB*WB + 2*vB*N31/(1+eB)) + 'Drilling Spec'!$C$50)) - 'Drilling Spec'!$C$51)/(2*vB)</f>
        <v>0</v>
      </c>
      <c r="P31" s="18">
        <f>IFERROR(((S31-'Drilling Spec'!$C$30)/'Drilling Spec'!$C$31)*'Drilling Spec'!$C$32,0)</f>
        <v>0</v>
      </c>
      <c r="Q31" s="18">
        <f t="shared" si="15"/>
        <v>0</v>
      </c>
      <c r="R31" s="18"/>
      <c r="S31" s="26" t="str">
        <f>IF(AND(OR(T30=0,T30=""),M31=0),IF(M32=0,"",'Drilling Spec'!$C$30),O31)</f>
        <v/>
      </c>
      <c r="U31" s="15">
        <f>E31*'Drilling Spec'!$C$22 + L31*'Drilling Spec'!$C$23</f>
        <v>0.4809756097560976</v>
      </c>
      <c r="V31" s="15">
        <f t="shared" si="16"/>
        <v>5.2907317073170743</v>
      </c>
      <c r="W31" s="15">
        <f t="shared" si="6"/>
        <v>0.70926829268292613</v>
      </c>
      <c r="X31" s="10"/>
      <c r="Y31" s="30">
        <f>IF(W31&lt;U32,'Drilling Spec'!$C$35,0)</f>
        <v>0</v>
      </c>
      <c r="AA31" s="4">
        <f t="shared" si="19"/>
        <v>22</v>
      </c>
      <c r="AB31" s="10"/>
      <c r="AC31" s="30">
        <f>IF('04-07-25-Scen3-Good,24-16hr'!K32&gt;'04-07-25-Scen3-Good,24-16hr'!AA31,'Drilling Spec'!$C$36,)</f>
        <v>0</v>
      </c>
      <c r="AE31" s="18">
        <f>(I31-'Drilling Spec'!$C$26)/'Drilling Spec'!$C$38</f>
        <v>44.570627297381719</v>
      </c>
      <c r="AF31" s="18">
        <f t="shared" si="7"/>
        <v>3.4678970123565662</v>
      </c>
      <c r="AG31" s="34">
        <f t="shared" si="8"/>
        <v>4.5706272973817192</v>
      </c>
      <c r="AH31" s="10"/>
      <c r="AI31" s="26">
        <f>IF(C31="Camp Closed",AG31,IF(AG31&lt;'Drilling Spec'!$C$39,,'Drilling Spec'!$C$39))</f>
        <v>0</v>
      </c>
      <c r="AL31" s="16">
        <f t="shared" si="9"/>
        <v>-337.42376378429032</v>
      </c>
      <c r="AM31" s="16" t="e">
        <f t="shared" si="10"/>
        <v>#N/A</v>
      </c>
      <c r="AN31">
        <f>-'Drilling Spec'!$C$29</f>
        <v>-720</v>
      </c>
      <c r="AO31">
        <f>-'Drilling Spec'!$C$27</f>
        <v>-624</v>
      </c>
      <c r="AP31">
        <f>-'Drilling Spec'!$C$28</f>
        <v>-688</v>
      </c>
      <c r="AQ31" t="e">
        <f t="shared" si="11"/>
        <v>#N/A</v>
      </c>
      <c r="AR31" t="e">
        <f>IF(X31=0,NA(),-'Drilling Spec'!$C$29*0.1)</f>
        <v>#N/A</v>
      </c>
      <c r="AS31" t="e">
        <f>IF(Y31=0,NA(),-'Drilling Spec'!$C$29*0.1)</f>
        <v>#N/A</v>
      </c>
      <c r="AT31" t="e">
        <f>IF(AB31=0,NA(),-'Drilling Spec'!$C$29*0.2)</f>
        <v>#N/A</v>
      </c>
      <c r="AU31" t="e">
        <f>IF(AC31=0,NA(),-'Drilling Spec'!$C$29*0.2)</f>
        <v>#N/A</v>
      </c>
      <c r="AV31" t="e">
        <f>IF(AH31=0,NA(),-'Drilling Spec'!$C$29*0.3)</f>
        <v>#N/A</v>
      </c>
      <c r="AW31" t="e">
        <f>IF(AI31=0,NA(),-'Drilling Spec'!$C$29*0.3)</f>
        <v>#N/A</v>
      </c>
      <c r="AX31" s="29">
        <f t="shared" si="12"/>
        <v>0.70926829268292613</v>
      </c>
      <c r="AY31" s="29">
        <f t="shared" si="13"/>
        <v>4.8384157477139773</v>
      </c>
      <c r="AZ31" s="29">
        <f t="shared" si="17"/>
        <v>4.5706272973817192</v>
      </c>
      <c r="BS31" s="35"/>
      <c r="BT31" s="35"/>
      <c r="BU31" s="39" t="s">
        <v>189</v>
      </c>
      <c r="BV31" s="39"/>
      <c r="BW31" s="39"/>
      <c r="BX31" s="39"/>
      <c r="BY31" s="39"/>
      <c r="BZ31" s="39"/>
      <c r="CA31" s="39"/>
    </row>
    <row r="32" spans="1:79" x14ac:dyDescent="0.35">
      <c r="A32" s="28">
        <f t="shared" si="18"/>
        <v>46002</v>
      </c>
      <c r="B32" t="str">
        <f t="shared" si="0"/>
        <v>Thu</v>
      </c>
      <c r="C32" s="10" t="s">
        <v>9</v>
      </c>
      <c r="D32" s="10">
        <v>24</v>
      </c>
      <c r="E32" s="4">
        <f t="shared" si="1"/>
        <v>24</v>
      </c>
      <c r="F32" s="4">
        <f t="shared" si="2"/>
        <v>288</v>
      </c>
      <c r="G32" s="4">
        <f t="shared" si="3"/>
        <v>1440</v>
      </c>
      <c r="H32" s="15">
        <f>(SQRT(4*I31*I31*V*V + 'Drilling Spec'!$C$42*I31 + W*('Drilling Spec'!$C$43 + 2*l*V*(s*W + 2*V*G32/(1+e)) + 'Drilling Spec'!$C$44)) - 'Drilling Spec'!$C$45)/(2*V)</f>
        <v>357.74278357270839</v>
      </c>
      <c r="I32" s="23">
        <f>IF(AND(OR(I31=0,I31=""),F32=0),IF(F33=0,"",'Drilling Spec'!$C$26),H32)</f>
        <v>357.74278357270839</v>
      </c>
      <c r="J32" s="16">
        <f>MAX(0,I32-'Drilling Spec'!$C$30)</f>
        <v>277.74278357270839</v>
      </c>
      <c r="K32" s="18">
        <f>IFERROR(J32/'Drilling Spec'!$C$31,0)</f>
        <v>18.516185571513894</v>
      </c>
      <c r="L32" s="21">
        <f t="shared" si="4"/>
        <v>0</v>
      </c>
      <c r="M32" s="4">
        <f t="shared" si="14"/>
        <v>0</v>
      </c>
      <c r="N32" s="21">
        <f t="shared" si="5"/>
        <v>0</v>
      </c>
      <c r="O32" s="18">
        <f>(SQRT(4*O31*O31*vB*vB + 'Drilling Spec'!$C$48*O31 + WB*('Drilling Spec'!$C$49 + 2*lB*vB*(sB*WB + 2*vB*N32/(1+eB)) + 'Drilling Spec'!$C$50)) - 'Drilling Spec'!$C$51)/(2*vB)</f>
        <v>0</v>
      </c>
      <c r="P32" s="18">
        <f>IFERROR(((S32-'Drilling Spec'!$C$30)/'Drilling Spec'!$C$31)*'Drilling Spec'!$C$32,0)</f>
        <v>0</v>
      </c>
      <c r="Q32" s="18">
        <f t="shared" si="15"/>
        <v>0</v>
      </c>
      <c r="R32" s="18"/>
      <c r="S32" s="26" t="str">
        <f>IF(AND(OR(T31=0,T31=""),M32=0),IF(M33=0,"",'Drilling Spec'!$C$30),O32)</f>
        <v/>
      </c>
      <c r="U32" s="15">
        <f>E32*'Drilling Spec'!$C$22 + L32*'Drilling Spec'!$C$23</f>
        <v>0.4809756097560976</v>
      </c>
      <c r="V32" s="15">
        <f t="shared" si="16"/>
        <v>5.7717073170731723</v>
      </c>
      <c r="W32" s="15">
        <f t="shared" si="6"/>
        <v>0.22829268292682853</v>
      </c>
      <c r="X32" s="10"/>
      <c r="Y32" s="30">
        <f>IF(W32&lt;U33,'Drilling Spec'!$C$35,0)</f>
        <v>6</v>
      </c>
      <c r="AA32" s="4">
        <f t="shared" si="19"/>
        <v>22</v>
      </c>
      <c r="AB32" s="10"/>
      <c r="AC32" s="30">
        <f>IF('04-07-25-Scen3-Good,24-16hr'!K33&gt;'04-07-25-Scen3-Good,24-16hr'!AA32,'Drilling Spec'!$C$36,)</f>
        <v>0</v>
      </c>
      <c r="AE32" s="18">
        <f>(I32-'Drilling Spec'!$C$26)/'Drilling Spec'!$C$38</f>
        <v>47.957130595451396</v>
      </c>
      <c r="AF32" s="18">
        <f t="shared" si="7"/>
        <v>3.3865032980696768</v>
      </c>
      <c r="AG32" s="34">
        <f t="shared" si="8"/>
        <v>7.957130595451396</v>
      </c>
      <c r="AH32" s="10"/>
      <c r="AI32" s="26">
        <f>IF(C32="Camp Closed",AG32,IF(AG32&lt;'Drilling Spec'!$C$39,,'Drilling Spec'!$C$39))</f>
        <v>0</v>
      </c>
      <c r="AL32" s="16">
        <f t="shared" si="9"/>
        <v>-357.74278357270839</v>
      </c>
      <c r="AM32" s="16" t="e">
        <f t="shared" si="10"/>
        <v>#N/A</v>
      </c>
      <c r="AN32">
        <f>-'Drilling Spec'!$C$29</f>
        <v>-720</v>
      </c>
      <c r="AO32">
        <f>-'Drilling Spec'!$C$27</f>
        <v>-624</v>
      </c>
      <c r="AP32">
        <f>-'Drilling Spec'!$C$28</f>
        <v>-688</v>
      </c>
      <c r="AQ32" t="e">
        <f t="shared" si="11"/>
        <v>#N/A</v>
      </c>
      <c r="AR32" t="e">
        <f>IF(X32=0,NA(),-'Drilling Spec'!$C$29*0.1)</f>
        <v>#N/A</v>
      </c>
      <c r="AS32">
        <f>IF(Y32=0,NA(),-'Drilling Spec'!$C$29*0.1)</f>
        <v>-72</v>
      </c>
      <c r="AT32" t="e">
        <f>IF(AB32=0,NA(),-'Drilling Spec'!$C$29*0.2)</f>
        <v>#N/A</v>
      </c>
      <c r="AU32" t="e">
        <f>IF(AC32=0,NA(),-'Drilling Spec'!$C$29*0.2)</f>
        <v>#N/A</v>
      </c>
      <c r="AV32" t="e">
        <f>IF(AH32=0,NA(),-'Drilling Spec'!$C$29*0.3)</f>
        <v>#N/A</v>
      </c>
      <c r="AW32" t="e">
        <f>IF(AI32=0,NA(),-'Drilling Spec'!$C$29*0.3)</f>
        <v>#N/A</v>
      </c>
      <c r="AX32" s="29">
        <f t="shared" si="12"/>
        <v>0.22829268292682853</v>
      </c>
      <c r="AY32" s="29">
        <f t="shared" si="13"/>
        <v>3.4838144284861059</v>
      </c>
      <c r="AZ32" s="29">
        <f t="shared" si="17"/>
        <v>7.957130595451396</v>
      </c>
      <c r="BS32" s="35"/>
      <c r="BT32" s="35"/>
      <c r="BU32" s="39"/>
      <c r="BV32" s="39"/>
      <c r="BW32" s="39"/>
      <c r="BX32" s="39"/>
      <c r="BY32" s="39"/>
      <c r="BZ32" s="39"/>
      <c r="CA32" s="39"/>
    </row>
    <row r="33" spans="1:79" x14ac:dyDescent="0.35">
      <c r="A33" s="28">
        <f t="shared" si="18"/>
        <v>46003</v>
      </c>
      <c r="B33" t="str">
        <f t="shared" si="0"/>
        <v>Fri</v>
      </c>
      <c r="C33" s="10" t="s">
        <v>9</v>
      </c>
      <c r="D33" s="10">
        <v>24</v>
      </c>
      <c r="E33" s="4">
        <f t="shared" si="1"/>
        <v>24</v>
      </c>
      <c r="F33" s="4">
        <f t="shared" si="2"/>
        <v>312</v>
      </c>
      <c r="G33" s="4">
        <f t="shared" si="3"/>
        <v>1440</v>
      </c>
      <c r="H33" s="15">
        <f>(SQRT(4*I32*I32*V*V + 'Drilling Spec'!$C$42*I32 + W*('Drilling Spec'!$C$43 + 2*l*V*(s*W + 2*V*G33/(1+e)) + 'Drilling Spec'!$C$44)) - 'Drilling Spec'!$C$45)/(2*V)</f>
        <v>377.60629406387062</v>
      </c>
      <c r="I33" s="23">
        <f>IF(AND(OR(I32=0,I32=""),F33=0),IF(F34=0,"",'Drilling Spec'!$C$26),H33)</f>
        <v>377.60629406387062</v>
      </c>
      <c r="J33" s="16">
        <f>MAX(0,I33-'Drilling Spec'!$C$30)</f>
        <v>297.60629406387062</v>
      </c>
      <c r="K33" s="18">
        <f>IFERROR(J33/'Drilling Spec'!$C$31,0)</f>
        <v>19.840419604258042</v>
      </c>
      <c r="L33" s="21">
        <f t="shared" si="4"/>
        <v>0</v>
      </c>
      <c r="M33" s="4">
        <f t="shared" si="14"/>
        <v>0</v>
      </c>
      <c r="N33" s="21">
        <f t="shared" si="5"/>
        <v>0</v>
      </c>
      <c r="O33" s="18">
        <f>(SQRT(4*O32*O32*vB*vB + 'Drilling Spec'!$C$48*O32 + WB*('Drilling Spec'!$C$49 + 2*lB*vB*(sB*WB + 2*vB*N33/(1+eB)) + 'Drilling Spec'!$C$50)) - 'Drilling Spec'!$C$51)/(2*vB)</f>
        <v>0</v>
      </c>
      <c r="P33" s="18">
        <f>IFERROR(((S33-'Drilling Spec'!$C$30)/'Drilling Spec'!$C$31)*'Drilling Spec'!$C$32,0)</f>
        <v>0</v>
      </c>
      <c r="Q33" s="18">
        <f t="shared" si="15"/>
        <v>0</v>
      </c>
      <c r="R33" s="18"/>
      <c r="S33" s="26" t="str">
        <f>IF(AND(OR(T32=0,T32=""),M33=0),IF(M34=0,"",'Drilling Spec'!$C$30),O33)</f>
        <v/>
      </c>
      <c r="U33" s="15">
        <f>E33*'Drilling Spec'!$C$22 + L33*'Drilling Spec'!$C$23</f>
        <v>0.4809756097560976</v>
      </c>
      <c r="V33" s="15">
        <f t="shared" si="16"/>
        <v>6.2526829268292703</v>
      </c>
      <c r="W33" s="15">
        <f t="shared" si="6"/>
        <v>5.7473170731707306</v>
      </c>
      <c r="X33" s="10"/>
      <c r="Y33" s="30">
        <f>IF(W33&lt;U34,'Drilling Spec'!$C$35,0)</f>
        <v>0</v>
      </c>
      <c r="AA33" s="4">
        <f t="shared" si="19"/>
        <v>22</v>
      </c>
      <c r="AB33" s="10"/>
      <c r="AC33" s="30">
        <f>IF('04-07-25-Scen3-Good,24-16hr'!K34&gt;'04-07-25-Scen3-Good,24-16hr'!AA33,'Drilling Spec'!$C$36,)</f>
        <v>0</v>
      </c>
      <c r="AE33" s="18">
        <f>(I33-'Drilling Spec'!$C$26)/'Drilling Spec'!$C$38</f>
        <v>51.26771567731177</v>
      </c>
      <c r="AF33" s="18">
        <f t="shared" si="7"/>
        <v>3.3105850818603741</v>
      </c>
      <c r="AG33" s="34">
        <f t="shared" si="8"/>
        <v>11.26771567731177</v>
      </c>
      <c r="AH33" s="10"/>
      <c r="AI33" s="26">
        <f>IF(C33="Camp Closed",AG33,IF(AG33&lt;'Drilling Spec'!$C$39,,'Drilling Spec'!$C$39))</f>
        <v>0</v>
      </c>
      <c r="AL33" s="16">
        <f t="shared" si="9"/>
        <v>-377.60629406387062</v>
      </c>
      <c r="AM33" s="16" t="e">
        <f t="shared" si="10"/>
        <v>#N/A</v>
      </c>
      <c r="AN33">
        <f>-'Drilling Spec'!$C$29</f>
        <v>-720</v>
      </c>
      <c r="AO33">
        <f>-'Drilling Spec'!$C$27</f>
        <v>-624</v>
      </c>
      <c r="AP33">
        <f>-'Drilling Spec'!$C$28</f>
        <v>-688</v>
      </c>
      <c r="AQ33" t="e">
        <f t="shared" si="11"/>
        <v>#N/A</v>
      </c>
      <c r="AR33" t="e">
        <f>IF(X33=0,NA(),-'Drilling Spec'!$C$29*0.1)</f>
        <v>#N/A</v>
      </c>
      <c r="AS33" t="e">
        <f>IF(Y33=0,NA(),-'Drilling Spec'!$C$29*0.1)</f>
        <v>#N/A</v>
      </c>
      <c r="AT33" t="e">
        <f>IF(AB33=0,NA(),-'Drilling Spec'!$C$29*0.2)</f>
        <v>#N/A</v>
      </c>
      <c r="AU33" t="e">
        <f>IF(AC33=0,NA(),-'Drilling Spec'!$C$29*0.2)</f>
        <v>#N/A</v>
      </c>
      <c r="AV33" t="e">
        <f>IF(AH33=0,NA(),-'Drilling Spec'!$C$29*0.3)</f>
        <v>#N/A</v>
      </c>
      <c r="AW33" t="e">
        <f>IF(AI33=0,NA(),-'Drilling Spec'!$C$29*0.3)</f>
        <v>#N/A</v>
      </c>
      <c r="AX33" s="29">
        <f t="shared" si="12"/>
        <v>5.7473170731707306</v>
      </c>
      <c r="AY33" s="29">
        <f t="shared" si="13"/>
        <v>2.1595803957419584</v>
      </c>
      <c r="AZ33" s="29">
        <f t="shared" si="17"/>
        <v>11.26771567731177</v>
      </c>
      <c r="BS33" s="35"/>
      <c r="BT33" s="35"/>
      <c r="BU33" s="38" t="s">
        <v>191</v>
      </c>
      <c r="BV33" s="38"/>
      <c r="BW33" s="38"/>
      <c r="BX33" s="38"/>
      <c r="BY33" s="38"/>
      <c r="BZ33" s="38"/>
      <c r="CA33" s="38"/>
    </row>
    <row r="34" spans="1:79" x14ac:dyDescent="0.35">
      <c r="A34" s="28">
        <f t="shared" si="18"/>
        <v>46004</v>
      </c>
      <c r="B34" t="str">
        <f t="shared" si="0"/>
        <v>Sat</v>
      </c>
      <c r="C34" s="10" t="s">
        <v>9</v>
      </c>
      <c r="D34" s="10">
        <v>24</v>
      </c>
      <c r="E34" s="4">
        <f t="shared" si="1"/>
        <v>24</v>
      </c>
      <c r="F34" s="4">
        <f t="shared" si="2"/>
        <v>336</v>
      </c>
      <c r="G34" s="4">
        <f t="shared" si="3"/>
        <v>1440</v>
      </c>
      <c r="H34" s="15">
        <f>(SQRT(4*I33*I33*V*V + 'Drilling Spec'!$C$42*I33 + W*('Drilling Spec'!$C$43 + 2*l*V*(s*W + 2*V*G34/(1+e)) + 'Drilling Spec'!$C$44)) - 'Drilling Spec'!$C$45)/(2*V)</f>
        <v>397.04362207560342</v>
      </c>
      <c r="I34" s="23">
        <f>IF(AND(OR(I33=0,I33=""),F34=0),IF(F35=0,"",'Drilling Spec'!$C$26),H34)</f>
        <v>397.04362207560342</v>
      </c>
      <c r="J34" s="16">
        <f>MAX(0,I34-'Drilling Spec'!$C$30)</f>
        <v>317.04362207560342</v>
      </c>
      <c r="K34" s="18">
        <f>IFERROR(J34/'Drilling Spec'!$C$31,0)</f>
        <v>21.136241471706896</v>
      </c>
      <c r="L34" s="21">
        <f t="shared" si="4"/>
        <v>0</v>
      </c>
      <c r="M34" s="4">
        <f t="shared" si="14"/>
        <v>0</v>
      </c>
      <c r="N34" s="21">
        <f t="shared" si="5"/>
        <v>0</v>
      </c>
      <c r="O34" s="18">
        <f>(SQRT(4*O33*O33*vB*vB + 'Drilling Spec'!$C$48*O33 + WB*('Drilling Spec'!$C$49 + 2*lB*vB*(sB*WB + 2*vB*N34/(1+eB)) + 'Drilling Spec'!$C$50)) - 'Drilling Spec'!$C$51)/(2*vB)</f>
        <v>0</v>
      </c>
      <c r="P34" s="18">
        <f>IFERROR(((S34-'Drilling Spec'!$C$30)/'Drilling Spec'!$C$31)*'Drilling Spec'!$C$32,0)</f>
        <v>0</v>
      </c>
      <c r="Q34" s="18">
        <f t="shared" si="15"/>
        <v>0</v>
      </c>
      <c r="R34" s="18"/>
      <c r="S34" s="26" t="str">
        <f>IF(AND(OR(T33=0,T33=""),M34=0),IF(M35=0,"",'Drilling Spec'!$C$30),O34)</f>
        <v/>
      </c>
      <c r="U34" s="15">
        <f>E34*'Drilling Spec'!$C$22 + L34*'Drilling Spec'!$C$23</f>
        <v>0.4809756097560976</v>
      </c>
      <c r="V34" s="15">
        <f t="shared" si="16"/>
        <v>6.7336585365853683</v>
      </c>
      <c r="W34" s="15">
        <f t="shared" si="6"/>
        <v>5.2663414634146326</v>
      </c>
      <c r="X34" s="10"/>
      <c r="Y34" s="30">
        <f>IF(W34&lt;U35,'Drilling Spec'!$C$35,0)</f>
        <v>0</v>
      </c>
      <c r="AA34" s="4">
        <f t="shared" si="19"/>
        <v>22</v>
      </c>
      <c r="AB34" s="10"/>
      <c r="AC34" s="30">
        <f>IF('04-07-25-Scen3-Good,24-16hr'!K35&gt;'04-07-25-Scen3-Good,24-16hr'!AA34,'Drilling Spec'!$C$36,)</f>
        <v>0</v>
      </c>
      <c r="AE34" s="18">
        <f>(I34-'Drilling Spec'!$C$26)/'Drilling Spec'!$C$38</f>
        <v>54.507270345933904</v>
      </c>
      <c r="AF34" s="18">
        <f t="shared" si="7"/>
        <v>3.2395546686221337</v>
      </c>
      <c r="AG34" s="34">
        <f t="shared" si="8"/>
        <v>14.507270345933904</v>
      </c>
      <c r="AH34" s="10"/>
      <c r="AI34" s="26">
        <f>IF(C34="Camp Closed",AG34,IF(AG34&lt;'Drilling Spec'!$C$39,,'Drilling Spec'!$C$39))</f>
        <v>0</v>
      </c>
      <c r="AL34" s="16">
        <f t="shared" si="9"/>
        <v>-397.04362207560342</v>
      </c>
      <c r="AM34" s="16" t="e">
        <f t="shared" si="10"/>
        <v>#N/A</v>
      </c>
      <c r="AN34">
        <f>-'Drilling Spec'!$C$29</f>
        <v>-720</v>
      </c>
      <c r="AO34">
        <f>-'Drilling Spec'!$C$27</f>
        <v>-624</v>
      </c>
      <c r="AP34">
        <f>-'Drilling Spec'!$C$28</f>
        <v>-688</v>
      </c>
      <c r="AQ34" t="e">
        <f t="shared" si="11"/>
        <v>#N/A</v>
      </c>
      <c r="AR34" t="e">
        <f>IF(X34=0,NA(),-'Drilling Spec'!$C$29*0.1)</f>
        <v>#N/A</v>
      </c>
      <c r="AS34" t="e">
        <f>IF(Y34=0,NA(),-'Drilling Spec'!$C$29*0.1)</f>
        <v>#N/A</v>
      </c>
      <c r="AT34" t="e">
        <f>IF(AB34=0,NA(),-'Drilling Spec'!$C$29*0.2)</f>
        <v>#N/A</v>
      </c>
      <c r="AU34" t="e">
        <f>IF(AC34=0,NA(),-'Drilling Spec'!$C$29*0.2)</f>
        <v>#N/A</v>
      </c>
      <c r="AV34" t="e">
        <f>IF(AH34=0,NA(),-'Drilling Spec'!$C$29*0.3)</f>
        <v>#N/A</v>
      </c>
      <c r="AW34" t="e">
        <f>IF(AI34=0,NA(),-'Drilling Spec'!$C$29*0.3)</f>
        <v>#N/A</v>
      </c>
      <c r="AX34" s="29">
        <f t="shared" si="12"/>
        <v>5.2663414634146326</v>
      </c>
      <c r="AY34" s="29">
        <f t="shared" si="13"/>
        <v>0.86375852829310418</v>
      </c>
      <c r="AZ34" s="29">
        <f t="shared" si="17"/>
        <v>14.507270345933904</v>
      </c>
      <c r="BS34" s="35"/>
      <c r="BT34" s="35"/>
      <c r="BU34" s="38"/>
      <c r="BV34" s="38"/>
      <c r="BW34" s="38"/>
      <c r="BX34" s="38"/>
      <c r="BY34" s="38"/>
      <c r="BZ34" s="38"/>
      <c r="CA34" s="38"/>
    </row>
    <row r="35" spans="1:79" x14ac:dyDescent="0.35">
      <c r="A35" s="28">
        <f t="shared" si="18"/>
        <v>46005</v>
      </c>
      <c r="B35" t="str">
        <f t="shared" si="0"/>
        <v>Sun</v>
      </c>
      <c r="C35" s="10" t="s">
        <v>7</v>
      </c>
      <c r="D35" s="10">
        <v>0</v>
      </c>
      <c r="E35" s="4">
        <f t="shared" si="1"/>
        <v>0</v>
      </c>
      <c r="F35" s="4">
        <f t="shared" ref="F35:F66" si="20">(F34+E35)</f>
        <v>336</v>
      </c>
      <c r="G35" s="4">
        <f t="shared" si="3"/>
        <v>0</v>
      </c>
      <c r="H35" s="15">
        <f>(SQRT(4*I34*I34*V*V + 'Drilling Spec'!$C$42*I34 + W*('Drilling Spec'!$C$43 + 2*l*V*(s*W + 2*V*G35/(1+e)) + 'Drilling Spec'!$C$44)) - 'Drilling Spec'!$C$45)/(2*V)</f>
        <v>397.04362207560354</v>
      </c>
      <c r="I35" s="23">
        <f>IF(AND(OR(I34=0,I34=""),F35=0),IF(F36=0,"",'Drilling Spec'!$C$26),H35)</f>
        <v>397.04362207560354</v>
      </c>
      <c r="J35" s="16">
        <f>MAX(0,I35-'Drilling Spec'!$C$30)</f>
        <v>317.04362207560354</v>
      </c>
      <c r="K35" s="18">
        <f>IFERROR(J35/'Drilling Spec'!$C$31,0)</f>
        <v>21.136241471706903</v>
      </c>
      <c r="L35" s="21">
        <f t="shared" ref="L35:L66" si="21">IF(C35="Bailing",D35,0)</f>
        <v>0</v>
      </c>
      <c r="M35" s="4">
        <f t="shared" si="14"/>
        <v>0</v>
      </c>
      <c r="N35" s="21">
        <f t="shared" si="5"/>
        <v>0</v>
      </c>
      <c r="O35" s="18">
        <f>(SQRT(4*O34*O34*vB*vB + 'Drilling Spec'!$C$48*O34 + WB*('Drilling Spec'!$C$49 + 2*lB*vB*(sB*WB + 2*vB*N35/(1+eB)) + 'Drilling Spec'!$C$50)) - 'Drilling Spec'!$C$51)/(2*vB)</f>
        <v>0</v>
      </c>
      <c r="P35" s="18">
        <f>IFERROR(((S35-'Drilling Spec'!$C$30)/'Drilling Spec'!$C$31)*'Drilling Spec'!$C$32,0)</f>
        <v>0</v>
      </c>
      <c r="Q35" s="18">
        <f t="shared" si="15"/>
        <v>0</v>
      </c>
      <c r="R35" s="18"/>
      <c r="S35" s="26" t="str">
        <f>IF(AND(OR(T34=0,T34=""),M35=0),IF(M36=0,"",'Drilling Spec'!$C$30),O35)</f>
        <v/>
      </c>
      <c r="U35" s="15">
        <f>E35*'Drilling Spec'!$C$22 + L35*'Drilling Spec'!$C$23</f>
        <v>0</v>
      </c>
      <c r="V35" s="15">
        <f t="shared" si="16"/>
        <v>6.7336585365853683</v>
      </c>
      <c r="W35" s="15">
        <f t="shared" si="6"/>
        <v>5.2663414634146326</v>
      </c>
      <c r="X35" s="10"/>
      <c r="Y35" s="30">
        <f>IF(W35&lt;U36,'Drilling Spec'!$C$35,0)</f>
        <v>0</v>
      </c>
      <c r="AA35" s="4">
        <f t="shared" si="19"/>
        <v>22</v>
      </c>
      <c r="AB35" s="10"/>
      <c r="AC35" s="30">
        <f>IF('04-07-25-Scen3-Good,24-16hr'!K36&gt;'04-07-25-Scen3-Good,24-16hr'!AA35,'Drilling Spec'!$C$36,)</f>
        <v>6</v>
      </c>
      <c r="AE35" s="18">
        <f>(I35-'Drilling Spec'!$C$26)/'Drilling Spec'!$C$38</f>
        <v>54.507270345933925</v>
      </c>
      <c r="AF35" s="18">
        <f t="shared" si="7"/>
        <v>2.1316282072803006E-14</v>
      </c>
      <c r="AG35" s="34">
        <f t="shared" ref="AG35:AG66" si="22">AG34+AF35-AH35-AI34</f>
        <v>14.507270345933925</v>
      </c>
      <c r="AH35" s="10"/>
      <c r="AI35" s="26">
        <f>IF(C35="Camp Closed",AG35,IF(AG35&lt;'Drilling Spec'!$C$39,,'Drilling Spec'!$C$39))</f>
        <v>0</v>
      </c>
      <c r="AL35" s="16">
        <f t="shared" ref="AL35:AL66" si="23">IFERROR(-I35,NA())</f>
        <v>-397.04362207560354</v>
      </c>
      <c r="AM35" s="16" t="e">
        <f t="shared" si="10"/>
        <v>#N/A</v>
      </c>
      <c r="AN35">
        <f>-'Drilling Spec'!$C$29</f>
        <v>-720</v>
      </c>
      <c r="AO35">
        <f>-'Drilling Spec'!$C$27</f>
        <v>-624</v>
      </c>
      <c r="AP35">
        <f>-'Drilling Spec'!$C$28</f>
        <v>-688</v>
      </c>
      <c r="AQ35" t="e">
        <f t="shared" si="11"/>
        <v>#N/A</v>
      </c>
      <c r="AR35" t="e">
        <f>IF(X35=0,NA(),-'Drilling Spec'!$C$29*0.1)</f>
        <v>#N/A</v>
      </c>
      <c r="AS35" t="e">
        <f>IF(Y35=0,NA(),-'Drilling Spec'!$C$29*0.1)</f>
        <v>#N/A</v>
      </c>
      <c r="AT35" t="e">
        <f>IF(AB35=0,NA(),-'Drilling Spec'!$C$29*0.2)</f>
        <v>#N/A</v>
      </c>
      <c r="AU35">
        <f>IF(AC35=0,NA(),-'Drilling Spec'!$C$29*0.2)</f>
        <v>-144</v>
      </c>
      <c r="AV35" t="e">
        <f>IF(AH35=0,NA(),-'Drilling Spec'!$C$29*0.3)</f>
        <v>#N/A</v>
      </c>
      <c r="AW35" t="e">
        <f>IF(AI35=0,NA(),-'Drilling Spec'!$C$29*0.3)</f>
        <v>#N/A</v>
      </c>
      <c r="AX35" s="29">
        <f t="shared" ref="AX35:AX66" si="24">W35</f>
        <v>5.2663414634146326</v>
      </c>
      <c r="AY35" s="29">
        <f t="shared" ref="AY35:AY66" si="25">AA35-K35+P35</f>
        <v>0.86375852829309707</v>
      </c>
      <c r="AZ35" s="29">
        <f t="shared" si="17"/>
        <v>14.507270345933925</v>
      </c>
      <c r="BS35" s="35"/>
      <c r="BT35" s="39" t="s">
        <v>192</v>
      </c>
      <c r="BU35" s="39"/>
      <c r="BV35" s="39"/>
      <c r="BW35" s="39"/>
      <c r="BX35" s="39"/>
      <c r="BY35" s="39"/>
      <c r="BZ35" s="39"/>
      <c r="CA35" s="39"/>
    </row>
    <row r="36" spans="1:79" x14ac:dyDescent="0.35">
      <c r="A36" s="28">
        <f t="shared" si="18"/>
        <v>46006</v>
      </c>
      <c r="B36" t="str">
        <f t="shared" si="0"/>
        <v>Mon</v>
      </c>
      <c r="C36" s="10" t="s">
        <v>9</v>
      </c>
      <c r="D36" s="10">
        <v>24</v>
      </c>
      <c r="E36" s="4">
        <f t="shared" si="1"/>
        <v>24</v>
      </c>
      <c r="F36" s="4">
        <f t="shared" si="20"/>
        <v>360</v>
      </c>
      <c r="G36" s="4">
        <f t="shared" si="3"/>
        <v>1440</v>
      </c>
      <c r="H36" s="15">
        <f>(SQRT(4*I35*I35*V*V + 'Drilling Spec'!$C$42*I35 + W*('Drilling Spec'!$C$43 + 2*l*V*(s*W + 2*V*G36/(1+e)) + 'Drilling Spec'!$C$44)) - 'Drilling Spec'!$C$45)/(2*V)</f>
        <v>416.08107640916666</v>
      </c>
      <c r="I36" s="23">
        <f>IF(AND(OR(I35=0,I35=""),F36=0),IF(F37=0,"",'Drilling Spec'!$C$26),H36)</f>
        <v>416.08107640916666</v>
      </c>
      <c r="J36" s="16">
        <f>MAX(0,I36-'Drilling Spec'!$C$30)</f>
        <v>336.08107640916666</v>
      </c>
      <c r="K36" s="18">
        <f>IFERROR(J36/'Drilling Spec'!$C$31,0)</f>
        <v>22.405405093944445</v>
      </c>
      <c r="L36" s="21">
        <f t="shared" si="21"/>
        <v>0</v>
      </c>
      <c r="M36" s="4">
        <f t="shared" si="14"/>
        <v>0</v>
      </c>
      <c r="N36" s="21">
        <f t="shared" si="5"/>
        <v>0</v>
      </c>
      <c r="O36" s="18">
        <f>(SQRT(4*O35*O35*vB*vB + 'Drilling Spec'!$C$48*O35 + WB*('Drilling Spec'!$C$49 + 2*lB*vB*(sB*WB + 2*vB*N36/(1+eB)) + 'Drilling Spec'!$C$50)) - 'Drilling Spec'!$C$51)/(2*vB)</f>
        <v>0</v>
      </c>
      <c r="P36" s="18">
        <f>IFERROR(((S36-'Drilling Spec'!$C$30)/'Drilling Spec'!$C$31)*'Drilling Spec'!$C$32,0)</f>
        <v>0</v>
      </c>
      <c r="Q36" s="18">
        <f t="shared" si="15"/>
        <v>0</v>
      </c>
      <c r="R36" s="18"/>
      <c r="S36" s="26" t="str">
        <f>IF(AND(OR(T35=0,T35=""),M36=0),IF(M37=0,"",'Drilling Spec'!$C$30),O36)</f>
        <v/>
      </c>
      <c r="U36" s="15">
        <f>E36*'Drilling Spec'!$C$22 + L36*'Drilling Spec'!$C$23</f>
        <v>0.4809756097560976</v>
      </c>
      <c r="V36" s="15">
        <f t="shared" si="16"/>
        <v>7.2146341463414663</v>
      </c>
      <c r="W36" s="15">
        <f t="shared" si="6"/>
        <v>4.7853658536585346</v>
      </c>
      <c r="X36" s="10"/>
      <c r="Y36" s="30">
        <f>IF(W36&lt;U37,'Drilling Spec'!$C$35,0)</f>
        <v>0</v>
      </c>
      <c r="AA36" s="4">
        <f t="shared" si="19"/>
        <v>28</v>
      </c>
      <c r="AB36" s="10"/>
      <c r="AC36" s="30">
        <f>IF('04-07-25-Scen3-Good,24-16hr'!K37&gt;'04-07-25-Scen3-Good,24-16hr'!AA36,'Drilling Spec'!$C$36,)</f>
        <v>0</v>
      </c>
      <c r="AE36" s="18">
        <f>(I36-'Drilling Spec'!$C$26)/'Drilling Spec'!$C$38</f>
        <v>57.680179401527774</v>
      </c>
      <c r="AF36" s="18">
        <f t="shared" si="7"/>
        <v>3.1729090555938484</v>
      </c>
      <c r="AG36" s="34">
        <f t="shared" si="22"/>
        <v>17.680179401527774</v>
      </c>
      <c r="AH36" s="10"/>
      <c r="AI36" s="26">
        <f>IF(C36="Camp Closed",AG36,IF(AG36&lt;'Drilling Spec'!$C$39,,'Drilling Spec'!$C$39))</f>
        <v>0</v>
      </c>
      <c r="AL36" s="16">
        <f t="shared" si="23"/>
        <v>-416.08107640916666</v>
      </c>
      <c r="AM36" s="16" t="e">
        <f t="shared" si="10"/>
        <v>#N/A</v>
      </c>
      <c r="AN36">
        <f>-'Drilling Spec'!$C$29</f>
        <v>-720</v>
      </c>
      <c r="AO36">
        <f>-'Drilling Spec'!$C$27</f>
        <v>-624</v>
      </c>
      <c r="AP36">
        <f>-'Drilling Spec'!$C$28</f>
        <v>-688</v>
      </c>
      <c r="AQ36" t="e">
        <f t="shared" si="11"/>
        <v>#N/A</v>
      </c>
      <c r="AR36" t="e">
        <f>IF(X36=0,NA(),-'Drilling Spec'!$C$29*0.1)</f>
        <v>#N/A</v>
      </c>
      <c r="AS36" t="e">
        <f>IF(Y36=0,NA(),-'Drilling Spec'!$C$29*0.1)</f>
        <v>#N/A</v>
      </c>
      <c r="AT36" t="e">
        <f>IF(AB36=0,NA(),-'Drilling Spec'!$C$29*0.2)</f>
        <v>#N/A</v>
      </c>
      <c r="AU36" t="e">
        <f>IF(AC36=0,NA(),-'Drilling Spec'!$C$29*0.2)</f>
        <v>#N/A</v>
      </c>
      <c r="AV36" t="e">
        <f>IF(AH36=0,NA(),-'Drilling Spec'!$C$29*0.3)</f>
        <v>#N/A</v>
      </c>
      <c r="AW36" t="e">
        <f>IF(AI36=0,NA(),-'Drilling Spec'!$C$29*0.3)</f>
        <v>#N/A</v>
      </c>
      <c r="AX36" s="29">
        <f t="shared" si="24"/>
        <v>4.7853658536585346</v>
      </c>
      <c r="AY36" s="29">
        <f t="shared" si="25"/>
        <v>5.5945949060555549</v>
      </c>
      <c r="AZ36" s="29">
        <f t="shared" si="17"/>
        <v>17.680179401527774</v>
      </c>
      <c r="BS36" s="35"/>
      <c r="BT36" s="39"/>
      <c r="BU36" s="39"/>
      <c r="BV36" s="39"/>
      <c r="BW36" s="39"/>
      <c r="BX36" s="39"/>
      <c r="BY36" s="39"/>
      <c r="BZ36" s="39"/>
      <c r="CA36" s="39"/>
    </row>
    <row r="37" spans="1:79" x14ac:dyDescent="0.35">
      <c r="A37" s="28">
        <f t="shared" si="18"/>
        <v>46007</v>
      </c>
      <c r="B37" t="str">
        <f t="shared" si="0"/>
        <v>Tue</v>
      </c>
      <c r="C37" s="10" t="s">
        <v>9</v>
      </c>
      <c r="D37" s="10">
        <v>24</v>
      </c>
      <c r="E37" s="4">
        <f t="shared" si="1"/>
        <v>24</v>
      </c>
      <c r="F37" s="4">
        <f t="shared" si="20"/>
        <v>384</v>
      </c>
      <c r="G37" s="4">
        <f t="shared" si="3"/>
        <v>1440</v>
      </c>
      <c r="H37" s="15">
        <f>(SQRT(4*I36*I36*V*V + 'Drilling Spec'!$C$42*I36 + W*('Drilling Spec'!$C$43 + 2*l*V*(s*W + 2*V*G37/(1+e)) + 'Drilling Spec'!$C$44)) - 'Drilling Spec'!$C$45)/(2*V)</f>
        <v>434.74236555649435</v>
      </c>
      <c r="I37" s="23">
        <f>IF(AND(OR(I36=0,I36=""),F37=0),IF(F38=0,"",'Drilling Spec'!$C$26),H37)</f>
        <v>434.74236555649435</v>
      </c>
      <c r="J37" s="16">
        <f>MAX(0,I37-'Drilling Spec'!$C$30)</f>
        <v>354.74236555649435</v>
      </c>
      <c r="K37" s="18">
        <f>IFERROR(J37/'Drilling Spec'!$C$31,0)</f>
        <v>23.649491037099622</v>
      </c>
      <c r="L37" s="21">
        <f t="shared" si="21"/>
        <v>0</v>
      </c>
      <c r="M37" s="4">
        <f t="shared" si="14"/>
        <v>0</v>
      </c>
      <c r="N37" s="21">
        <f t="shared" si="5"/>
        <v>0</v>
      </c>
      <c r="O37" s="18">
        <f>(SQRT(4*O36*O36*vB*vB + 'Drilling Spec'!$C$48*O36 + WB*('Drilling Spec'!$C$49 + 2*lB*vB*(sB*WB + 2*vB*N37/(1+eB)) + 'Drilling Spec'!$C$50)) - 'Drilling Spec'!$C$51)/(2*vB)</f>
        <v>0</v>
      </c>
      <c r="P37" s="18">
        <f>IFERROR(((S37-'Drilling Spec'!$C$30)/'Drilling Spec'!$C$31)*'Drilling Spec'!$C$32,0)</f>
        <v>0</v>
      </c>
      <c r="Q37" s="18">
        <f t="shared" si="15"/>
        <v>0</v>
      </c>
      <c r="R37" s="18"/>
      <c r="S37" s="26" t="str">
        <f>IF(AND(OR(T36=0,T36=""),M37=0),IF(M38=0,"",'Drilling Spec'!$C$30),O37)</f>
        <v/>
      </c>
      <c r="U37" s="15">
        <f>E37*'Drilling Spec'!$C$22 + L37*'Drilling Spec'!$C$23</f>
        <v>0.4809756097560976</v>
      </c>
      <c r="V37" s="15">
        <f t="shared" si="16"/>
        <v>7.6956097560975643</v>
      </c>
      <c r="W37" s="15">
        <f t="shared" si="6"/>
        <v>4.3043902439024366</v>
      </c>
      <c r="X37" s="10"/>
      <c r="Y37" s="30">
        <f>IF(W37&lt;U38,'Drilling Spec'!$C$35,0)</f>
        <v>0</v>
      </c>
      <c r="AA37" s="4">
        <f t="shared" si="19"/>
        <v>28</v>
      </c>
      <c r="AB37" s="10"/>
      <c r="AC37" s="30">
        <f>IF('04-07-25-Scen3-Good,24-16hr'!K38&gt;'04-07-25-Scen3-Good,24-16hr'!AA37,'Drilling Spec'!$C$36,)</f>
        <v>0</v>
      </c>
      <c r="AE37" s="18">
        <f>(I37-'Drilling Spec'!$C$26)/'Drilling Spec'!$C$38</f>
        <v>60.790394259415727</v>
      </c>
      <c r="AF37" s="18">
        <f t="shared" si="7"/>
        <v>3.1102148578879536</v>
      </c>
      <c r="AG37" s="34">
        <f t="shared" si="22"/>
        <v>20.790394259415727</v>
      </c>
      <c r="AH37" s="10"/>
      <c r="AI37" s="26">
        <f>IF(C37="Camp Closed",AG37,IF(AG37&lt;'Drilling Spec'!$C$39,,'Drilling Spec'!$C$39))</f>
        <v>20</v>
      </c>
      <c r="AL37" s="16">
        <f t="shared" si="23"/>
        <v>-434.74236555649435</v>
      </c>
      <c r="AM37" s="16" t="e">
        <f t="shared" si="10"/>
        <v>#N/A</v>
      </c>
      <c r="AN37">
        <f>-'Drilling Spec'!$C$29</f>
        <v>-720</v>
      </c>
      <c r="AO37">
        <f>-'Drilling Spec'!$C$27</f>
        <v>-624</v>
      </c>
      <c r="AP37">
        <f>-'Drilling Spec'!$C$28</f>
        <v>-688</v>
      </c>
      <c r="AQ37" t="e">
        <f t="shared" si="11"/>
        <v>#N/A</v>
      </c>
      <c r="AR37" t="e">
        <f>IF(X37=0,NA(),-'Drilling Spec'!$C$29*0.1)</f>
        <v>#N/A</v>
      </c>
      <c r="AS37" t="e">
        <f>IF(Y37=0,NA(),-'Drilling Spec'!$C$29*0.1)</f>
        <v>#N/A</v>
      </c>
      <c r="AT37" t="e">
        <f>IF(AB37=0,NA(),-'Drilling Spec'!$C$29*0.2)</f>
        <v>#N/A</v>
      </c>
      <c r="AU37" t="e">
        <f>IF(AC37=0,NA(),-'Drilling Spec'!$C$29*0.2)</f>
        <v>#N/A</v>
      </c>
      <c r="AV37" t="e">
        <f>IF(AH37=0,NA(),-'Drilling Spec'!$C$29*0.3)</f>
        <v>#N/A</v>
      </c>
      <c r="AW37">
        <f>IF(AI37=0,NA(),-'Drilling Spec'!$C$29*0.3)</f>
        <v>-216</v>
      </c>
      <c r="AX37" s="29">
        <f t="shared" si="24"/>
        <v>4.3043902439024366</v>
      </c>
      <c r="AY37" s="29">
        <f t="shared" si="25"/>
        <v>4.3505089629003777</v>
      </c>
      <c r="AZ37" s="29">
        <f t="shared" si="17"/>
        <v>20.790394259415727</v>
      </c>
      <c r="BS37" s="35"/>
      <c r="BT37" s="39"/>
      <c r="BU37" s="39"/>
      <c r="BV37" s="39"/>
      <c r="BW37" s="39"/>
      <c r="BX37" s="39"/>
      <c r="BY37" s="39"/>
      <c r="BZ37" s="39"/>
      <c r="CA37" s="39"/>
    </row>
    <row r="38" spans="1:79" x14ac:dyDescent="0.35">
      <c r="A38" s="28">
        <f t="shared" si="18"/>
        <v>46008</v>
      </c>
      <c r="B38" t="str">
        <f t="shared" si="0"/>
        <v>Wed</v>
      </c>
      <c r="C38" s="10" t="s">
        <v>9</v>
      </c>
      <c r="D38" s="10">
        <v>24</v>
      </c>
      <c r="E38" s="4">
        <f t="shared" si="1"/>
        <v>24</v>
      </c>
      <c r="F38" s="4">
        <f t="shared" si="20"/>
        <v>408</v>
      </c>
      <c r="G38" s="4">
        <f t="shared" si="3"/>
        <v>1440</v>
      </c>
      <c r="H38" s="15">
        <f>(SQRT(4*I37*I37*V*V + 'Drilling Spec'!$C$42*I37 + W*('Drilling Spec'!$C$43 + 2*l*V*(s*W + 2*V*G38/(1+e)) + 'Drilling Spec'!$C$44)) - 'Drilling Spec'!$C$45)/(2*V)</f>
        <v>453.04894389158022</v>
      </c>
      <c r="I38" s="23">
        <f>IF(AND(OR(I37=0,I37=""),F38=0),IF(F39=0,"",'Drilling Spec'!$C$26),H38)</f>
        <v>453.04894389158022</v>
      </c>
      <c r="J38" s="16">
        <f>MAX(0,I38-'Drilling Spec'!$C$30)</f>
        <v>373.04894389158022</v>
      </c>
      <c r="K38" s="18">
        <f>IFERROR(J38/'Drilling Spec'!$C$31,0)</f>
        <v>24.869929592772014</v>
      </c>
      <c r="L38" s="21">
        <f t="shared" si="21"/>
        <v>0</v>
      </c>
      <c r="M38" s="4">
        <f t="shared" si="14"/>
        <v>0</v>
      </c>
      <c r="N38" s="21">
        <f t="shared" si="5"/>
        <v>0</v>
      </c>
      <c r="O38" s="18">
        <f>(SQRT(4*O37*O37*vB*vB + 'Drilling Spec'!$C$48*O37 + WB*('Drilling Spec'!$C$49 + 2*lB*vB*(sB*WB + 2*vB*N38/(1+eB)) + 'Drilling Spec'!$C$50)) - 'Drilling Spec'!$C$51)/(2*vB)</f>
        <v>0</v>
      </c>
      <c r="P38" s="18">
        <f>IFERROR(((S38-'Drilling Spec'!$C$30)/'Drilling Spec'!$C$31)*'Drilling Spec'!$C$32,0)</f>
        <v>0</v>
      </c>
      <c r="Q38" s="18">
        <f t="shared" si="15"/>
        <v>0</v>
      </c>
      <c r="R38" s="18"/>
      <c r="S38" s="26" t="str">
        <f>IF(AND(OR(T37=0,T37=""),M38=0),IF(M39=0,"",'Drilling Spec'!$C$30),O38)</f>
        <v/>
      </c>
      <c r="U38" s="15">
        <f>E38*'Drilling Spec'!$C$22 + L38*'Drilling Spec'!$C$23</f>
        <v>0.4809756097560976</v>
      </c>
      <c r="V38" s="15">
        <f t="shared" si="16"/>
        <v>8.1765853658536614</v>
      </c>
      <c r="W38" s="15">
        <f t="shared" si="6"/>
        <v>3.8234146341463391</v>
      </c>
      <c r="X38" s="10"/>
      <c r="Y38" s="30">
        <f>IF(W38&lt;U39,'Drilling Spec'!$C$35,0)</f>
        <v>0</v>
      </c>
      <c r="AA38" s="4">
        <f t="shared" si="19"/>
        <v>28</v>
      </c>
      <c r="AB38" s="10"/>
      <c r="AC38" s="30">
        <f>IF('04-07-25-Scen3-Good,24-16hr'!K39&gt;'04-07-25-Scen3-Good,24-16hr'!AA38,'Drilling Spec'!$C$36,)</f>
        <v>0</v>
      </c>
      <c r="AE38" s="18">
        <f>(I38-'Drilling Spec'!$C$26)/'Drilling Spec'!$C$38</f>
        <v>63.841490648596704</v>
      </c>
      <c r="AF38" s="18">
        <f t="shared" si="7"/>
        <v>3.0510963891809766</v>
      </c>
      <c r="AG38" s="34">
        <f t="shared" si="22"/>
        <v>3.8414906485967037</v>
      </c>
      <c r="AH38" s="10"/>
      <c r="AI38" s="26">
        <f>IF(C38="Camp Closed",AG38,IF(AG38&lt;'Drilling Spec'!$C$39,,'Drilling Spec'!$C$39))</f>
        <v>0</v>
      </c>
      <c r="AL38" s="16">
        <f t="shared" si="23"/>
        <v>-453.04894389158022</v>
      </c>
      <c r="AM38" s="16" t="e">
        <f t="shared" si="10"/>
        <v>#N/A</v>
      </c>
      <c r="AN38">
        <f>-'Drilling Spec'!$C$29</f>
        <v>-720</v>
      </c>
      <c r="AO38">
        <f>-'Drilling Spec'!$C$27</f>
        <v>-624</v>
      </c>
      <c r="AP38">
        <f>-'Drilling Spec'!$C$28</f>
        <v>-688</v>
      </c>
      <c r="AQ38" t="e">
        <f t="shared" si="11"/>
        <v>#N/A</v>
      </c>
      <c r="AR38" t="e">
        <f>IF(X38=0,NA(),-'Drilling Spec'!$C$29*0.1)</f>
        <v>#N/A</v>
      </c>
      <c r="AS38" t="e">
        <f>IF(Y38=0,NA(),-'Drilling Spec'!$C$29*0.1)</f>
        <v>#N/A</v>
      </c>
      <c r="AT38" t="e">
        <f>IF(AB38=0,NA(),-'Drilling Spec'!$C$29*0.2)</f>
        <v>#N/A</v>
      </c>
      <c r="AU38" t="e">
        <f>IF(AC38=0,NA(),-'Drilling Spec'!$C$29*0.2)</f>
        <v>#N/A</v>
      </c>
      <c r="AV38" t="e">
        <f>IF(AH38=0,NA(),-'Drilling Spec'!$C$29*0.3)</f>
        <v>#N/A</v>
      </c>
      <c r="AW38" t="e">
        <f>IF(AI38=0,NA(),-'Drilling Spec'!$C$29*0.3)</f>
        <v>#N/A</v>
      </c>
      <c r="AX38" s="29">
        <f t="shared" si="24"/>
        <v>3.8234146341463391</v>
      </c>
      <c r="AY38" s="29">
        <f t="shared" si="25"/>
        <v>3.1300704072279864</v>
      </c>
      <c r="AZ38" s="29">
        <f t="shared" si="17"/>
        <v>3.8414906485967037</v>
      </c>
      <c r="BS38" s="35"/>
      <c r="BT38" s="39" t="s">
        <v>193</v>
      </c>
      <c r="BU38" s="39"/>
      <c r="BV38" s="39"/>
      <c r="BW38" s="39"/>
      <c r="BX38" s="39"/>
      <c r="BY38" s="39"/>
      <c r="BZ38" s="39"/>
      <c r="CA38" s="39"/>
    </row>
    <row r="39" spans="1:79" x14ac:dyDescent="0.35">
      <c r="A39" s="28">
        <f t="shared" si="18"/>
        <v>46009</v>
      </c>
      <c r="B39" t="str">
        <f t="shared" si="0"/>
        <v>Thu</v>
      </c>
      <c r="C39" s="10" t="s">
        <v>9</v>
      </c>
      <c r="D39" s="10">
        <v>24</v>
      </c>
      <c r="E39" s="4">
        <f t="shared" si="1"/>
        <v>24</v>
      </c>
      <c r="F39" s="4">
        <f t="shared" si="20"/>
        <v>432</v>
      </c>
      <c r="G39" s="4">
        <f t="shared" si="3"/>
        <v>1440</v>
      </c>
      <c r="H39" s="15">
        <f>(SQRT(4*I38*I38*V*V + 'Drilling Spec'!$C$42*I38 + W*('Drilling Spec'!$C$43 + 2*l*V*(s*W + 2*V*G39/(1+e)) + 'Drilling Spec'!$C$44)) - 'Drilling Spec'!$C$45)/(2*V)</f>
        <v>471.02030076512392</v>
      </c>
      <c r="I39" s="23">
        <f>IF(AND(OR(I38=0,I38=""),F39=0),IF(F40=0,"",'Drilling Spec'!$C$26),H39)</f>
        <v>471.02030076512392</v>
      </c>
      <c r="J39" s="16">
        <f>MAX(0,I39-'Drilling Spec'!$C$30)</f>
        <v>391.02030076512392</v>
      </c>
      <c r="K39" s="18">
        <f>IFERROR(J39/'Drilling Spec'!$C$31,0)</f>
        <v>26.068020051008261</v>
      </c>
      <c r="L39" s="21">
        <f t="shared" si="21"/>
        <v>0</v>
      </c>
      <c r="M39" s="4">
        <f t="shared" si="14"/>
        <v>0</v>
      </c>
      <c r="N39" s="21">
        <f t="shared" si="5"/>
        <v>0</v>
      </c>
      <c r="O39" s="18">
        <f>(SQRT(4*O38*O38*vB*vB + 'Drilling Spec'!$C$48*O38 + WB*('Drilling Spec'!$C$49 + 2*lB*vB*(sB*WB + 2*vB*N39/(1+eB)) + 'Drilling Spec'!$C$50)) - 'Drilling Spec'!$C$51)/(2*vB)</f>
        <v>0</v>
      </c>
      <c r="P39" s="18">
        <f>IFERROR(((S39-'Drilling Spec'!$C$30)/'Drilling Spec'!$C$31)*'Drilling Spec'!$C$32,0)</f>
        <v>0</v>
      </c>
      <c r="Q39" s="18">
        <f t="shared" si="15"/>
        <v>0</v>
      </c>
      <c r="R39" s="18"/>
      <c r="S39" s="26" t="str">
        <f>IF(AND(OR(T38=0,T38=""),M39=0),IF(M40=0,"",'Drilling Spec'!$C$30),O39)</f>
        <v/>
      </c>
      <c r="U39" s="15">
        <f>E39*'Drilling Spec'!$C$22 + L39*'Drilling Spec'!$C$23</f>
        <v>0.4809756097560976</v>
      </c>
      <c r="V39" s="15">
        <f t="shared" si="16"/>
        <v>8.6575609756097585</v>
      </c>
      <c r="W39" s="15">
        <f t="shared" si="6"/>
        <v>3.3424390243902415</v>
      </c>
      <c r="X39" s="10"/>
      <c r="Y39" s="30">
        <f>IF(W39&lt;U40,'Drilling Spec'!$C$35,0)</f>
        <v>0</v>
      </c>
      <c r="AA39" s="4">
        <f t="shared" si="19"/>
        <v>28</v>
      </c>
      <c r="AB39" s="10"/>
      <c r="AC39" s="30">
        <f>IF('04-07-25-Scen3-Good,24-16hr'!K40&gt;'04-07-25-Scen3-Good,24-16hr'!AA39,'Drilling Spec'!$C$36,)</f>
        <v>0</v>
      </c>
      <c r="AE39" s="18">
        <f>(I39-'Drilling Spec'!$C$26)/'Drilling Spec'!$C$38</f>
        <v>66.836716794187325</v>
      </c>
      <c r="AF39" s="18">
        <f t="shared" si="7"/>
        <v>2.9952261455906211</v>
      </c>
      <c r="AG39" s="34">
        <f t="shared" si="22"/>
        <v>6.8367167941873248</v>
      </c>
      <c r="AH39" s="10"/>
      <c r="AI39" s="26">
        <f>IF(C39="Camp Closed",AG39,IF(AG39&lt;'Drilling Spec'!$C$39,,'Drilling Spec'!$C$39))</f>
        <v>0</v>
      </c>
      <c r="AL39" s="16">
        <f t="shared" si="23"/>
        <v>-471.02030076512392</v>
      </c>
      <c r="AM39" s="16" t="e">
        <f t="shared" si="10"/>
        <v>#N/A</v>
      </c>
      <c r="AN39">
        <f>-'Drilling Spec'!$C$29</f>
        <v>-720</v>
      </c>
      <c r="AO39">
        <f>-'Drilling Spec'!$C$27</f>
        <v>-624</v>
      </c>
      <c r="AP39">
        <f>-'Drilling Spec'!$C$28</f>
        <v>-688</v>
      </c>
      <c r="AQ39" t="e">
        <f t="shared" si="11"/>
        <v>#N/A</v>
      </c>
      <c r="AR39" t="e">
        <f>IF(X39=0,NA(),-'Drilling Spec'!$C$29*0.1)</f>
        <v>#N/A</v>
      </c>
      <c r="AS39" t="e">
        <f>IF(Y39=0,NA(),-'Drilling Spec'!$C$29*0.1)</f>
        <v>#N/A</v>
      </c>
      <c r="AT39" t="e">
        <f>IF(AB39=0,NA(),-'Drilling Spec'!$C$29*0.2)</f>
        <v>#N/A</v>
      </c>
      <c r="AU39" t="e">
        <f>IF(AC39=0,NA(),-'Drilling Spec'!$C$29*0.2)</f>
        <v>#N/A</v>
      </c>
      <c r="AV39" t="e">
        <f>IF(AH39=0,NA(),-'Drilling Spec'!$C$29*0.3)</f>
        <v>#N/A</v>
      </c>
      <c r="AW39" t="e">
        <f>IF(AI39=0,NA(),-'Drilling Spec'!$C$29*0.3)</f>
        <v>#N/A</v>
      </c>
      <c r="AX39" s="29">
        <f t="shared" si="24"/>
        <v>3.3424390243902415</v>
      </c>
      <c r="AY39" s="29">
        <f t="shared" si="25"/>
        <v>1.9319799489917386</v>
      </c>
      <c r="AZ39" s="29">
        <f t="shared" si="17"/>
        <v>6.8367167941873248</v>
      </c>
      <c r="BS39" s="35"/>
      <c r="BT39" s="39"/>
      <c r="BU39" s="39"/>
      <c r="BV39" s="39"/>
      <c r="BW39" s="39"/>
      <c r="BX39" s="39"/>
      <c r="BY39" s="39"/>
      <c r="BZ39" s="39"/>
      <c r="CA39" s="39"/>
    </row>
    <row r="40" spans="1:79" x14ac:dyDescent="0.35">
      <c r="A40" s="28">
        <f t="shared" si="18"/>
        <v>46010</v>
      </c>
      <c r="B40" t="str">
        <f t="shared" si="0"/>
        <v>Fri</v>
      </c>
      <c r="C40" s="10" t="s">
        <v>9</v>
      </c>
      <c r="D40" s="10">
        <v>24</v>
      </c>
      <c r="E40" s="4">
        <f t="shared" si="1"/>
        <v>24</v>
      </c>
      <c r="F40" s="4">
        <f t="shared" si="20"/>
        <v>456</v>
      </c>
      <c r="G40" s="4">
        <f t="shared" si="3"/>
        <v>1440</v>
      </c>
      <c r="H40" s="15">
        <f>(SQRT(4*I39*I39*V*V + 'Drilling Spec'!$C$42*I39 + W*('Drilling Spec'!$C$43 + 2*l*V*(s*W + 2*V*G40/(1+e)) + 'Drilling Spec'!$C$44)) - 'Drilling Spec'!$C$45)/(2*V)</f>
        <v>488.67420360675374</v>
      </c>
      <c r="I40" s="23">
        <f>IF(AND(OR(I39=0,I39=""),F40=0),IF(F41=0,"",'Drilling Spec'!$C$26),H40)</f>
        <v>488.67420360675374</v>
      </c>
      <c r="J40" s="16">
        <f>MAX(0,I40-'Drilling Spec'!$C$30)</f>
        <v>408.67420360675374</v>
      </c>
      <c r="K40" s="18">
        <f>IFERROR(J40/'Drilling Spec'!$C$31,0)</f>
        <v>27.244946907116915</v>
      </c>
      <c r="L40" s="21">
        <f t="shared" si="21"/>
        <v>0</v>
      </c>
      <c r="M40" s="4">
        <f t="shared" si="14"/>
        <v>0</v>
      </c>
      <c r="N40" s="21">
        <f t="shared" si="5"/>
        <v>0</v>
      </c>
      <c r="O40" s="18">
        <f>(SQRT(4*O39*O39*vB*vB + 'Drilling Spec'!$C$48*O39 + WB*('Drilling Spec'!$C$49 + 2*lB*vB*(sB*WB + 2*vB*N40/(1+eB)) + 'Drilling Spec'!$C$50)) - 'Drilling Spec'!$C$51)/(2*vB)</f>
        <v>0</v>
      </c>
      <c r="P40" s="18">
        <f>IFERROR(((S40-'Drilling Spec'!$C$30)/'Drilling Spec'!$C$31)*'Drilling Spec'!$C$32,0)</f>
        <v>0</v>
      </c>
      <c r="Q40" s="18">
        <f t="shared" si="15"/>
        <v>0</v>
      </c>
      <c r="R40" s="18"/>
      <c r="S40" s="26" t="str">
        <f>IF(AND(OR(T39=0,T39=""),M40=0),IF(M41=0,"",'Drilling Spec'!$C$30),O40)</f>
        <v/>
      </c>
      <c r="U40" s="15">
        <f>E40*'Drilling Spec'!$C$22 + L40*'Drilling Spec'!$C$23</f>
        <v>0.4809756097560976</v>
      </c>
      <c r="V40" s="15">
        <f t="shared" si="16"/>
        <v>9.1385365853658556</v>
      </c>
      <c r="W40" s="15">
        <f t="shared" si="6"/>
        <v>2.861463414634144</v>
      </c>
      <c r="X40" s="10"/>
      <c r="Y40" s="30">
        <f>IF(W40&lt;U41,'Drilling Spec'!$C$35,0)</f>
        <v>0</v>
      </c>
      <c r="AA40" s="4">
        <f t="shared" si="19"/>
        <v>28</v>
      </c>
      <c r="AB40" s="10"/>
      <c r="AC40" s="30">
        <f>IF('04-07-25-Scen3-Good,24-16hr'!K41&gt;'04-07-25-Scen3-Good,24-16hr'!AA40,'Drilling Spec'!$C$36,)</f>
        <v>6</v>
      </c>
      <c r="AE40" s="18">
        <f>(I40-'Drilling Spec'!$C$26)/'Drilling Spec'!$C$38</f>
        <v>69.779033934458951</v>
      </c>
      <c r="AF40" s="18">
        <f t="shared" si="7"/>
        <v>2.9423171402716264</v>
      </c>
      <c r="AG40" s="34">
        <f t="shared" si="22"/>
        <v>9.7790339344589512</v>
      </c>
      <c r="AH40" s="10"/>
      <c r="AI40" s="26">
        <f>IF(C40="Camp Closed",AG40,IF(AG40&lt;'Drilling Spec'!$C$39,,'Drilling Spec'!$C$39))</f>
        <v>0</v>
      </c>
      <c r="AL40" s="16">
        <f t="shared" si="23"/>
        <v>-488.67420360675374</v>
      </c>
      <c r="AM40" s="16" t="e">
        <f t="shared" si="10"/>
        <v>#N/A</v>
      </c>
      <c r="AN40">
        <f>-'Drilling Spec'!$C$29</f>
        <v>-720</v>
      </c>
      <c r="AO40">
        <f>-'Drilling Spec'!$C$27</f>
        <v>-624</v>
      </c>
      <c r="AP40">
        <f>-'Drilling Spec'!$C$28</f>
        <v>-688</v>
      </c>
      <c r="AQ40" t="e">
        <f t="shared" si="11"/>
        <v>#N/A</v>
      </c>
      <c r="AR40" t="e">
        <f>IF(X40=0,NA(),-'Drilling Spec'!$C$29*0.1)</f>
        <v>#N/A</v>
      </c>
      <c r="AS40" t="e">
        <f>IF(Y40=0,NA(),-'Drilling Spec'!$C$29*0.1)</f>
        <v>#N/A</v>
      </c>
      <c r="AT40" t="e">
        <f>IF(AB40=0,NA(),-'Drilling Spec'!$C$29*0.2)</f>
        <v>#N/A</v>
      </c>
      <c r="AU40">
        <f>IF(AC40=0,NA(),-'Drilling Spec'!$C$29*0.2)</f>
        <v>-144</v>
      </c>
      <c r="AV40" t="e">
        <f>IF(AH40=0,NA(),-'Drilling Spec'!$C$29*0.3)</f>
        <v>#N/A</v>
      </c>
      <c r="AW40" t="e">
        <f>IF(AI40=0,NA(),-'Drilling Spec'!$C$29*0.3)</f>
        <v>#N/A</v>
      </c>
      <c r="AX40" s="29">
        <f t="shared" si="24"/>
        <v>2.861463414634144</v>
      </c>
      <c r="AY40" s="29">
        <f t="shared" si="25"/>
        <v>0.75505309288308453</v>
      </c>
      <c r="AZ40" s="29">
        <f t="shared" si="17"/>
        <v>9.7790339344589512</v>
      </c>
    </row>
    <row r="41" spans="1:79" x14ac:dyDescent="0.35">
      <c r="A41" s="28">
        <f t="shared" si="18"/>
        <v>46011</v>
      </c>
      <c r="B41" t="str">
        <f t="shared" si="0"/>
        <v>Sat</v>
      </c>
      <c r="C41" s="10" t="s">
        <v>9</v>
      </c>
      <c r="D41" s="10">
        <v>24</v>
      </c>
      <c r="E41" s="4">
        <f t="shared" si="1"/>
        <v>24</v>
      </c>
      <c r="F41" s="4">
        <f t="shared" si="20"/>
        <v>480</v>
      </c>
      <c r="G41" s="4">
        <f t="shared" si="3"/>
        <v>1440</v>
      </c>
      <c r="H41" s="15">
        <f>(SQRT(4*I40*I40*V*V + 'Drilling Spec'!$C$42*I40 + W*('Drilling Spec'!$C$43 + 2*l*V*(s*W + 2*V*G41/(1+e)) + 'Drilling Spec'!$C$44)) - 'Drilling Spec'!$C$45)/(2*V)</f>
        <v>506.02690367370093</v>
      </c>
      <c r="I41" s="23">
        <f>IF(AND(OR(I40=0,I40=""),F41=0),IF(F42=0,"",'Drilling Spec'!$C$26),H41)</f>
        <v>506.02690367370093</v>
      </c>
      <c r="J41" s="16">
        <f>MAX(0,I41-'Drilling Spec'!$C$30)</f>
        <v>426.02690367370093</v>
      </c>
      <c r="K41" s="18">
        <f>IFERROR(J41/'Drilling Spec'!$C$31,0)</f>
        <v>28.401793578246728</v>
      </c>
      <c r="L41" s="21">
        <f t="shared" si="21"/>
        <v>0</v>
      </c>
      <c r="M41" s="4">
        <f t="shared" si="14"/>
        <v>0</v>
      </c>
      <c r="N41" s="21">
        <f t="shared" si="5"/>
        <v>0</v>
      </c>
      <c r="O41" s="18">
        <f>(SQRT(4*O40*O40*vB*vB + 'Drilling Spec'!$C$48*O40 + WB*('Drilling Spec'!$C$49 + 2*lB*vB*(sB*WB + 2*vB*N41/(1+eB)) + 'Drilling Spec'!$C$50)) - 'Drilling Spec'!$C$51)/(2*vB)</f>
        <v>0</v>
      </c>
      <c r="P41" s="18">
        <f>IFERROR(((S41-'Drilling Spec'!$C$30)/'Drilling Spec'!$C$31)*'Drilling Spec'!$C$32,0)</f>
        <v>0</v>
      </c>
      <c r="Q41" s="18">
        <f t="shared" si="15"/>
        <v>0</v>
      </c>
      <c r="R41" s="18"/>
      <c r="S41" s="26" t="str">
        <f>IF(AND(OR(T40=0,T40=""),M41=0),IF(M42=0,"",'Drilling Spec'!$C$30),O41)</f>
        <v/>
      </c>
      <c r="U41" s="15">
        <f>E41*'Drilling Spec'!$C$22 + L41*'Drilling Spec'!$C$23</f>
        <v>0.4809756097560976</v>
      </c>
      <c r="V41" s="15">
        <f t="shared" si="16"/>
        <v>9.6195121951219527</v>
      </c>
      <c r="W41" s="15">
        <f t="shared" si="6"/>
        <v>2.3804878048780465</v>
      </c>
      <c r="X41" s="10"/>
      <c r="Y41" s="30">
        <f>IF(W41&lt;U42,'Drilling Spec'!$C$35,0)</f>
        <v>0</v>
      </c>
      <c r="AA41" s="4">
        <f t="shared" si="19"/>
        <v>34</v>
      </c>
      <c r="AB41" s="10"/>
      <c r="AC41" s="30">
        <f>IF('04-07-25-Scen3-Good,24-16hr'!K42&gt;'04-07-25-Scen3-Good,24-16hr'!AA41,'Drilling Spec'!$C$36,)</f>
        <v>0</v>
      </c>
      <c r="AE41" s="18">
        <f>(I41-'Drilling Spec'!$C$26)/'Drilling Spec'!$C$38</f>
        <v>72.671150612283483</v>
      </c>
      <c r="AF41" s="18">
        <f t="shared" si="7"/>
        <v>2.8921166778245322</v>
      </c>
      <c r="AG41" s="34">
        <f t="shared" si="22"/>
        <v>12.671150612283483</v>
      </c>
      <c r="AH41" s="10"/>
      <c r="AI41" s="26">
        <f>IF(C41="Camp Closed",AG41,IF(AG41&lt;'Drilling Spec'!$C$39,,'Drilling Spec'!$C$39))</f>
        <v>0</v>
      </c>
      <c r="AL41" s="16">
        <f t="shared" si="23"/>
        <v>-506.02690367370093</v>
      </c>
      <c r="AM41" s="16" t="e">
        <f t="shared" si="10"/>
        <v>#N/A</v>
      </c>
      <c r="AN41">
        <f>-'Drilling Spec'!$C$29</f>
        <v>-720</v>
      </c>
      <c r="AO41">
        <f>-'Drilling Spec'!$C$27</f>
        <v>-624</v>
      </c>
      <c r="AP41">
        <f>-'Drilling Spec'!$C$28</f>
        <v>-688</v>
      </c>
      <c r="AQ41" t="e">
        <f t="shared" si="11"/>
        <v>#N/A</v>
      </c>
      <c r="AR41" t="e">
        <f>IF(X41=0,NA(),-'Drilling Spec'!$C$29*0.1)</f>
        <v>#N/A</v>
      </c>
      <c r="AS41" t="e">
        <f>IF(Y41=0,NA(),-'Drilling Spec'!$C$29*0.1)</f>
        <v>#N/A</v>
      </c>
      <c r="AT41" t="e">
        <f>IF(AB41=0,NA(),-'Drilling Spec'!$C$29*0.2)</f>
        <v>#N/A</v>
      </c>
      <c r="AU41" t="e">
        <f>IF(AC41=0,NA(),-'Drilling Spec'!$C$29*0.2)</f>
        <v>#N/A</v>
      </c>
      <c r="AV41" t="e">
        <f>IF(AH41=0,NA(),-'Drilling Spec'!$C$29*0.3)</f>
        <v>#N/A</v>
      </c>
      <c r="AW41" t="e">
        <f>IF(AI41=0,NA(),-'Drilling Spec'!$C$29*0.3)</f>
        <v>#N/A</v>
      </c>
      <c r="AX41" s="29">
        <f t="shared" si="24"/>
        <v>2.3804878048780465</v>
      </c>
      <c r="AY41" s="29">
        <f t="shared" si="25"/>
        <v>5.5982064217532717</v>
      </c>
      <c r="AZ41" s="29">
        <f t="shared" si="17"/>
        <v>12.671150612283483</v>
      </c>
    </row>
    <row r="42" spans="1:79" x14ac:dyDescent="0.35">
      <c r="A42" s="28">
        <f t="shared" si="18"/>
        <v>46012</v>
      </c>
      <c r="B42" t="str">
        <f t="shared" si="0"/>
        <v>Sun</v>
      </c>
      <c r="C42" s="10" t="s">
        <v>7</v>
      </c>
      <c r="D42" s="10">
        <v>0</v>
      </c>
      <c r="E42" s="4">
        <f t="shared" si="1"/>
        <v>0</v>
      </c>
      <c r="F42" s="4">
        <f t="shared" si="20"/>
        <v>480</v>
      </c>
      <c r="G42" s="4">
        <f t="shared" si="3"/>
        <v>0</v>
      </c>
      <c r="H42" s="15">
        <f>(SQRT(4*I41*I41*V*V + 'Drilling Spec'!$C$42*I41 + W*('Drilling Spec'!$C$43 + 2*l*V*(s*W + 2*V*G42/(1+e)) + 'Drilling Spec'!$C$44)) - 'Drilling Spec'!$C$45)/(2*V)</f>
        <v>506.02690367370093</v>
      </c>
      <c r="I42" s="23">
        <f>IF(AND(OR(I41=0,I41=""),F42=0),IF(F43=0,"",'Drilling Spec'!$C$26),H42)</f>
        <v>506.02690367370093</v>
      </c>
      <c r="J42" s="16">
        <f>MAX(0,I42-'Drilling Spec'!$C$30)</f>
        <v>426.02690367370093</v>
      </c>
      <c r="K42" s="18">
        <f>IFERROR(J42/'Drilling Spec'!$C$31,0)</f>
        <v>28.401793578246728</v>
      </c>
      <c r="L42" s="21">
        <f t="shared" si="21"/>
        <v>0</v>
      </c>
      <c r="M42" s="4">
        <f t="shared" si="14"/>
        <v>0</v>
      </c>
      <c r="N42" s="21">
        <f t="shared" si="5"/>
        <v>0</v>
      </c>
      <c r="O42" s="18">
        <f>(SQRT(4*O41*O41*vB*vB + 'Drilling Spec'!$C$48*O41 + WB*('Drilling Spec'!$C$49 + 2*lB*vB*(sB*WB + 2*vB*N42/(1+eB)) + 'Drilling Spec'!$C$50)) - 'Drilling Spec'!$C$51)/(2*vB)</f>
        <v>0</v>
      </c>
      <c r="P42" s="18">
        <f>IFERROR(((S42-'Drilling Spec'!$C$30)/'Drilling Spec'!$C$31)*'Drilling Spec'!$C$32,0)</f>
        <v>0</v>
      </c>
      <c r="Q42" s="18">
        <f t="shared" si="15"/>
        <v>0</v>
      </c>
      <c r="R42" s="18"/>
      <c r="S42" s="26" t="str">
        <f>IF(AND(OR(T41=0,T41=""),M42=0),IF(M43=0,"",'Drilling Spec'!$C$30),O42)</f>
        <v/>
      </c>
      <c r="U42" s="15">
        <f>E42*'Drilling Spec'!$C$22 + L42*'Drilling Spec'!$C$23</f>
        <v>0</v>
      </c>
      <c r="V42" s="15">
        <f t="shared" si="16"/>
        <v>9.6195121951219527</v>
      </c>
      <c r="W42" s="15">
        <f t="shared" si="6"/>
        <v>2.3804878048780465</v>
      </c>
      <c r="X42" s="10"/>
      <c r="Y42" s="30">
        <f>IF(W42&lt;U43,'Drilling Spec'!$C$35,0)</f>
        <v>0</v>
      </c>
      <c r="AA42" s="4">
        <f t="shared" si="19"/>
        <v>34</v>
      </c>
      <c r="AB42" s="10"/>
      <c r="AC42" s="30">
        <f>IF('04-07-25-Scen3-Good,24-16hr'!K43&gt;'04-07-25-Scen3-Good,24-16hr'!AA42,'Drilling Spec'!$C$36,)</f>
        <v>0</v>
      </c>
      <c r="AE42" s="18">
        <f>(I42-'Drilling Spec'!$C$26)/'Drilling Spec'!$C$38</f>
        <v>72.671150612283483</v>
      </c>
      <c r="AF42" s="18">
        <f t="shared" si="7"/>
        <v>0</v>
      </c>
      <c r="AG42" s="34">
        <f t="shared" si="22"/>
        <v>12.671150612283483</v>
      </c>
      <c r="AH42" s="10"/>
      <c r="AI42" s="26">
        <f>IF(C42="Camp Closed",AG42,IF(AG42&lt;'Drilling Spec'!$C$39,,'Drilling Spec'!$C$39))</f>
        <v>0</v>
      </c>
      <c r="AL42" s="16">
        <f t="shared" si="23"/>
        <v>-506.02690367370093</v>
      </c>
      <c r="AM42" s="16" t="e">
        <f t="shared" si="10"/>
        <v>#N/A</v>
      </c>
      <c r="AN42">
        <f>-'Drilling Spec'!$C$29</f>
        <v>-720</v>
      </c>
      <c r="AO42">
        <f>-'Drilling Spec'!$C$27</f>
        <v>-624</v>
      </c>
      <c r="AP42">
        <f>-'Drilling Spec'!$C$28</f>
        <v>-688</v>
      </c>
      <c r="AQ42" t="e">
        <f t="shared" si="11"/>
        <v>#N/A</v>
      </c>
      <c r="AR42" t="e">
        <f>IF(X42=0,NA(),-'Drilling Spec'!$C$29*0.1)</f>
        <v>#N/A</v>
      </c>
      <c r="AS42" t="e">
        <f>IF(Y42=0,NA(),-'Drilling Spec'!$C$29*0.1)</f>
        <v>#N/A</v>
      </c>
      <c r="AT42" t="e">
        <f>IF(AB42=0,NA(),-'Drilling Spec'!$C$29*0.2)</f>
        <v>#N/A</v>
      </c>
      <c r="AU42" t="e">
        <f>IF(AC42=0,NA(),-'Drilling Spec'!$C$29*0.2)</f>
        <v>#N/A</v>
      </c>
      <c r="AV42" t="e">
        <f>IF(AH42=0,NA(),-'Drilling Spec'!$C$29*0.3)</f>
        <v>#N/A</v>
      </c>
      <c r="AW42" t="e">
        <f>IF(AI42=0,NA(),-'Drilling Spec'!$C$29*0.3)</f>
        <v>#N/A</v>
      </c>
      <c r="AX42" s="29">
        <f t="shared" si="24"/>
        <v>2.3804878048780465</v>
      </c>
      <c r="AY42" s="29">
        <f t="shared" si="25"/>
        <v>5.5982064217532717</v>
      </c>
      <c r="AZ42" s="29">
        <f t="shared" si="17"/>
        <v>12.671150612283483</v>
      </c>
    </row>
    <row r="43" spans="1:79" x14ac:dyDescent="0.35">
      <c r="A43" s="28">
        <f t="shared" si="18"/>
        <v>46013</v>
      </c>
      <c r="B43" t="str">
        <f t="shared" si="0"/>
        <v>Mon</v>
      </c>
      <c r="C43" s="10" t="s">
        <v>9</v>
      </c>
      <c r="D43" s="10">
        <v>24</v>
      </c>
      <c r="E43" s="4">
        <f t="shared" si="1"/>
        <v>24</v>
      </c>
      <c r="F43" s="4">
        <f t="shared" si="20"/>
        <v>504</v>
      </c>
      <c r="G43" s="4">
        <f t="shared" si="3"/>
        <v>1440</v>
      </c>
      <c r="H43" s="15">
        <f>(SQRT(4*I42*I42*V*V + 'Drilling Spec'!$C$42*I42 + W*('Drilling Spec'!$C$43 + 2*l*V*(s*W + 2*V*G43/(1+e)) + 'Drilling Spec'!$C$44)) - 'Drilling Spec'!$C$45)/(2*V)</f>
        <v>523.09331123018524</v>
      </c>
      <c r="I43" s="23">
        <f>IF(AND(OR(I42=0,I42=""),F43=0),IF(F44=0,"",'Drilling Spec'!$C$26),H43)</f>
        <v>523.09331123018524</v>
      </c>
      <c r="J43" s="16">
        <f>MAX(0,I43-'Drilling Spec'!$C$30)</f>
        <v>443.09331123018524</v>
      </c>
      <c r="K43" s="18">
        <f>IFERROR(J43/'Drilling Spec'!$C$31,0)</f>
        <v>29.539554082012348</v>
      </c>
      <c r="L43" s="21">
        <f t="shared" si="21"/>
        <v>0</v>
      </c>
      <c r="M43" s="4">
        <f t="shared" si="14"/>
        <v>0</v>
      </c>
      <c r="N43" s="21">
        <f t="shared" si="5"/>
        <v>0</v>
      </c>
      <c r="O43" s="18">
        <f>(SQRT(4*O42*O42*vB*vB + 'Drilling Spec'!$C$48*O42 + WB*('Drilling Spec'!$C$49 + 2*lB*vB*(sB*WB + 2*vB*N43/(1+eB)) + 'Drilling Spec'!$C$50)) - 'Drilling Spec'!$C$51)/(2*vB)</f>
        <v>0</v>
      </c>
      <c r="P43" s="18">
        <f>IFERROR(((S43-'Drilling Spec'!$C$30)/'Drilling Spec'!$C$31)*'Drilling Spec'!$C$32,0)</f>
        <v>0</v>
      </c>
      <c r="Q43" s="18">
        <f t="shared" si="15"/>
        <v>0</v>
      </c>
      <c r="R43" s="18"/>
      <c r="S43" s="26" t="str">
        <f>IF(AND(OR(T42=0,T42=""),M43=0),IF(M44=0,"",'Drilling Spec'!$C$30),O43)</f>
        <v/>
      </c>
      <c r="U43" s="15">
        <f>E43*'Drilling Spec'!$C$22 + L43*'Drilling Spec'!$C$23</f>
        <v>0.4809756097560976</v>
      </c>
      <c r="V43" s="15">
        <f t="shared" si="16"/>
        <v>10.10048780487805</v>
      </c>
      <c r="W43" s="15">
        <f t="shared" si="6"/>
        <v>1.8995121951219489</v>
      </c>
      <c r="X43" s="10"/>
      <c r="Y43" s="30">
        <f>IF(W43&lt;U44,'Drilling Spec'!$C$35,0)</f>
        <v>0</v>
      </c>
      <c r="AA43" s="4">
        <f t="shared" si="19"/>
        <v>34</v>
      </c>
      <c r="AB43" s="10"/>
      <c r="AC43" s="30">
        <f>IF('04-07-25-Scen3-Good,24-16hr'!K44&gt;'04-07-25-Scen3-Good,24-16hr'!AA43,'Drilling Spec'!$C$36,)</f>
        <v>0</v>
      </c>
      <c r="AE43" s="18">
        <f>(I43-'Drilling Spec'!$C$26)/'Drilling Spec'!$C$38</f>
        <v>75.515551871697539</v>
      </c>
      <c r="AF43" s="18">
        <f t="shared" si="7"/>
        <v>2.844401259414056</v>
      </c>
      <c r="AG43" s="34">
        <f t="shared" si="22"/>
        <v>15.515551871697539</v>
      </c>
      <c r="AH43" s="10"/>
      <c r="AI43" s="26">
        <f>IF(C43="Camp Closed",AG43,IF(AG43&lt;'Drilling Spec'!$C$39,,'Drilling Spec'!$C$39))</f>
        <v>0</v>
      </c>
      <c r="AL43" s="16">
        <f t="shared" si="23"/>
        <v>-523.09331123018524</v>
      </c>
      <c r="AM43" s="16" t="e">
        <f t="shared" si="10"/>
        <v>#N/A</v>
      </c>
      <c r="AN43">
        <f>-'Drilling Spec'!$C$29</f>
        <v>-720</v>
      </c>
      <c r="AO43">
        <f>-'Drilling Spec'!$C$27</f>
        <v>-624</v>
      </c>
      <c r="AP43">
        <f>-'Drilling Spec'!$C$28</f>
        <v>-688</v>
      </c>
      <c r="AQ43" t="e">
        <f t="shared" si="11"/>
        <v>#N/A</v>
      </c>
      <c r="AR43" t="e">
        <f>IF(X43=0,NA(),-'Drilling Spec'!$C$29*0.1)</f>
        <v>#N/A</v>
      </c>
      <c r="AS43" t="e">
        <f>IF(Y43=0,NA(),-'Drilling Spec'!$C$29*0.1)</f>
        <v>#N/A</v>
      </c>
      <c r="AT43" t="e">
        <f>IF(AB43=0,NA(),-'Drilling Spec'!$C$29*0.2)</f>
        <v>#N/A</v>
      </c>
      <c r="AU43" t="e">
        <f>IF(AC43=0,NA(),-'Drilling Spec'!$C$29*0.2)</f>
        <v>#N/A</v>
      </c>
      <c r="AV43" t="e">
        <f>IF(AH43=0,NA(),-'Drilling Spec'!$C$29*0.3)</f>
        <v>#N/A</v>
      </c>
      <c r="AW43" t="e">
        <f>IF(AI43=0,NA(),-'Drilling Spec'!$C$29*0.3)</f>
        <v>#N/A</v>
      </c>
      <c r="AX43" s="29">
        <f t="shared" si="24"/>
        <v>1.8995121951219489</v>
      </c>
      <c r="AY43" s="29">
        <f t="shared" si="25"/>
        <v>4.4604459179876521</v>
      </c>
      <c r="AZ43" s="29">
        <f t="shared" si="17"/>
        <v>15.515551871697539</v>
      </c>
    </row>
    <row r="44" spans="1:79" x14ac:dyDescent="0.35">
      <c r="A44" s="28">
        <f t="shared" si="18"/>
        <v>46014</v>
      </c>
      <c r="B44" t="str">
        <f t="shared" si="0"/>
        <v>Tue</v>
      </c>
      <c r="C44" s="10" t="s">
        <v>9</v>
      </c>
      <c r="D44" s="10">
        <v>24</v>
      </c>
      <c r="E44" s="4">
        <f t="shared" si="1"/>
        <v>24</v>
      </c>
      <c r="F44" s="4">
        <f t="shared" si="20"/>
        <v>528</v>
      </c>
      <c r="G44" s="4">
        <f t="shared" si="3"/>
        <v>1440</v>
      </c>
      <c r="H44" s="15">
        <f>(SQRT(4*I43*I43*V*V + 'Drilling Spec'!$C$42*I43 + W*('Drilling Spec'!$C$43 + 2*l*V*(s*W + 2*V*G44/(1+e)) + 'Drilling Spec'!$C$44)) - 'Drilling Spec'!$C$45)/(2*V)</f>
        <v>539.8871455319337</v>
      </c>
      <c r="I44" s="23">
        <f>IF(AND(OR(I43=0,I43=""),F44=0),IF(F45=0,"",'Drilling Spec'!$C$26),H44)</f>
        <v>539.8871455319337</v>
      </c>
      <c r="J44" s="16">
        <f>MAX(0,I44-'Drilling Spec'!$C$30)</f>
        <v>459.8871455319337</v>
      </c>
      <c r="K44" s="18">
        <f>IFERROR(J44/'Drilling Spec'!$C$31,0)</f>
        <v>30.659143035462247</v>
      </c>
      <c r="L44" s="21">
        <f t="shared" si="21"/>
        <v>0</v>
      </c>
      <c r="M44" s="4">
        <f t="shared" si="14"/>
        <v>0</v>
      </c>
      <c r="N44" s="21">
        <f t="shared" si="5"/>
        <v>0</v>
      </c>
      <c r="O44" s="18">
        <f>(SQRT(4*O43*O43*vB*vB + 'Drilling Spec'!$C$48*O43 + WB*('Drilling Spec'!$C$49 + 2*lB*vB*(sB*WB + 2*vB*N44/(1+eB)) + 'Drilling Spec'!$C$50)) - 'Drilling Spec'!$C$51)/(2*vB)</f>
        <v>0</v>
      </c>
      <c r="P44" s="18">
        <f>IFERROR(((S44-'Drilling Spec'!$C$30)/'Drilling Spec'!$C$31)*'Drilling Spec'!$C$32,0)</f>
        <v>0</v>
      </c>
      <c r="Q44" s="18">
        <f t="shared" si="15"/>
        <v>0</v>
      </c>
      <c r="R44" s="18"/>
      <c r="S44" s="26" t="str">
        <f>IF(AND(OR(T43=0,T43=""),M44=0),IF(M45=0,"",'Drilling Spec'!$C$30),O44)</f>
        <v/>
      </c>
      <c r="U44" s="15">
        <f>E44*'Drilling Spec'!$C$22 + L44*'Drilling Spec'!$C$23</f>
        <v>0.4809756097560976</v>
      </c>
      <c r="V44" s="15">
        <f t="shared" si="16"/>
        <v>10.581463414634147</v>
      </c>
      <c r="W44" s="15">
        <f t="shared" si="6"/>
        <v>1.4185365853658514</v>
      </c>
      <c r="X44" s="10"/>
      <c r="Y44" s="30">
        <f>IF(W44&lt;U45,'Drilling Spec'!$C$35,0)</f>
        <v>0</v>
      </c>
      <c r="AA44" s="4">
        <f t="shared" si="19"/>
        <v>34</v>
      </c>
      <c r="AB44" s="10"/>
      <c r="AC44" s="30">
        <f>IF('04-07-25-Scen3-Good,24-16hr'!K45&gt;'04-07-25-Scen3-Good,24-16hr'!AA44,'Drilling Spec'!$C$36,)</f>
        <v>0</v>
      </c>
      <c r="AE44" s="18">
        <f>(I44-'Drilling Spec'!$C$26)/'Drilling Spec'!$C$38</f>
        <v>78.314524255322283</v>
      </c>
      <c r="AF44" s="18">
        <f t="shared" si="7"/>
        <v>2.7989723836247435</v>
      </c>
      <c r="AG44" s="34">
        <f t="shared" si="22"/>
        <v>18.314524255322283</v>
      </c>
      <c r="AH44" s="10"/>
      <c r="AI44" s="26">
        <f>IF(C44="Camp Closed",AG44,IF(AG44&lt;'Drilling Spec'!$C$39,,'Drilling Spec'!$C$39))</f>
        <v>0</v>
      </c>
      <c r="AL44" s="16">
        <f t="shared" si="23"/>
        <v>-539.8871455319337</v>
      </c>
      <c r="AM44" s="16" t="e">
        <f t="shared" si="10"/>
        <v>#N/A</v>
      </c>
      <c r="AN44">
        <f>-'Drilling Spec'!$C$29</f>
        <v>-720</v>
      </c>
      <c r="AO44">
        <f>-'Drilling Spec'!$C$27</f>
        <v>-624</v>
      </c>
      <c r="AP44">
        <f>-'Drilling Spec'!$C$28</f>
        <v>-688</v>
      </c>
      <c r="AQ44" t="e">
        <f t="shared" si="11"/>
        <v>#N/A</v>
      </c>
      <c r="AR44" t="e">
        <f>IF(X44=0,NA(),-'Drilling Spec'!$C$29*0.1)</f>
        <v>#N/A</v>
      </c>
      <c r="AS44" t="e">
        <f>IF(Y44=0,NA(),-'Drilling Spec'!$C$29*0.1)</f>
        <v>#N/A</v>
      </c>
      <c r="AT44" t="e">
        <f>IF(AB44=0,NA(),-'Drilling Spec'!$C$29*0.2)</f>
        <v>#N/A</v>
      </c>
      <c r="AU44" t="e">
        <f>IF(AC44=0,NA(),-'Drilling Spec'!$C$29*0.2)</f>
        <v>#N/A</v>
      </c>
      <c r="AV44" t="e">
        <f>IF(AH44=0,NA(),-'Drilling Spec'!$C$29*0.3)</f>
        <v>#N/A</v>
      </c>
      <c r="AW44" t="e">
        <f>IF(AI44=0,NA(),-'Drilling Spec'!$C$29*0.3)</f>
        <v>#N/A</v>
      </c>
      <c r="AX44" s="29">
        <f t="shared" si="24"/>
        <v>1.4185365853658514</v>
      </c>
      <c r="AY44" s="29">
        <f t="shared" si="25"/>
        <v>3.3408569645377533</v>
      </c>
      <c r="AZ44" s="29">
        <f t="shared" si="17"/>
        <v>18.314524255322283</v>
      </c>
    </row>
    <row r="45" spans="1:79" x14ac:dyDescent="0.35">
      <c r="A45" s="28">
        <f t="shared" si="18"/>
        <v>46015</v>
      </c>
      <c r="B45" t="str">
        <f t="shared" si="0"/>
        <v>Wed</v>
      </c>
      <c r="C45" s="10" t="s">
        <v>9</v>
      </c>
      <c r="D45" s="10">
        <v>24</v>
      </c>
      <c r="E45" s="4">
        <f t="shared" si="1"/>
        <v>24</v>
      </c>
      <c r="F45" s="4">
        <f t="shared" si="20"/>
        <v>552</v>
      </c>
      <c r="G45" s="4">
        <f t="shared" si="3"/>
        <v>1440</v>
      </c>
      <c r="H45" s="15">
        <f>(SQRT(4*I44*I44*V*V + 'Drilling Spec'!$C$42*I44 + W*('Drilling Spec'!$C$43 + 2*l*V*(s*W + 2*V*G45/(1+e)) + 'Drilling Spec'!$C$44)) - 'Drilling Spec'!$C$45)/(2*V)</f>
        <v>556.42106390803474</v>
      </c>
      <c r="I45" s="23">
        <f>IF(AND(OR(I44=0,I44=""),F45=0),IF(F46=0,"",'Drilling Spec'!$C$26),H45)</f>
        <v>556.42106390803474</v>
      </c>
      <c r="J45" s="16">
        <f>MAX(0,I45-'Drilling Spec'!$C$30)</f>
        <v>476.42106390803474</v>
      </c>
      <c r="K45" s="18">
        <f>IFERROR(J45/'Drilling Spec'!$C$31,0)</f>
        <v>31.761404260535649</v>
      </c>
      <c r="L45" s="21">
        <f t="shared" si="21"/>
        <v>0</v>
      </c>
      <c r="M45" s="4">
        <f t="shared" si="14"/>
        <v>0</v>
      </c>
      <c r="N45" s="21">
        <f t="shared" si="5"/>
        <v>0</v>
      </c>
      <c r="O45" s="18">
        <f>(SQRT(4*O44*O44*vB*vB + 'Drilling Spec'!$C$48*O44 + WB*('Drilling Spec'!$C$49 + 2*lB*vB*(sB*WB + 2*vB*N45/(1+eB)) + 'Drilling Spec'!$C$50)) - 'Drilling Spec'!$C$51)/(2*vB)</f>
        <v>0</v>
      </c>
      <c r="P45" s="18">
        <f>IFERROR(((S45-'Drilling Spec'!$C$30)/'Drilling Spec'!$C$31)*'Drilling Spec'!$C$32,0)</f>
        <v>0</v>
      </c>
      <c r="Q45" s="18">
        <f t="shared" si="15"/>
        <v>0</v>
      </c>
      <c r="R45" s="18"/>
      <c r="S45" s="26" t="str">
        <f>IF(AND(OR(T44=0,T44=""),M45=0),IF(M46=0,"",'Drilling Spec'!$C$30),O45)</f>
        <v/>
      </c>
      <c r="U45" s="15">
        <f>E45*'Drilling Spec'!$C$22 + L45*'Drilling Spec'!$C$23</f>
        <v>0.4809756097560976</v>
      </c>
      <c r="V45" s="15">
        <f t="shared" si="16"/>
        <v>11.062439024390244</v>
      </c>
      <c r="W45" s="15">
        <f t="shared" si="6"/>
        <v>0.93756097560975382</v>
      </c>
      <c r="X45" s="10"/>
      <c r="Y45" s="30">
        <f>IF(W45&lt;U46,'Drilling Spec'!$C$35,0)</f>
        <v>0</v>
      </c>
      <c r="AA45" s="4">
        <f t="shared" si="19"/>
        <v>34</v>
      </c>
      <c r="AB45" s="10"/>
      <c r="AC45" s="30">
        <f>IF('04-07-25-Scen3-Good,24-16hr'!K46&gt;'04-07-25-Scen3-Good,24-16hr'!AA45,'Drilling Spec'!$C$36,)</f>
        <v>0</v>
      </c>
      <c r="AE45" s="18">
        <f>(I45-'Drilling Spec'!$C$26)/'Drilling Spec'!$C$38</f>
        <v>81.07017731800579</v>
      </c>
      <c r="AF45" s="18">
        <f t="shared" si="7"/>
        <v>2.755653062683507</v>
      </c>
      <c r="AG45" s="34">
        <f t="shared" si="22"/>
        <v>21.07017731800579</v>
      </c>
      <c r="AH45" s="10"/>
      <c r="AI45" s="26">
        <f>IF(C45="Camp Closed",AG45,IF(AG45&lt;'Drilling Spec'!$C$39,,'Drilling Spec'!$C$39))</f>
        <v>20</v>
      </c>
      <c r="AL45" s="16">
        <f t="shared" si="23"/>
        <v>-556.42106390803474</v>
      </c>
      <c r="AM45" s="16" t="e">
        <f t="shared" si="10"/>
        <v>#N/A</v>
      </c>
      <c r="AN45">
        <f>-'Drilling Spec'!$C$29</f>
        <v>-720</v>
      </c>
      <c r="AO45">
        <f>-'Drilling Spec'!$C$27</f>
        <v>-624</v>
      </c>
      <c r="AP45">
        <f>-'Drilling Spec'!$C$28</f>
        <v>-688</v>
      </c>
      <c r="AQ45" t="e">
        <f t="shared" si="11"/>
        <v>#N/A</v>
      </c>
      <c r="AR45" t="e">
        <f>IF(X45=0,NA(),-'Drilling Spec'!$C$29*0.1)</f>
        <v>#N/A</v>
      </c>
      <c r="AS45" t="e">
        <f>IF(Y45=0,NA(),-'Drilling Spec'!$C$29*0.1)</f>
        <v>#N/A</v>
      </c>
      <c r="AT45" t="e">
        <f>IF(AB45=0,NA(),-'Drilling Spec'!$C$29*0.2)</f>
        <v>#N/A</v>
      </c>
      <c r="AU45" t="e">
        <f>IF(AC45=0,NA(),-'Drilling Spec'!$C$29*0.2)</f>
        <v>#N/A</v>
      </c>
      <c r="AV45" t="e">
        <f>IF(AH45=0,NA(),-'Drilling Spec'!$C$29*0.3)</f>
        <v>#N/A</v>
      </c>
      <c r="AW45">
        <f>IF(AI45=0,NA(),-'Drilling Spec'!$C$29*0.3)</f>
        <v>-216</v>
      </c>
      <c r="AX45" s="29">
        <f t="shared" si="24"/>
        <v>0.93756097560975382</v>
      </c>
      <c r="AY45" s="29">
        <f t="shared" si="25"/>
        <v>2.2385957394643512</v>
      </c>
      <c r="AZ45" s="29">
        <f t="shared" si="17"/>
        <v>21.07017731800579</v>
      </c>
    </row>
    <row r="46" spans="1:79" x14ac:dyDescent="0.35">
      <c r="A46" s="28">
        <f t="shared" si="18"/>
        <v>46016</v>
      </c>
      <c r="B46" t="str">
        <f t="shared" si="0"/>
        <v>Thu</v>
      </c>
      <c r="C46" s="10" t="s">
        <v>7</v>
      </c>
      <c r="D46" s="10">
        <v>0</v>
      </c>
      <c r="E46" s="4">
        <f t="shared" si="1"/>
        <v>0</v>
      </c>
      <c r="F46" s="4">
        <f t="shared" si="20"/>
        <v>552</v>
      </c>
      <c r="G46" s="4">
        <f t="shared" si="3"/>
        <v>0</v>
      </c>
      <c r="H46" s="15">
        <f>(SQRT(4*I45*I45*V*V + 'Drilling Spec'!$C$42*I45 + W*('Drilling Spec'!$C$43 + 2*l*V*(s*W + 2*V*G46/(1+e)) + 'Drilling Spec'!$C$44)) - 'Drilling Spec'!$C$45)/(2*V)</f>
        <v>556.42106390803474</v>
      </c>
      <c r="I46" s="23">
        <f>IF(AND(OR(I45=0,I45=""),F46=0),IF(F47=0,"",'Drilling Spec'!$C$26),H46)</f>
        <v>556.42106390803474</v>
      </c>
      <c r="J46" s="16">
        <f>MAX(0,I46-'Drilling Spec'!$C$30)</f>
        <v>476.42106390803474</v>
      </c>
      <c r="K46" s="18">
        <f>IFERROR(J46/'Drilling Spec'!$C$31,0)</f>
        <v>31.761404260535649</v>
      </c>
      <c r="L46" s="21">
        <f t="shared" si="21"/>
        <v>0</v>
      </c>
      <c r="M46" s="4">
        <f t="shared" si="14"/>
        <v>0</v>
      </c>
      <c r="N46" s="21">
        <f t="shared" si="5"/>
        <v>0</v>
      </c>
      <c r="O46" s="18">
        <f>(SQRT(4*O45*O45*vB*vB + 'Drilling Spec'!$C$48*O45 + WB*('Drilling Spec'!$C$49 + 2*lB*vB*(sB*WB + 2*vB*N46/(1+eB)) + 'Drilling Spec'!$C$50)) - 'Drilling Spec'!$C$51)/(2*vB)</f>
        <v>0</v>
      </c>
      <c r="P46" s="18">
        <f>IFERROR(((S46-'Drilling Spec'!$C$30)/'Drilling Spec'!$C$31)*'Drilling Spec'!$C$32,0)</f>
        <v>0</v>
      </c>
      <c r="Q46" s="18">
        <f t="shared" si="15"/>
        <v>0</v>
      </c>
      <c r="R46" s="18"/>
      <c r="S46" s="26" t="str">
        <f>IF(AND(OR(T45=0,T45=""),M46=0),IF(M47=0,"",'Drilling Spec'!$C$30),O46)</f>
        <v/>
      </c>
      <c r="U46" s="15">
        <f>E46*'Drilling Spec'!$C$22 + L46*'Drilling Spec'!$C$23</f>
        <v>0</v>
      </c>
      <c r="V46" s="15">
        <f t="shared" si="16"/>
        <v>11.062439024390244</v>
      </c>
      <c r="W46" s="15">
        <f t="shared" si="6"/>
        <v>0.93756097560975382</v>
      </c>
      <c r="X46" s="10"/>
      <c r="Y46" s="30">
        <f>IF(W46&lt;U47,'Drilling Spec'!$C$35,0)</f>
        <v>0</v>
      </c>
      <c r="AA46" s="4">
        <f t="shared" si="19"/>
        <v>34</v>
      </c>
      <c r="AB46" s="10"/>
      <c r="AC46" s="30">
        <f>IF('04-07-25-Scen3-Good,24-16hr'!K47&gt;'04-07-25-Scen3-Good,24-16hr'!AA46,'Drilling Spec'!$C$36,)</f>
        <v>0</v>
      </c>
      <c r="AE46" s="18">
        <f>(I46-'Drilling Spec'!$C$26)/'Drilling Spec'!$C$38</f>
        <v>81.07017731800579</v>
      </c>
      <c r="AF46" s="18">
        <f t="shared" si="7"/>
        <v>0</v>
      </c>
      <c r="AG46" s="34">
        <f t="shared" si="22"/>
        <v>1.0701773180057899</v>
      </c>
      <c r="AH46" s="10"/>
      <c r="AI46" s="26">
        <f>IF(C46="Camp Closed",AG46,IF(AG46&lt;'Drilling Spec'!$C$39,,'Drilling Spec'!$C$39))</f>
        <v>0</v>
      </c>
      <c r="AL46" s="16">
        <f t="shared" si="23"/>
        <v>-556.42106390803474</v>
      </c>
      <c r="AM46" s="16" t="e">
        <f t="shared" si="10"/>
        <v>#N/A</v>
      </c>
      <c r="AN46">
        <f>-'Drilling Spec'!$C$29</f>
        <v>-720</v>
      </c>
      <c r="AO46">
        <f>-'Drilling Spec'!$C$27</f>
        <v>-624</v>
      </c>
      <c r="AP46">
        <f>-'Drilling Spec'!$C$28</f>
        <v>-688</v>
      </c>
      <c r="AQ46" t="e">
        <f t="shared" si="11"/>
        <v>#N/A</v>
      </c>
      <c r="AR46" t="e">
        <f>IF(X46=0,NA(),-'Drilling Spec'!$C$29*0.1)</f>
        <v>#N/A</v>
      </c>
      <c r="AS46" t="e">
        <f>IF(Y46=0,NA(),-'Drilling Spec'!$C$29*0.1)</f>
        <v>#N/A</v>
      </c>
      <c r="AT46" t="e">
        <f>IF(AB46=0,NA(),-'Drilling Spec'!$C$29*0.2)</f>
        <v>#N/A</v>
      </c>
      <c r="AU46" t="e">
        <f>IF(AC46=0,NA(),-'Drilling Spec'!$C$29*0.2)</f>
        <v>#N/A</v>
      </c>
      <c r="AV46" t="e">
        <f>IF(AH46=0,NA(),-'Drilling Spec'!$C$29*0.3)</f>
        <v>#N/A</v>
      </c>
      <c r="AW46" t="e">
        <f>IF(AI46=0,NA(),-'Drilling Spec'!$C$29*0.3)</f>
        <v>#N/A</v>
      </c>
      <c r="AX46" s="29">
        <f t="shared" si="24"/>
        <v>0.93756097560975382</v>
      </c>
      <c r="AY46" s="29">
        <f t="shared" si="25"/>
        <v>2.2385957394643512</v>
      </c>
      <c r="AZ46" s="29">
        <f t="shared" si="17"/>
        <v>1.0701773180057899</v>
      </c>
      <c r="BA46" s="5" t="s">
        <v>110</v>
      </c>
      <c r="BB46" s="5">
        <f>COUNTIF(C3:C112,"Drilling")</f>
        <v>41</v>
      </c>
      <c r="BC46" s="5" t="s">
        <v>112</v>
      </c>
      <c r="BD46" s="5">
        <f>MAX(F3:F112)</f>
        <v>824</v>
      </c>
      <c r="BE46" s="5" t="s">
        <v>111</v>
      </c>
    </row>
    <row r="47" spans="1:79" x14ac:dyDescent="0.35">
      <c r="A47" s="28">
        <f t="shared" si="18"/>
        <v>46017</v>
      </c>
      <c r="B47" t="str">
        <f t="shared" si="0"/>
        <v>Fri</v>
      </c>
      <c r="C47" s="10" t="s">
        <v>9</v>
      </c>
      <c r="D47" s="10">
        <v>24</v>
      </c>
      <c r="E47" s="4">
        <f t="shared" si="1"/>
        <v>24</v>
      </c>
      <c r="F47" s="4">
        <f t="shared" si="20"/>
        <v>576</v>
      </c>
      <c r="G47" s="4">
        <f t="shared" si="3"/>
        <v>1440</v>
      </c>
      <c r="H47" s="15">
        <f>(SQRT(4*I46*I46*V*V + 'Drilling Spec'!$C$42*I46 + W*('Drilling Spec'!$C$43 + 2*l*V*(s*W + 2*V*G47/(1+e)) + 'Drilling Spec'!$C$44)) - 'Drilling Spec'!$C$45)/(2*V)</f>
        <v>572.70677339402732</v>
      </c>
      <c r="I47" s="23">
        <f>IF(AND(OR(I46=0,I46=""),F47=0),IF(F48=0,"",'Drilling Spec'!$C$26),H47)</f>
        <v>572.70677339402732</v>
      </c>
      <c r="J47" s="16">
        <f>MAX(0,I47-'Drilling Spec'!$C$30)</f>
        <v>492.70677339402732</v>
      </c>
      <c r="K47" s="18">
        <f>IFERROR(J47/'Drilling Spec'!$C$31,0)</f>
        <v>32.847118226268485</v>
      </c>
      <c r="L47" s="21">
        <f t="shared" si="21"/>
        <v>0</v>
      </c>
      <c r="M47" s="4">
        <f t="shared" si="14"/>
        <v>0</v>
      </c>
      <c r="N47" s="21">
        <f t="shared" si="5"/>
        <v>0</v>
      </c>
      <c r="O47" s="18">
        <f>(SQRT(4*O46*O46*vB*vB + 'Drilling Spec'!$C$48*O46 + WB*('Drilling Spec'!$C$49 + 2*lB*vB*(sB*WB + 2*vB*N47/(1+eB)) + 'Drilling Spec'!$C$50)) - 'Drilling Spec'!$C$51)/(2*vB)</f>
        <v>0</v>
      </c>
      <c r="P47" s="18">
        <f>IFERROR(((S47-'Drilling Spec'!$C$30)/'Drilling Spec'!$C$31)*'Drilling Spec'!$C$32,0)</f>
        <v>0</v>
      </c>
      <c r="Q47" s="18">
        <f t="shared" si="15"/>
        <v>0</v>
      </c>
      <c r="R47" s="18"/>
      <c r="S47" s="26" t="str">
        <f>IF(AND(OR(T46=0,T46=""),M47=0),IF(M48=0,"",'Drilling Spec'!$C$30),O47)</f>
        <v/>
      </c>
      <c r="U47" s="15">
        <f>E47*'Drilling Spec'!$C$22 + L47*'Drilling Spec'!$C$23</f>
        <v>0.4809756097560976</v>
      </c>
      <c r="V47" s="15">
        <f t="shared" si="16"/>
        <v>11.543414634146341</v>
      </c>
      <c r="W47" s="15">
        <f t="shared" si="6"/>
        <v>0.45658536585365622</v>
      </c>
      <c r="X47" s="10"/>
      <c r="Y47" s="30">
        <f>IF(W47&lt;U48,'Drilling Spec'!$C$35,0)</f>
        <v>6</v>
      </c>
      <c r="AA47" s="4">
        <f t="shared" si="19"/>
        <v>34</v>
      </c>
      <c r="AB47" s="10"/>
      <c r="AC47" s="30">
        <f>IF('04-07-25-Scen3-Good,24-16hr'!K48&gt;'04-07-25-Scen3-Good,24-16hr'!AA47,'Drilling Spec'!$C$36,)</f>
        <v>0</v>
      </c>
      <c r="AE47" s="18">
        <f>(I47-'Drilling Spec'!$C$26)/'Drilling Spec'!$C$38</f>
        <v>83.784462232337887</v>
      </c>
      <c r="AF47" s="18">
        <f t="shared" si="7"/>
        <v>2.7142849143320973</v>
      </c>
      <c r="AG47" s="34">
        <f t="shared" si="22"/>
        <v>3.7844622323378871</v>
      </c>
      <c r="AH47" s="10"/>
      <c r="AI47" s="26">
        <f>IF(C47="Camp Closed",AG47,IF(AG47&lt;'Drilling Spec'!$C$39,,'Drilling Spec'!$C$39))</f>
        <v>0</v>
      </c>
      <c r="AL47" s="16">
        <f t="shared" si="23"/>
        <v>-572.70677339402732</v>
      </c>
      <c r="AM47" s="16" t="e">
        <f t="shared" si="10"/>
        <v>#N/A</v>
      </c>
      <c r="AN47">
        <f>-'Drilling Spec'!$C$29</f>
        <v>-720</v>
      </c>
      <c r="AO47">
        <f>-'Drilling Spec'!$C$27</f>
        <v>-624</v>
      </c>
      <c r="AP47">
        <f>-'Drilling Spec'!$C$28</f>
        <v>-688</v>
      </c>
      <c r="AQ47" t="e">
        <f t="shared" si="11"/>
        <v>#N/A</v>
      </c>
      <c r="AR47" t="e">
        <f>IF(X47=0,NA(),-'Drilling Spec'!$C$29*0.1)</f>
        <v>#N/A</v>
      </c>
      <c r="AS47">
        <f>IF(Y47=0,NA(),-'Drilling Spec'!$C$29*0.1)</f>
        <v>-72</v>
      </c>
      <c r="AT47" t="e">
        <f>IF(AB47=0,NA(),-'Drilling Spec'!$C$29*0.2)</f>
        <v>#N/A</v>
      </c>
      <c r="AU47" t="e">
        <f>IF(AC47=0,NA(),-'Drilling Spec'!$C$29*0.2)</f>
        <v>#N/A</v>
      </c>
      <c r="AV47" t="e">
        <f>IF(AH47=0,NA(),-'Drilling Spec'!$C$29*0.3)</f>
        <v>#N/A</v>
      </c>
      <c r="AW47" t="e">
        <f>IF(AI47=0,NA(),-'Drilling Spec'!$C$29*0.3)</f>
        <v>#N/A</v>
      </c>
      <c r="AX47" s="29">
        <f t="shared" si="24"/>
        <v>0.45658536585365622</v>
      </c>
      <c r="AY47" s="29">
        <f t="shared" si="25"/>
        <v>1.1528817737315151</v>
      </c>
      <c r="AZ47" s="29">
        <f t="shared" si="17"/>
        <v>3.7844622323378871</v>
      </c>
      <c r="BA47" s="5" t="s">
        <v>109</v>
      </c>
      <c r="BB47" s="5">
        <f>COUNTIF(C3:C112,"Bailing")</f>
        <v>6</v>
      </c>
      <c r="BC47" s="5" t="s">
        <v>112</v>
      </c>
      <c r="BD47" s="5">
        <f>MAX(M3:M112)</f>
        <v>132</v>
      </c>
      <c r="BE47" s="5" t="s">
        <v>111</v>
      </c>
    </row>
    <row r="48" spans="1:79" x14ac:dyDescent="0.35">
      <c r="A48" s="28">
        <f t="shared" si="18"/>
        <v>46018</v>
      </c>
      <c r="B48" t="str">
        <f t="shared" si="0"/>
        <v>Sat</v>
      </c>
      <c r="C48" s="10" t="s">
        <v>9</v>
      </c>
      <c r="D48" s="10">
        <v>24</v>
      </c>
      <c r="E48" s="4">
        <f t="shared" si="1"/>
        <v>24</v>
      </c>
      <c r="F48" s="4">
        <f t="shared" si="20"/>
        <v>600</v>
      </c>
      <c r="G48" s="4">
        <f t="shared" si="3"/>
        <v>1440</v>
      </c>
      <c r="H48" s="15">
        <f>(SQRT(4*I47*I47*V*V + 'Drilling Spec'!$C$42*I47 + W*('Drilling Spec'!$C$43 + 2*l*V*(s*W + 2*V*G48/(1+e)) + 'Drilling Spec'!$C$44)) - 'Drilling Spec'!$C$45)/(2*V)</f>
        <v>588.75512771525223</v>
      </c>
      <c r="I48" s="23">
        <f>IF(AND(OR(I47=0,I47=""),F48=0),IF(F49=0,"",'Drilling Spec'!$C$26),H48)</f>
        <v>588.75512771525223</v>
      </c>
      <c r="J48" s="16">
        <f>MAX(0,I48-'Drilling Spec'!$C$30)</f>
        <v>508.75512771525223</v>
      </c>
      <c r="K48" s="18">
        <f>IFERROR(J48/'Drilling Spec'!$C$31,0)</f>
        <v>33.917008514350151</v>
      </c>
      <c r="L48" s="21">
        <f t="shared" si="21"/>
        <v>0</v>
      </c>
      <c r="M48" s="4">
        <f t="shared" si="14"/>
        <v>0</v>
      </c>
      <c r="N48" s="21">
        <f t="shared" si="5"/>
        <v>0</v>
      </c>
      <c r="O48" s="18">
        <f>(SQRT(4*O47*O47*vB*vB + 'Drilling Spec'!$C$48*O47 + WB*('Drilling Spec'!$C$49 + 2*lB*vB*(sB*WB + 2*vB*N48/(1+eB)) + 'Drilling Spec'!$C$50)) - 'Drilling Spec'!$C$51)/(2*vB)</f>
        <v>0</v>
      </c>
      <c r="P48" s="18">
        <f>IFERROR(((S48-'Drilling Spec'!$C$30)/'Drilling Spec'!$C$31)*'Drilling Spec'!$C$32,0)</f>
        <v>0</v>
      </c>
      <c r="Q48" s="18">
        <f t="shared" si="15"/>
        <v>0</v>
      </c>
      <c r="R48" s="18"/>
      <c r="S48" s="26" t="str">
        <f>IF(AND(OR(T47=0,T47=""),M48=0),IF(M49=0,"",'Drilling Spec'!$C$30),O48)</f>
        <v/>
      </c>
      <c r="U48" s="15">
        <f>E48*'Drilling Spec'!$C$22 + L48*'Drilling Spec'!$C$23</f>
        <v>0.4809756097560976</v>
      </c>
      <c r="V48" s="15">
        <f t="shared" si="16"/>
        <v>12.024390243902438</v>
      </c>
      <c r="W48" s="15">
        <f t="shared" si="6"/>
        <v>5.9756097560975583</v>
      </c>
      <c r="X48" s="10"/>
      <c r="Y48" s="30">
        <f>IF(W48&lt;U49,'Drilling Spec'!$C$35,0)</f>
        <v>0</v>
      </c>
      <c r="AA48" s="4">
        <f t="shared" si="19"/>
        <v>34</v>
      </c>
      <c r="AB48" s="10"/>
      <c r="AC48" s="30">
        <f>IF('04-07-25-Scen3-Good,24-16hr'!K49&gt;'04-07-25-Scen3-Good,24-16hr'!AA48,'Drilling Spec'!$C$36,)</f>
        <v>6</v>
      </c>
      <c r="AE48" s="18">
        <f>(I48-'Drilling Spec'!$C$26)/'Drilling Spec'!$C$38</f>
        <v>86.459187952542038</v>
      </c>
      <c r="AF48" s="18">
        <f t="shared" si="7"/>
        <v>2.674725720204151</v>
      </c>
      <c r="AG48" s="34">
        <f t="shared" si="22"/>
        <v>6.4591879525420381</v>
      </c>
      <c r="AH48" s="10"/>
      <c r="AI48" s="26">
        <f>IF(C48="Camp Closed",AG48,IF(AG48&lt;'Drilling Spec'!$C$39,,'Drilling Spec'!$C$39))</f>
        <v>0</v>
      </c>
      <c r="AL48" s="16">
        <f t="shared" si="23"/>
        <v>-588.75512771525223</v>
      </c>
      <c r="AM48" s="16" t="e">
        <f t="shared" si="10"/>
        <v>#N/A</v>
      </c>
      <c r="AN48">
        <f>-'Drilling Spec'!$C$29</f>
        <v>-720</v>
      </c>
      <c r="AO48">
        <f>-'Drilling Spec'!$C$27</f>
        <v>-624</v>
      </c>
      <c r="AP48">
        <f>-'Drilling Spec'!$C$28</f>
        <v>-688</v>
      </c>
      <c r="AQ48" t="e">
        <f t="shared" si="11"/>
        <v>#N/A</v>
      </c>
      <c r="AR48" t="e">
        <f>IF(X48=0,NA(),-'Drilling Spec'!$C$29*0.1)</f>
        <v>#N/A</v>
      </c>
      <c r="AS48" t="e">
        <f>IF(Y48=0,NA(),-'Drilling Spec'!$C$29*0.1)</f>
        <v>#N/A</v>
      </c>
      <c r="AT48" t="e">
        <f>IF(AB48=0,NA(),-'Drilling Spec'!$C$29*0.2)</f>
        <v>#N/A</v>
      </c>
      <c r="AU48">
        <f>IF(AC48=0,NA(),-'Drilling Spec'!$C$29*0.2)</f>
        <v>-144</v>
      </c>
      <c r="AV48" t="e">
        <f>IF(AH48=0,NA(),-'Drilling Spec'!$C$29*0.3)</f>
        <v>#N/A</v>
      </c>
      <c r="AW48" t="e">
        <f>IF(AI48=0,NA(),-'Drilling Spec'!$C$29*0.3)</f>
        <v>#N/A</v>
      </c>
      <c r="AX48" s="29">
        <f t="shared" si="24"/>
        <v>5.9756097560975583</v>
      </c>
      <c r="AY48" s="29">
        <f t="shared" si="25"/>
        <v>8.2991485649849039E-2</v>
      </c>
      <c r="AZ48" s="29">
        <f t="shared" si="17"/>
        <v>6.4591879525420381</v>
      </c>
    </row>
    <row r="49" spans="1:57" x14ac:dyDescent="0.35">
      <c r="A49" s="28">
        <f t="shared" si="18"/>
        <v>46019</v>
      </c>
      <c r="B49" t="str">
        <f t="shared" si="0"/>
        <v>Sun</v>
      </c>
      <c r="C49" s="10" t="s">
        <v>9</v>
      </c>
      <c r="D49" s="10">
        <v>16</v>
      </c>
      <c r="E49" s="4">
        <f t="shared" si="1"/>
        <v>16</v>
      </c>
      <c r="F49" s="4">
        <f t="shared" si="20"/>
        <v>616</v>
      </c>
      <c r="G49" s="4">
        <f t="shared" si="3"/>
        <v>960</v>
      </c>
      <c r="H49" s="15">
        <f>(SQRT(4*I48*I48*V*V + 'Drilling Spec'!$C$42*I48 + W*('Drilling Spec'!$C$43 + 2*l*V*(s*W + 2*V*G49/(1+e)) + 'Drilling Spec'!$C$44)) - 'Drilling Spec'!$C$45)/(2*V)</f>
        <v>599.32717621184452</v>
      </c>
      <c r="I49" s="23">
        <f>IF(AND(OR(I48=0,I48=""),F49=0),IF(F50=0,"",'Drilling Spec'!$C$26),H49)</f>
        <v>599.32717621184452</v>
      </c>
      <c r="J49" s="16">
        <f>MAX(0,I49-'Drilling Spec'!$C$30)</f>
        <v>519.32717621184452</v>
      </c>
      <c r="K49" s="18">
        <f>IFERROR(J49/'Drilling Spec'!$C$31,0)</f>
        <v>34.621811747456299</v>
      </c>
      <c r="L49" s="21">
        <f t="shared" si="21"/>
        <v>0</v>
      </c>
      <c r="M49" s="4">
        <f t="shared" si="14"/>
        <v>0</v>
      </c>
      <c r="N49" s="21">
        <f t="shared" si="5"/>
        <v>0</v>
      </c>
      <c r="O49" s="18">
        <f>(SQRT(4*O48*O48*vB*vB + 'Drilling Spec'!$C$48*O48 + WB*('Drilling Spec'!$C$49 + 2*lB*vB*(sB*WB + 2*vB*N49/(1+eB)) + 'Drilling Spec'!$C$50)) - 'Drilling Spec'!$C$51)/(2*vB)</f>
        <v>0</v>
      </c>
      <c r="P49" s="18">
        <f>IFERROR(((S49-'Drilling Spec'!$C$30)/'Drilling Spec'!$C$31)*'Drilling Spec'!$C$32,0)</f>
        <v>0</v>
      </c>
      <c r="Q49" s="18">
        <f t="shared" si="15"/>
        <v>0</v>
      </c>
      <c r="R49" s="18"/>
      <c r="S49" s="26" t="str">
        <f>IF(AND(OR(T48=0,T48=""),M49=0),IF(M50=0,"",'Drilling Spec'!$C$30),O49)</f>
        <v/>
      </c>
      <c r="U49" s="15">
        <f>E49*'Drilling Spec'!$C$22 + L49*'Drilling Spec'!$C$23</f>
        <v>0.32065040650406507</v>
      </c>
      <c r="V49" s="15">
        <f t="shared" si="16"/>
        <v>12.345040650406503</v>
      </c>
      <c r="W49" s="15">
        <f t="shared" si="6"/>
        <v>5.6549593495934936</v>
      </c>
      <c r="X49" s="10"/>
      <c r="Y49" s="30">
        <f>IF(W49&lt;U50,'Drilling Spec'!$C$35,0)</f>
        <v>0</v>
      </c>
      <c r="AA49" s="4">
        <f t="shared" si="19"/>
        <v>40</v>
      </c>
      <c r="AB49" s="10"/>
      <c r="AC49" s="30">
        <f>IF('04-07-25-Scen3-Good,24-16hr'!K50&gt;'04-07-25-Scen3-Good,24-16hr'!AA49,'Drilling Spec'!$C$36,)</f>
        <v>0</v>
      </c>
      <c r="AE49" s="18">
        <f>(I49-'Drilling Spec'!$C$26)/'Drilling Spec'!$C$38</f>
        <v>88.221196035307415</v>
      </c>
      <c r="AF49" s="18">
        <f t="shared" si="7"/>
        <v>1.7620080827653766</v>
      </c>
      <c r="AG49" s="34">
        <f t="shared" si="22"/>
        <v>8.2211960353074147</v>
      </c>
      <c r="AH49" s="10"/>
      <c r="AI49" s="26">
        <f>IF(C49="Camp Closed",AG49,IF(AG49&lt;'Drilling Spec'!$C$39,,'Drilling Spec'!$C$39))</f>
        <v>0</v>
      </c>
      <c r="AL49" s="16">
        <f t="shared" si="23"/>
        <v>-599.32717621184452</v>
      </c>
      <c r="AM49" s="16" t="e">
        <f t="shared" si="10"/>
        <v>#N/A</v>
      </c>
      <c r="AN49">
        <f>-'Drilling Spec'!$C$29</f>
        <v>-720</v>
      </c>
      <c r="AO49">
        <f>-'Drilling Spec'!$C$27</f>
        <v>-624</v>
      </c>
      <c r="AP49">
        <f>-'Drilling Spec'!$C$28</f>
        <v>-688</v>
      </c>
      <c r="AQ49" t="e">
        <f t="shared" si="11"/>
        <v>#N/A</v>
      </c>
      <c r="AR49" t="e">
        <f>IF(X49=0,NA(),-'Drilling Spec'!$C$29*0.1)</f>
        <v>#N/A</v>
      </c>
      <c r="AS49" t="e">
        <f>IF(Y49=0,NA(),-'Drilling Spec'!$C$29*0.1)</f>
        <v>#N/A</v>
      </c>
      <c r="AT49" t="e">
        <f>IF(AB49=0,NA(),-'Drilling Spec'!$C$29*0.2)</f>
        <v>#N/A</v>
      </c>
      <c r="AU49" t="e">
        <f>IF(AC49=0,NA(),-'Drilling Spec'!$C$29*0.2)</f>
        <v>#N/A</v>
      </c>
      <c r="AV49" t="e">
        <f>IF(AH49=0,NA(),-'Drilling Spec'!$C$29*0.3)</f>
        <v>#N/A</v>
      </c>
      <c r="AW49" t="e">
        <f>IF(AI49=0,NA(),-'Drilling Spec'!$C$29*0.3)</f>
        <v>#N/A</v>
      </c>
      <c r="AX49" s="29">
        <f t="shared" si="24"/>
        <v>5.6549593495934936</v>
      </c>
      <c r="AY49" s="29">
        <f t="shared" si="25"/>
        <v>5.3781882525437013</v>
      </c>
      <c r="AZ49" s="29">
        <f t="shared" si="17"/>
        <v>8.2211960353074147</v>
      </c>
      <c r="BA49" s="5" t="s">
        <v>117</v>
      </c>
      <c r="BB49" s="5">
        <f>BB52-BB50</f>
        <v>65</v>
      </c>
      <c r="BC49" s="5" t="s">
        <v>112</v>
      </c>
      <c r="BD49" s="5">
        <f>SUM(D3:D112)</f>
        <v>1184</v>
      </c>
      <c r="BE49" s="5" t="s">
        <v>111</v>
      </c>
    </row>
    <row r="50" spans="1:57" x14ac:dyDescent="0.35">
      <c r="A50" s="28">
        <f t="shared" si="18"/>
        <v>46020</v>
      </c>
      <c r="B50" t="str">
        <f t="shared" si="0"/>
        <v>Mon</v>
      </c>
      <c r="C50" s="10" t="s">
        <v>9</v>
      </c>
      <c r="D50" s="10">
        <v>16</v>
      </c>
      <c r="E50" s="4">
        <f t="shared" si="1"/>
        <v>16</v>
      </c>
      <c r="F50" s="4">
        <f t="shared" si="20"/>
        <v>632</v>
      </c>
      <c r="G50" s="4">
        <f t="shared" si="3"/>
        <v>960</v>
      </c>
      <c r="H50" s="15">
        <f>(SQRT(4*I49*I49*V*V + 'Drilling Spec'!$C$42*I49 + W*('Drilling Spec'!$C$43 + 2*l*V*(s*W + 2*V*G50/(1+e)) + 'Drilling Spec'!$C$44)) - 'Drilling Spec'!$C$45)/(2*V)</f>
        <v>609.8010439157448</v>
      </c>
      <c r="I50" s="23">
        <f>IF(AND(OR(I49=0,I49=""),F50=0),IF(F51=0,"",'Drilling Spec'!$C$26),H50)</f>
        <v>609.8010439157448</v>
      </c>
      <c r="J50" s="16">
        <f>MAX(0,I50-'Drilling Spec'!$C$30)</f>
        <v>529.8010439157448</v>
      </c>
      <c r="K50" s="18">
        <f>IFERROR(J50/'Drilling Spec'!$C$31,0)</f>
        <v>35.320069594382986</v>
      </c>
      <c r="L50" s="21">
        <f t="shared" si="21"/>
        <v>0</v>
      </c>
      <c r="M50" s="4">
        <f t="shared" si="14"/>
        <v>0</v>
      </c>
      <c r="N50" s="21">
        <f t="shared" si="5"/>
        <v>0</v>
      </c>
      <c r="O50" s="18">
        <f>(SQRT(4*O49*O49*vB*vB + 'Drilling Spec'!$C$48*O49 + WB*('Drilling Spec'!$C$49 + 2*lB*vB*(sB*WB + 2*vB*N50/(1+eB)) + 'Drilling Spec'!$C$50)) - 'Drilling Spec'!$C$51)/(2*vB)</f>
        <v>0</v>
      </c>
      <c r="P50" s="18">
        <f>IFERROR(((S50-'Drilling Spec'!$C$30)/'Drilling Spec'!$C$31)*'Drilling Spec'!$C$32,0)</f>
        <v>0</v>
      </c>
      <c r="Q50" s="18">
        <f t="shared" si="15"/>
        <v>0</v>
      </c>
      <c r="R50" s="18"/>
      <c r="S50" s="26" t="str">
        <f>IF(AND(OR(T49=0,T49=""),M50=0),IF(M51=0,"",'Drilling Spec'!$C$30),O50)</f>
        <v/>
      </c>
      <c r="U50" s="15">
        <f>E50*'Drilling Spec'!$C$22 + L50*'Drilling Spec'!$C$23</f>
        <v>0.32065040650406507</v>
      </c>
      <c r="V50" s="15">
        <f t="shared" si="16"/>
        <v>12.665691056910568</v>
      </c>
      <c r="W50" s="15">
        <f t="shared" si="6"/>
        <v>5.3343089430894288</v>
      </c>
      <c r="X50" s="10"/>
      <c r="Y50" s="30">
        <f>IF(W50&lt;U51,'Drilling Spec'!$C$35,0)</f>
        <v>0</v>
      </c>
      <c r="AA50" s="4">
        <f t="shared" si="19"/>
        <v>40</v>
      </c>
      <c r="AB50" s="10"/>
      <c r="AC50" s="30">
        <f>IF('04-07-25-Scen3-Good,24-16hr'!K51&gt;'04-07-25-Scen3-Good,24-16hr'!AA50,'Drilling Spec'!$C$36,)</f>
        <v>0</v>
      </c>
      <c r="AE50" s="18">
        <f>(I50-'Drilling Spec'!$C$26)/'Drilling Spec'!$C$38</f>
        <v>89.966840652624128</v>
      </c>
      <c r="AF50" s="18">
        <f t="shared" si="7"/>
        <v>1.7456446173167137</v>
      </c>
      <c r="AG50" s="34">
        <f t="shared" si="22"/>
        <v>9.9668406526241284</v>
      </c>
      <c r="AH50" s="10"/>
      <c r="AI50" s="26">
        <f>IF(C50="Camp Closed",AG50,IF(AG50&lt;'Drilling Spec'!$C$39,,'Drilling Spec'!$C$39))</f>
        <v>0</v>
      </c>
      <c r="AL50" s="16">
        <f t="shared" si="23"/>
        <v>-609.8010439157448</v>
      </c>
      <c r="AM50" s="16" t="e">
        <f t="shared" si="10"/>
        <v>#N/A</v>
      </c>
      <c r="AN50">
        <f>-'Drilling Spec'!$C$29</f>
        <v>-720</v>
      </c>
      <c r="AO50">
        <f>-'Drilling Spec'!$C$27</f>
        <v>-624</v>
      </c>
      <c r="AP50">
        <f>-'Drilling Spec'!$C$28</f>
        <v>-688</v>
      </c>
      <c r="AQ50" t="e">
        <f t="shared" si="11"/>
        <v>#N/A</v>
      </c>
      <c r="AR50" t="e">
        <f>IF(X50=0,NA(),-'Drilling Spec'!$C$29*0.1)</f>
        <v>#N/A</v>
      </c>
      <c r="AS50" t="e">
        <f>IF(Y50=0,NA(),-'Drilling Spec'!$C$29*0.1)</f>
        <v>#N/A</v>
      </c>
      <c r="AT50" t="e">
        <f>IF(AB50=0,NA(),-'Drilling Spec'!$C$29*0.2)</f>
        <v>#N/A</v>
      </c>
      <c r="AU50" t="e">
        <f>IF(AC50=0,NA(),-'Drilling Spec'!$C$29*0.2)</f>
        <v>#N/A</v>
      </c>
      <c r="AV50" t="e">
        <f>IF(AH50=0,NA(),-'Drilling Spec'!$C$29*0.3)</f>
        <v>#N/A</v>
      </c>
      <c r="AW50" t="e">
        <f>IF(AI50=0,NA(),-'Drilling Spec'!$C$29*0.3)</f>
        <v>#N/A</v>
      </c>
      <c r="AX50" s="29">
        <f t="shared" si="24"/>
        <v>5.3343089430894288</v>
      </c>
      <c r="AY50" s="29">
        <f t="shared" si="25"/>
        <v>4.6799304056170143</v>
      </c>
      <c r="AZ50" s="29">
        <f t="shared" si="17"/>
        <v>9.9668406526241284</v>
      </c>
      <c r="BA50" s="5" t="s">
        <v>108</v>
      </c>
      <c r="BB50" s="5">
        <f>COUNTIF(C3:C112,"REST")</f>
        <v>10</v>
      </c>
      <c r="BC50" s="5" t="s">
        <v>112</v>
      </c>
    </row>
    <row r="51" spans="1:57" x14ac:dyDescent="0.35">
      <c r="A51" s="28">
        <f t="shared" si="18"/>
        <v>46021</v>
      </c>
      <c r="B51" t="str">
        <f t="shared" si="0"/>
        <v>Tue</v>
      </c>
      <c r="C51" s="10" t="s">
        <v>9</v>
      </c>
      <c r="D51" s="10">
        <v>16</v>
      </c>
      <c r="E51" s="4">
        <f t="shared" si="1"/>
        <v>16</v>
      </c>
      <c r="F51" s="4">
        <f t="shared" si="20"/>
        <v>648</v>
      </c>
      <c r="G51" s="4">
        <f t="shared" si="3"/>
        <v>960</v>
      </c>
      <c r="H51" s="15">
        <f>(SQRT(4*I50*I50*V*V + 'Drilling Spec'!$C$42*I50 + W*('Drilling Spec'!$C$43 + 2*l*V*(s*W + 2*V*G51/(1+e)) + 'Drilling Spec'!$C$44)) - 'Drilling Spec'!$C$45)/(2*V)</f>
        <v>620.17941642361586</v>
      </c>
      <c r="I51" s="23">
        <f>IF(AND(OR(I50=0,I50=""),F51=0),IF(F52=0,"",'Drilling Spec'!$C$26),H51)</f>
        <v>620.17941642361586</v>
      </c>
      <c r="J51" s="16">
        <f>MAX(0,I51-'Drilling Spec'!$C$30)</f>
        <v>540.17941642361586</v>
      </c>
      <c r="K51" s="18">
        <f>IFERROR(J51/'Drilling Spec'!$C$31,0)</f>
        <v>36.011961094907726</v>
      </c>
      <c r="L51" s="21">
        <f t="shared" si="21"/>
        <v>0</v>
      </c>
      <c r="M51" s="4">
        <f>(M50+L51)</f>
        <v>0</v>
      </c>
      <c r="N51" s="21">
        <f t="shared" si="5"/>
        <v>0</v>
      </c>
      <c r="O51" s="18">
        <f>(SQRT(4*O50*O50*vB*vB + 'Drilling Spec'!$C$48*O50 + WB*('Drilling Spec'!$C$49 + 2*lB*vB*(sB*WB + 2*vB*N51/(1+eB)) + 'Drilling Spec'!$C$50)) - 'Drilling Spec'!$C$51)/(2*vB)</f>
        <v>0</v>
      </c>
      <c r="P51" s="18">
        <f>IFERROR(((S51-'Drilling Spec'!$C$30)/'Drilling Spec'!$C$31)*'Drilling Spec'!$C$32,0)</f>
        <v>0</v>
      </c>
      <c r="Q51" s="18">
        <f t="shared" si="15"/>
        <v>0</v>
      </c>
      <c r="R51" s="18"/>
      <c r="S51" s="26" t="str">
        <f>IF(AND(OR(T50=0,T50=""),M51=0),IF(M52=0,"",'Drilling Spec'!$C$30),O51)</f>
        <v/>
      </c>
      <c r="U51" s="15">
        <f>E51*'Drilling Spec'!$C$22 + L51*'Drilling Spec'!$C$23</f>
        <v>0.32065040650406507</v>
      </c>
      <c r="V51" s="15">
        <f t="shared" si="16"/>
        <v>12.986341463414632</v>
      </c>
      <c r="W51" s="15">
        <f t="shared" si="6"/>
        <v>5.0136585365853641</v>
      </c>
      <c r="X51" s="10"/>
      <c r="Y51" s="30">
        <f>IF(W51&lt;U52,'Drilling Spec'!$C$35,0)</f>
        <v>0</v>
      </c>
      <c r="AA51" s="4">
        <f t="shared" si="19"/>
        <v>40</v>
      </c>
      <c r="AB51" s="10"/>
      <c r="AC51" s="30">
        <f>IF('04-07-25-Scen3-Good,24-16hr'!K52&gt;'04-07-25-Scen3-Good,24-16hr'!AA51,'Drilling Spec'!$C$36,)</f>
        <v>0</v>
      </c>
      <c r="AE51" s="18">
        <f>(I51-'Drilling Spec'!$C$26)/'Drilling Spec'!$C$38</f>
        <v>91.696569403935982</v>
      </c>
      <c r="AF51" s="18">
        <f t="shared" si="7"/>
        <v>1.7297287513118533</v>
      </c>
      <c r="AG51" s="34">
        <f t="shared" si="22"/>
        <v>11.696569403935982</v>
      </c>
      <c r="AH51" s="10"/>
      <c r="AI51" s="26">
        <f>IF(C51="Camp Closed",AG51,IF(AG51&lt;'Drilling Spec'!$C$39,,'Drilling Spec'!$C$39))</f>
        <v>0</v>
      </c>
      <c r="AL51" s="16">
        <f t="shared" si="23"/>
        <v>-620.17941642361586</v>
      </c>
      <c r="AM51" s="16" t="e">
        <f t="shared" si="10"/>
        <v>#N/A</v>
      </c>
      <c r="AN51">
        <f>-'Drilling Spec'!$C$29</f>
        <v>-720</v>
      </c>
      <c r="AO51">
        <f>-'Drilling Spec'!$C$27</f>
        <v>-624</v>
      </c>
      <c r="AP51">
        <f>-'Drilling Spec'!$C$28</f>
        <v>-688</v>
      </c>
      <c r="AQ51" t="e">
        <f t="shared" si="11"/>
        <v>#N/A</v>
      </c>
      <c r="AR51" t="e">
        <f>IF(X51=0,NA(),-'Drilling Spec'!$C$29*0.1)</f>
        <v>#N/A</v>
      </c>
      <c r="AS51" t="e">
        <f>IF(Y51=0,NA(),-'Drilling Spec'!$C$29*0.1)</f>
        <v>#N/A</v>
      </c>
      <c r="AT51" t="e">
        <f>IF(AB51=0,NA(),-'Drilling Spec'!$C$29*0.2)</f>
        <v>#N/A</v>
      </c>
      <c r="AU51" t="e">
        <f>IF(AC51=0,NA(),-'Drilling Spec'!$C$29*0.2)</f>
        <v>#N/A</v>
      </c>
      <c r="AV51" t="e">
        <f>IF(AH51=0,NA(),-'Drilling Spec'!$C$29*0.3)</f>
        <v>#N/A</v>
      </c>
      <c r="AW51" t="e">
        <f>IF(AI51=0,NA(),-'Drilling Spec'!$C$29*0.3)</f>
        <v>#N/A</v>
      </c>
      <c r="AX51" s="29">
        <f t="shared" si="24"/>
        <v>5.0136585365853641</v>
      </c>
      <c r="AY51" s="29">
        <f t="shared" si="25"/>
        <v>3.9880389050922744</v>
      </c>
      <c r="AZ51" s="29">
        <f t="shared" si="17"/>
        <v>11.696569403935982</v>
      </c>
    </row>
    <row r="52" spans="1:57" x14ac:dyDescent="0.35">
      <c r="A52" s="28">
        <f t="shared" si="18"/>
        <v>46022</v>
      </c>
      <c r="B52" t="str">
        <f t="shared" si="0"/>
        <v>Wed</v>
      </c>
      <c r="C52" s="10" t="s">
        <v>7</v>
      </c>
      <c r="D52" s="10">
        <v>0</v>
      </c>
      <c r="E52" s="4">
        <f t="shared" si="1"/>
        <v>0</v>
      </c>
      <c r="F52" s="4">
        <f t="shared" si="20"/>
        <v>648</v>
      </c>
      <c r="G52" s="4">
        <f t="shared" si="3"/>
        <v>0</v>
      </c>
      <c r="H52" s="15">
        <f>(SQRT(4*I51*I51*V*V + 'Drilling Spec'!$C$42*I51 + W*('Drilling Spec'!$C$43 + 2*l*V*(s*W + 2*V*G52/(1+e)) + 'Drilling Spec'!$C$44)) - 'Drilling Spec'!$C$45)/(2*V)</f>
        <v>620.17941642361586</v>
      </c>
      <c r="I52" s="23">
        <f>IF(AND(OR(I51=0,I51=""),F52=0),IF(F53=0,"",'Drilling Spec'!$C$26),H52)</f>
        <v>620.17941642361586</v>
      </c>
      <c r="J52" s="16">
        <f>MAX(0,I52-'Drilling Spec'!$C$30)</f>
        <v>540.17941642361586</v>
      </c>
      <c r="K52" s="18">
        <f>IFERROR(J52/'Drilling Spec'!$C$31,0)</f>
        <v>36.011961094907726</v>
      </c>
      <c r="L52" s="21">
        <f t="shared" si="21"/>
        <v>0</v>
      </c>
      <c r="M52" s="4">
        <f t="shared" si="14"/>
        <v>0</v>
      </c>
      <c r="N52" s="21">
        <f t="shared" si="5"/>
        <v>0</v>
      </c>
      <c r="O52" s="18">
        <f>(SQRT(4*O51*O51*vB*vB + 'Drilling Spec'!$C$48*O51 + WB*('Drilling Spec'!$C$49 + 2*lB*vB*(sB*WB + 2*vB*N52/(1+eB)) + 'Drilling Spec'!$C$50)) - 'Drilling Spec'!$C$51)/(2*vB)</f>
        <v>0</v>
      </c>
      <c r="P52" s="18">
        <f>IFERROR(((S52-'Drilling Spec'!$C$30)/'Drilling Spec'!$C$31)*'Drilling Spec'!$C$32,0)</f>
        <v>0</v>
      </c>
      <c r="Q52" s="18">
        <f t="shared" si="15"/>
        <v>0</v>
      </c>
      <c r="R52" s="18"/>
      <c r="S52" s="26" t="str">
        <f>IF(AND(OR(T51=0,T51=""),M52=0),IF(M53=0,"",'Drilling Spec'!$C$30),O52)</f>
        <v/>
      </c>
      <c r="U52" s="15">
        <f>E52*'Drilling Spec'!$C$22 + L52*'Drilling Spec'!$C$23</f>
        <v>0</v>
      </c>
      <c r="V52" s="15">
        <f t="shared" si="16"/>
        <v>12.986341463414632</v>
      </c>
      <c r="W52" s="15">
        <f t="shared" si="6"/>
        <v>5.0136585365853641</v>
      </c>
      <c r="X52" s="10"/>
      <c r="Y52" s="30">
        <f>IF(W52&lt;U53,'Drilling Spec'!$C$35,0)</f>
        <v>0</v>
      </c>
      <c r="AA52" s="4">
        <f t="shared" si="19"/>
        <v>40</v>
      </c>
      <c r="AB52" s="10"/>
      <c r="AC52" s="30">
        <f>IF('04-07-25-Scen3-Good,24-16hr'!K53&gt;'04-07-25-Scen3-Good,24-16hr'!AA52,'Drilling Spec'!$C$36,)</f>
        <v>0</v>
      </c>
      <c r="AE52" s="18">
        <f>(I52-'Drilling Spec'!$C$26)/'Drilling Spec'!$C$38</f>
        <v>91.696569403935982</v>
      </c>
      <c r="AF52" s="18">
        <f t="shared" si="7"/>
        <v>0</v>
      </c>
      <c r="AG52" s="34">
        <f t="shared" si="22"/>
        <v>11.696569403935982</v>
      </c>
      <c r="AH52" s="10"/>
      <c r="AI52" s="26">
        <f>IF(C52="Camp Closed",AG52,IF(AG52&lt;'Drilling Spec'!$C$39,,'Drilling Spec'!$C$39))</f>
        <v>0</v>
      </c>
      <c r="AL52" s="16">
        <f t="shared" si="23"/>
        <v>-620.17941642361586</v>
      </c>
      <c r="AM52" s="16" t="e">
        <f t="shared" si="10"/>
        <v>#N/A</v>
      </c>
      <c r="AN52">
        <f>-'Drilling Spec'!$C$29</f>
        <v>-720</v>
      </c>
      <c r="AO52">
        <f>-'Drilling Spec'!$C$27</f>
        <v>-624</v>
      </c>
      <c r="AP52">
        <f>-'Drilling Spec'!$C$28</f>
        <v>-688</v>
      </c>
      <c r="AQ52" t="e">
        <f t="shared" si="11"/>
        <v>#N/A</v>
      </c>
      <c r="AR52" t="e">
        <f>IF(X52=0,NA(),-'Drilling Spec'!$C$29*0.1)</f>
        <v>#N/A</v>
      </c>
      <c r="AS52" t="e">
        <f>IF(Y52=0,NA(),-'Drilling Spec'!$C$29*0.1)</f>
        <v>#N/A</v>
      </c>
      <c r="AT52" t="e">
        <f>IF(AB52=0,NA(),-'Drilling Spec'!$C$29*0.2)</f>
        <v>#N/A</v>
      </c>
      <c r="AU52" t="e">
        <f>IF(AC52=0,NA(),-'Drilling Spec'!$C$29*0.2)</f>
        <v>#N/A</v>
      </c>
      <c r="AV52" t="e">
        <f>IF(AH52=0,NA(),-'Drilling Spec'!$C$29*0.3)</f>
        <v>#N/A</v>
      </c>
      <c r="AW52" t="e">
        <f>IF(AI52=0,NA(),-'Drilling Spec'!$C$29*0.3)</f>
        <v>#N/A</v>
      </c>
      <c r="AX52" s="29">
        <f t="shared" si="24"/>
        <v>5.0136585365853641</v>
      </c>
      <c r="AY52" s="29">
        <f t="shared" si="25"/>
        <v>3.9880389050922744</v>
      </c>
      <c r="AZ52" s="29">
        <f t="shared" si="17"/>
        <v>11.696569403935982</v>
      </c>
      <c r="BA52" s="5" t="s">
        <v>113</v>
      </c>
      <c r="BB52" s="5">
        <f>_xlfn.XLOOKUP("Camp Closed",C3:C112,A3:A112)-_xlfn.XLOOKUP("Open Camp",C3:C112,A3:A112)</f>
        <v>75</v>
      </c>
      <c r="BC52" s="5" t="s">
        <v>112</v>
      </c>
    </row>
    <row r="53" spans="1:57" x14ac:dyDescent="0.35">
      <c r="A53" s="28">
        <f t="shared" si="18"/>
        <v>46023</v>
      </c>
      <c r="B53" t="str">
        <f t="shared" si="0"/>
        <v>Thu</v>
      </c>
      <c r="C53" s="10" t="s">
        <v>9</v>
      </c>
      <c r="D53" s="10">
        <v>16</v>
      </c>
      <c r="E53" s="4">
        <f t="shared" si="1"/>
        <v>16</v>
      </c>
      <c r="F53" s="4">
        <f t="shared" si="20"/>
        <v>664</v>
      </c>
      <c r="G53" s="4">
        <f t="shared" si="3"/>
        <v>960</v>
      </c>
      <c r="H53" s="15">
        <f>(SQRT(4*I52*I52*V*V + 'Drilling Spec'!$C$42*I52 + W*('Drilling Spec'!$C$43 + 2*l*V*(s*W + 2*V*G53/(1+e)) + 'Drilling Spec'!$C$44)) - 'Drilling Spec'!$C$45)/(2*V)</f>
        <v>630.46485908550176</v>
      </c>
      <c r="I53" s="23">
        <f>IF(AND(OR(I52=0,I52=""),F53=0),IF(F54=0,"",'Drilling Spec'!$C$26),H53)</f>
        <v>630.46485908550176</v>
      </c>
      <c r="J53" s="16">
        <f>MAX(0,I53-'Drilling Spec'!$C$30)</f>
        <v>550.46485908550176</v>
      </c>
      <c r="K53" s="18">
        <f>IFERROR(J53/'Drilling Spec'!$C$31,0)</f>
        <v>36.697657272366783</v>
      </c>
      <c r="L53" s="21">
        <f t="shared" si="21"/>
        <v>0</v>
      </c>
      <c r="M53" s="4">
        <f>(M52+L53)</f>
        <v>0</v>
      </c>
      <c r="N53" s="21">
        <f t="shared" si="5"/>
        <v>0</v>
      </c>
      <c r="O53" s="18">
        <f>(SQRT(4*O52*O52*vB*vB + 'Drilling Spec'!$C$48*O52 + WB*('Drilling Spec'!$C$49 + 2*lB*vB*(sB*WB + 2*vB*N53/(1+eB)) + 'Drilling Spec'!$C$50)) - 'Drilling Spec'!$C$51)/(2*vB)</f>
        <v>0</v>
      </c>
      <c r="P53" s="18">
        <f>IFERROR(((S53-'Drilling Spec'!$C$30)/'Drilling Spec'!$C$31)*'Drilling Spec'!$C$32,0)</f>
        <v>0</v>
      </c>
      <c r="Q53" s="18">
        <f t="shared" si="15"/>
        <v>0</v>
      </c>
      <c r="R53" s="18"/>
      <c r="S53" s="26" t="str">
        <f>IF(AND(OR(T52=0,T52=""),M53=0),IF(M54=0,"",'Drilling Spec'!$C$30),O53)</f>
        <v/>
      </c>
      <c r="U53" s="15">
        <f>E53*'Drilling Spec'!$C$22 + L53*'Drilling Spec'!$C$23</f>
        <v>0.32065040650406507</v>
      </c>
      <c r="V53" s="15">
        <f t="shared" si="16"/>
        <v>13.306991869918697</v>
      </c>
      <c r="W53" s="15">
        <f t="shared" si="6"/>
        <v>4.6930081300812994</v>
      </c>
      <c r="X53" s="10"/>
      <c r="Y53" s="30">
        <f>IF(W53&lt;U54,'Drilling Spec'!$C$35,0)</f>
        <v>0</v>
      </c>
      <c r="AA53" s="4">
        <f t="shared" si="19"/>
        <v>40</v>
      </c>
      <c r="AB53" s="10"/>
      <c r="AC53" s="30">
        <f>IF('04-07-25-Scen3-Good,24-16hr'!K54&gt;'04-07-25-Scen3-Good,24-16hr'!AA53,'Drilling Spec'!$C$36,)</f>
        <v>0</v>
      </c>
      <c r="AE53" s="18">
        <f>(I53-'Drilling Spec'!$C$26)/'Drilling Spec'!$C$38</f>
        <v>93.410809847583621</v>
      </c>
      <c r="AF53" s="18">
        <f t="shared" si="7"/>
        <v>1.7142404436476397</v>
      </c>
      <c r="AG53" s="34">
        <f t="shared" si="22"/>
        <v>13.410809847583621</v>
      </c>
      <c r="AH53" s="10"/>
      <c r="AI53" s="26">
        <f>IF(C53="Camp Closed",AG53,IF(AG53&lt;'Drilling Spec'!$C$39,,'Drilling Spec'!$C$39))</f>
        <v>0</v>
      </c>
      <c r="AL53" s="16">
        <f t="shared" si="23"/>
        <v>-630.46485908550176</v>
      </c>
      <c r="AM53" s="16" t="e">
        <f t="shared" si="10"/>
        <v>#N/A</v>
      </c>
      <c r="AN53">
        <f>-'Drilling Spec'!$C$29</f>
        <v>-720</v>
      </c>
      <c r="AO53">
        <f>-'Drilling Spec'!$C$27</f>
        <v>-624</v>
      </c>
      <c r="AP53">
        <f>-'Drilling Spec'!$C$28</f>
        <v>-688</v>
      </c>
      <c r="AQ53" t="e">
        <f t="shared" si="11"/>
        <v>#N/A</v>
      </c>
      <c r="AR53" t="e">
        <f>IF(X53=0,NA(),-'Drilling Spec'!$C$29*0.1)</f>
        <v>#N/A</v>
      </c>
      <c r="AS53" t="e">
        <f>IF(Y53=0,NA(),-'Drilling Spec'!$C$29*0.1)</f>
        <v>#N/A</v>
      </c>
      <c r="AT53" t="e">
        <f>IF(AB53=0,NA(),-'Drilling Spec'!$C$29*0.2)</f>
        <v>#N/A</v>
      </c>
      <c r="AU53" t="e">
        <f>IF(AC53=0,NA(),-'Drilling Spec'!$C$29*0.2)</f>
        <v>#N/A</v>
      </c>
      <c r="AV53" t="e">
        <f>IF(AH53=0,NA(),-'Drilling Spec'!$C$29*0.3)</f>
        <v>#N/A</v>
      </c>
      <c r="AW53" t="e">
        <f>IF(AI53=0,NA(),-'Drilling Spec'!$C$29*0.3)</f>
        <v>#N/A</v>
      </c>
      <c r="AX53" s="29">
        <f t="shared" si="24"/>
        <v>4.6930081300812994</v>
      </c>
      <c r="AY53" s="29">
        <f t="shared" si="25"/>
        <v>3.3023427276332171</v>
      </c>
      <c r="AZ53" s="29">
        <f t="shared" si="17"/>
        <v>13.410809847583621</v>
      </c>
      <c r="BA53" s="5" t="s">
        <v>114</v>
      </c>
      <c r="BB53" s="5">
        <f>'04-07-25-Scen3-Good,24-16hr'!BF5-A3 - BB52</f>
        <v>7</v>
      </c>
      <c r="BC53" s="5" t="s">
        <v>112</v>
      </c>
    </row>
    <row r="54" spans="1:57" x14ac:dyDescent="0.35">
      <c r="A54" s="28">
        <f t="shared" si="18"/>
        <v>46024</v>
      </c>
      <c r="B54" t="str">
        <f t="shared" si="0"/>
        <v>Fri</v>
      </c>
      <c r="C54" s="10" t="s">
        <v>9</v>
      </c>
      <c r="D54" s="10">
        <v>16</v>
      </c>
      <c r="E54" s="4">
        <f t="shared" si="1"/>
        <v>16</v>
      </c>
      <c r="F54" s="4">
        <f t="shared" si="20"/>
        <v>680</v>
      </c>
      <c r="G54" s="4">
        <f t="shared" si="3"/>
        <v>960</v>
      </c>
      <c r="H54" s="15">
        <f>(SQRT(4*I53*I53*V*V + 'Drilling Spec'!$C$42*I53 + W*('Drilling Spec'!$C$43 + 2*l*V*(s*W + 2*V*G54/(1+e)) + 'Drilling Spec'!$C$44)) - 'Drilling Spec'!$C$45)/(2*V)</f>
        <v>640.65982441009044</v>
      </c>
      <c r="I54" s="23">
        <f>IF(AND(OR(I53=0,I53=""),F54=0),IF(F55=0,"",'Drilling Spec'!$C$26),H54)</f>
        <v>640.65982441009044</v>
      </c>
      <c r="J54" s="16">
        <f>MAX(0,I54-'Drilling Spec'!$C$30)</f>
        <v>560.65982441009044</v>
      </c>
      <c r="K54" s="18">
        <f>IFERROR(J54/'Drilling Spec'!$C$31,0)</f>
        <v>37.377321627339363</v>
      </c>
      <c r="L54" s="21">
        <f t="shared" si="21"/>
        <v>0</v>
      </c>
      <c r="M54" s="4">
        <f t="shared" si="14"/>
        <v>0</v>
      </c>
      <c r="N54" s="21">
        <f t="shared" si="5"/>
        <v>0</v>
      </c>
      <c r="O54" s="18">
        <f>(SQRT(4*O53*O53*vB*vB + 'Drilling Spec'!$C$48*O53 + WB*('Drilling Spec'!$C$49 + 2*lB*vB*(sB*WB + 2*vB*N54/(1+eB)) + 'Drilling Spec'!$C$50)) - 'Drilling Spec'!$C$51)/(2*vB)</f>
        <v>0</v>
      </c>
      <c r="P54" s="18">
        <f>IFERROR(((S54-'Drilling Spec'!$C$30)/'Drilling Spec'!$C$31)*'Drilling Spec'!$C$32,0)</f>
        <v>0</v>
      </c>
      <c r="Q54" s="18">
        <f t="shared" si="15"/>
        <v>0</v>
      </c>
      <c r="R54" s="18"/>
      <c r="S54" s="26" t="str">
        <f>IF(AND(OR(T53=0,T53=""),M54=0),IF(M55=0,"",'Drilling Spec'!$C$30),O54)</f>
        <v/>
      </c>
      <c r="U54" s="15">
        <f>E54*'Drilling Spec'!$C$22 + L54*'Drilling Spec'!$C$23</f>
        <v>0.32065040650406507</v>
      </c>
      <c r="V54" s="15">
        <f t="shared" si="16"/>
        <v>13.627642276422762</v>
      </c>
      <c r="W54" s="15">
        <f t="shared" si="6"/>
        <v>4.3723577235772346</v>
      </c>
      <c r="X54" s="10"/>
      <c r="Y54" s="30">
        <f>IF(W54&lt;U55,'Drilling Spec'!$C$35,0)</f>
        <v>0</v>
      </c>
      <c r="AA54" s="4">
        <f t="shared" si="19"/>
        <v>40</v>
      </c>
      <c r="AB54" s="10"/>
      <c r="AC54" s="30">
        <f>IF('04-07-25-Scen3-Good,24-16hr'!K55&gt;'04-07-25-Scen3-Good,24-16hr'!AA54,'Drilling Spec'!$C$36,)</f>
        <v>0</v>
      </c>
      <c r="AE54" s="18">
        <f>(I54-'Drilling Spec'!$C$26)/'Drilling Spec'!$C$38</f>
        <v>95.109970735015068</v>
      </c>
      <c r="AF54" s="18">
        <f t="shared" si="7"/>
        <v>1.6991608874314466</v>
      </c>
      <c r="AG54" s="34">
        <f t="shared" si="22"/>
        <v>15.109970735015068</v>
      </c>
      <c r="AH54" s="10"/>
      <c r="AI54" s="26">
        <f>IF(C54="Camp Closed",AG54,IF(AG54&lt;'Drilling Spec'!$C$39,,'Drilling Spec'!$C$39))</f>
        <v>0</v>
      </c>
      <c r="AL54" s="16">
        <f t="shared" si="23"/>
        <v>-640.65982441009044</v>
      </c>
      <c r="AM54" s="16" t="e">
        <f t="shared" si="10"/>
        <v>#N/A</v>
      </c>
      <c r="AN54">
        <f>-'Drilling Spec'!$C$29</f>
        <v>-720</v>
      </c>
      <c r="AO54">
        <f>-'Drilling Spec'!$C$27</f>
        <v>-624</v>
      </c>
      <c r="AP54">
        <f>-'Drilling Spec'!$C$28</f>
        <v>-688</v>
      </c>
      <c r="AQ54" t="e">
        <f t="shared" si="11"/>
        <v>#N/A</v>
      </c>
      <c r="AR54" t="e">
        <f>IF(X54=0,NA(),-'Drilling Spec'!$C$29*0.1)</f>
        <v>#N/A</v>
      </c>
      <c r="AS54" t="e">
        <f>IF(Y54=0,NA(),-'Drilling Spec'!$C$29*0.1)</f>
        <v>#N/A</v>
      </c>
      <c r="AT54" t="e">
        <f>IF(AB54=0,NA(),-'Drilling Spec'!$C$29*0.2)</f>
        <v>#N/A</v>
      </c>
      <c r="AU54" t="e">
        <f>IF(AC54=0,NA(),-'Drilling Spec'!$C$29*0.2)</f>
        <v>#N/A</v>
      </c>
      <c r="AV54" t="e">
        <f>IF(AH54=0,NA(),-'Drilling Spec'!$C$29*0.3)</f>
        <v>#N/A</v>
      </c>
      <c r="AW54" t="e">
        <f>IF(AI54=0,NA(),-'Drilling Spec'!$C$29*0.3)</f>
        <v>#N/A</v>
      </c>
      <c r="AX54" s="29">
        <f t="shared" si="24"/>
        <v>4.3723577235772346</v>
      </c>
      <c r="AY54" s="29">
        <f t="shared" si="25"/>
        <v>2.6226783726606371</v>
      </c>
      <c r="AZ54" s="29">
        <f t="shared" si="17"/>
        <v>15.109970735015068</v>
      </c>
    </row>
    <row r="55" spans="1:57" x14ac:dyDescent="0.35">
      <c r="A55" s="28">
        <f>A54+1</f>
        <v>46025</v>
      </c>
      <c r="B55" t="str">
        <f t="shared" si="0"/>
        <v>Sat</v>
      </c>
      <c r="C55" s="10" t="s">
        <v>9</v>
      </c>
      <c r="D55" s="10">
        <v>16</v>
      </c>
      <c r="E55" s="4">
        <f t="shared" si="1"/>
        <v>16</v>
      </c>
      <c r="F55" s="4">
        <f t="shared" si="20"/>
        <v>696</v>
      </c>
      <c r="G55" s="4">
        <f t="shared" si="3"/>
        <v>960</v>
      </c>
      <c r="H55" s="15">
        <f>(SQRT(4*I54*I54*V*V + 'Drilling Spec'!$C$42*I54 + W*('Drilling Spec'!$C$43 + 2*l*V*(s*W + 2*V*G55/(1+e)) + 'Drilling Spec'!$C$44)) - 'Drilling Spec'!$C$45)/(2*V)</f>
        <v>650.76665889374931</v>
      </c>
      <c r="I55" s="23">
        <f>IF(AND(OR(I54=0,I54=""),F55=0),IF(F56=0,"",'Drilling Spec'!$C$26),H55)</f>
        <v>650.76665889374931</v>
      </c>
      <c r="J55" s="16">
        <f>MAX(0,I55-'Drilling Spec'!$C$30)</f>
        <v>570.76665889374931</v>
      </c>
      <c r="K55" s="18">
        <f>IFERROR(J55/'Drilling Spec'!$C$31,0)</f>
        <v>38.051110592916622</v>
      </c>
      <c r="L55" s="21">
        <f t="shared" si="21"/>
        <v>0</v>
      </c>
      <c r="M55" s="4">
        <f t="shared" si="14"/>
        <v>0</v>
      </c>
      <c r="N55" s="21">
        <f t="shared" si="5"/>
        <v>0</v>
      </c>
      <c r="O55" s="18">
        <f>(SQRT(4*O54*O54*vB*vB + 'Drilling Spec'!$C$48*O54 + WB*('Drilling Spec'!$C$49 + 2*lB*vB*(sB*WB + 2*vB*N55/(1+eB)) + 'Drilling Spec'!$C$50)) - 'Drilling Spec'!$C$51)/(2*vB)</f>
        <v>0</v>
      </c>
      <c r="P55" s="18">
        <f>IFERROR(((S55-'Drilling Spec'!$C$30)/'Drilling Spec'!$C$31)*'Drilling Spec'!$C$32,0)</f>
        <v>0</v>
      </c>
      <c r="Q55" s="18">
        <f t="shared" si="15"/>
        <v>0</v>
      </c>
      <c r="R55" s="18"/>
      <c r="S55" s="26" t="str">
        <f>IF(AND(OR(T54=0,T54=""),M55=0),IF(M56=0,"",'Drilling Spec'!$C$30),O55)</f>
        <v/>
      </c>
      <c r="U55" s="15">
        <f>E55*'Drilling Spec'!$C$22 + L55*'Drilling Spec'!$C$23</f>
        <v>0.32065040650406507</v>
      </c>
      <c r="V55" s="15">
        <f t="shared" si="16"/>
        <v>13.948292682926827</v>
      </c>
      <c r="W55" s="15">
        <f t="shared" si="6"/>
        <v>4.0517073170731699</v>
      </c>
      <c r="X55" s="10"/>
      <c r="Y55" s="30">
        <f>IF(W55&lt;U56,'Drilling Spec'!$C$35,0)</f>
        <v>0</v>
      </c>
      <c r="AA55" s="4">
        <f t="shared" si="19"/>
        <v>40</v>
      </c>
      <c r="AB55" s="10"/>
      <c r="AC55" s="30">
        <f>IF('04-07-25-Scen3-Good,24-16hr'!K56&gt;'04-07-25-Scen3-Good,24-16hr'!AA55,'Drilling Spec'!$C$36,)</f>
        <v>0</v>
      </c>
      <c r="AE55" s="18">
        <f>(I55-'Drilling Spec'!$C$26)/'Drilling Spec'!$C$38</f>
        <v>96.794443148958223</v>
      </c>
      <c r="AF55" s="18">
        <f t="shared" si="7"/>
        <v>1.6844724139431548</v>
      </c>
      <c r="AG55" s="34">
        <f t="shared" si="22"/>
        <v>16.794443148958223</v>
      </c>
      <c r="AH55" s="10"/>
      <c r="AI55" s="26">
        <f>IF(C55="Camp Closed",AG55,IF(AG55&lt;'Drilling Spec'!$C$39,,'Drilling Spec'!$C$39))</f>
        <v>0</v>
      </c>
      <c r="AL55" s="16">
        <f t="shared" si="23"/>
        <v>-650.76665889374931</v>
      </c>
      <c r="AM55" s="16" t="e">
        <f t="shared" si="10"/>
        <v>#N/A</v>
      </c>
      <c r="AN55">
        <f>-'Drilling Spec'!$C$29</f>
        <v>-720</v>
      </c>
      <c r="AO55">
        <f>-'Drilling Spec'!$C$27</f>
        <v>-624</v>
      </c>
      <c r="AP55">
        <f>-'Drilling Spec'!$C$28</f>
        <v>-688</v>
      </c>
      <c r="AQ55" t="e">
        <f t="shared" si="11"/>
        <v>#N/A</v>
      </c>
      <c r="AR55" t="e">
        <f>IF(X55=0,NA(),-'Drilling Spec'!$C$29*0.1)</f>
        <v>#N/A</v>
      </c>
      <c r="AS55" t="e">
        <f>IF(Y55=0,NA(),-'Drilling Spec'!$C$29*0.1)</f>
        <v>#N/A</v>
      </c>
      <c r="AT55" t="e">
        <f>IF(AB55=0,NA(),-'Drilling Spec'!$C$29*0.2)</f>
        <v>#N/A</v>
      </c>
      <c r="AU55" t="e">
        <f>IF(AC55=0,NA(),-'Drilling Spec'!$C$29*0.2)</f>
        <v>#N/A</v>
      </c>
      <c r="AV55" t="e">
        <f>IF(AH55=0,NA(),-'Drilling Spec'!$C$29*0.3)</f>
        <v>#N/A</v>
      </c>
      <c r="AW55" t="e">
        <f>IF(AI55=0,NA(),-'Drilling Spec'!$C$29*0.3)</f>
        <v>#N/A</v>
      </c>
      <c r="AX55" s="29">
        <f t="shared" si="24"/>
        <v>4.0517073170731699</v>
      </c>
      <c r="AY55" s="29">
        <f t="shared" si="25"/>
        <v>1.948889407083378</v>
      </c>
      <c r="AZ55" s="29">
        <f t="shared" si="17"/>
        <v>16.794443148958223</v>
      </c>
    </row>
    <row r="56" spans="1:57" x14ac:dyDescent="0.35">
      <c r="A56" s="28">
        <f t="shared" si="18"/>
        <v>46026</v>
      </c>
      <c r="B56" t="str">
        <f t="shared" si="0"/>
        <v>Sun</v>
      </c>
      <c r="C56" s="10" t="s">
        <v>7</v>
      </c>
      <c r="D56" s="10">
        <v>0</v>
      </c>
      <c r="E56" s="4">
        <f t="shared" si="1"/>
        <v>0</v>
      </c>
      <c r="F56" s="4">
        <f t="shared" si="20"/>
        <v>696</v>
      </c>
      <c r="G56" s="4">
        <f t="shared" si="3"/>
        <v>0</v>
      </c>
      <c r="H56" s="15">
        <f>(SQRT(4*I55*I55*V*V + 'Drilling Spec'!$C$42*I55 + W*('Drilling Spec'!$C$43 + 2*l*V*(s*W + 2*V*G56/(1+e)) + 'Drilling Spec'!$C$44)) - 'Drilling Spec'!$C$45)/(2*V)</f>
        <v>650.76665889374931</v>
      </c>
      <c r="I56" s="23">
        <f>IF(AND(OR(I55=0,I55=""),F56=0),IF(F57=0,"",'Drilling Spec'!$C$26),H56)</f>
        <v>650.76665889374931</v>
      </c>
      <c r="J56" s="16">
        <f>MAX(0,I56-'Drilling Spec'!$C$30)</f>
        <v>570.76665889374931</v>
      </c>
      <c r="K56" s="18">
        <f>IFERROR(J56/'Drilling Spec'!$C$31,0)</f>
        <v>38.051110592916622</v>
      </c>
      <c r="L56" s="21">
        <f t="shared" si="21"/>
        <v>0</v>
      </c>
      <c r="M56" s="4">
        <f t="shared" si="14"/>
        <v>0</v>
      </c>
      <c r="N56" s="21">
        <f t="shared" si="5"/>
        <v>0</v>
      </c>
      <c r="O56" s="18">
        <f>(SQRT(4*O55*O55*vB*vB + 'Drilling Spec'!$C$48*O55 + WB*('Drilling Spec'!$C$49 + 2*lB*vB*(sB*WB + 2*vB*N56/(1+eB)) + 'Drilling Spec'!$C$50)) - 'Drilling Spec'!$C$51)/(2*vB)</f>
        <v>0</v>
      </c>
      <c r="P56" s="18">
        <f>IFERROR(((S56-'Drilling Spec'!$C$30)/'Drilling Spec'!$C$31)*'Drilling Spec'!$C$32,0)</f>
        <v>0</v>
      </c>
      <c r="Q56" s="18">
        <f t="shared" si="15"/>
        <v>0</v>
      </c>
      <c r="R56" s="18"/>
      <c r="S56" s="26" t="str">
        <f>IF(AND(OR(T55=0,T55=""),M56=0),IF(M57=0,"",'Drilling Spec'!$C$30),O56)</f>
        <v/>
      </c>
      <c r="U56" s="15">
        <f>E56*'Drilling Spec'!$C$22 + L56*'Drilling Spec'!$C$23</f>
        <v>0</v>
      </c>
      <c r="V56" s="15">
        <f t="shared" si="16"/>
        <v>13.948292682926827</v>
      </c>
      <c r="W56" s="15">
        <f t="shared" si="6"/>
        <v>4.0517073170731699</v>
      </c>
      <c r="X56" s="10"/>
      <c r="Y56" s="30">
        <f>IF(W56&lt;U57,'Drilling Spec'!$C$35,0)</f>
        <v>0</v>
      </c>
      <c r="AA56" s="4">
        <f t="shared" si="19"/>
        <v>40</v>
      </c>
      <c r="AB56" s="10"/>
      <c r="AC56" s="30">
        <f>IF('04-07-25-Scen3-Good,24-16hr'!K57&gt;'04-07-25-Scen3-Good,24-16hr'!AA56,'Drilling Spec'!$C$36,)</f>
        <v>0</v>
      </c>
      <c r="AE56" s="18">
        <f>(I56-'Drilling Spec'!$C$26)/'Drilling Spec'!$C$38</f>
        <v>96.794443148958223</v>
      </c>
      <c r="AF56" s="18">
        <f t="shared" si="7"/>
        <v>0</v>
      </c>
      <c r="AG56" s="34">
        <f t="shared" si="22"/>
        <v>16.794443148958223</v>
      </c>
      <c r="AH56" s="10"/>
      <c r="AI56" s="26">
        <f>IF(C56="Camp Closed",AG56,IF(AG56&lt;'Drilling Spec'!$C$39,,'Drilling Spec'!$C$39))</f>
        <v>0</v>
      </c>
      <c r="AL56" s="16">
        <f t="shared" si="23"/>
        <v>-650.76665889374931</v>
      </c>
      <c r="AM56" s="16" t="e">
        <f t="shared" si="10"/>
        <v>#N/A</v>
      </c>
      <c r="AN56">
        <f>-'Drilling Spec'!$C$29</f>
        <v>-720</v>
      </c>
      <c r="AO56">
        <f>-'Drilling Spec'!$C$27</f>
        <v>-624</v>
      </c>
      <c r="AP56">
        <f>-'Drilling Spec'!$C$28</f>
        <v>-688</v>
      </c>
      <c r="AQ56" t="e">
        <f t="shared" si="11"/>
        <v>#N/A</v>
      </c>
      <c r="AR56" t="e">
        <f>IF(X56=0,NA(),-'Drilling Spec'!$C$29*0.1)</f>
        <v>#N/A</v>
      </c>
      <c r="AS56" t="e">
        <f>IF(Y56=0,NA(),-'Drilling Spec'!$C$29*0.1)</f>
        <v>#N/A</v>
      </c>
      <c r="AT56" t="e">
        <f>IF(AB56=0,NA(),-'Drilling Spec'!$C$29*0.2)</f>
        <v>#N/A</v>
      </c>
      <c r="AU56" t="e">
        <f>IF(AC56=0,NA(),-'Drilling Spec'!$C$29*0.2)</f>
        <v>#N/A</v>
      </c>
      <c r="AV56" t="e">
        <f>IF(AH56=0,NA(),-'Drilling Spec'!$C$29*0.3)</f>
        <v>#N/A</v>
      </c>
      <c r="AW56" t="e">
        <f>IF(AI56=0,NA(),-'Drilling Spec'!$C$29*0.3)</f>
        <v>#N/A</v>
      </c>
      <c r="AX56" s="29">
        <f t="shared" si="24"/>
        <v>4.0517073170731699</v>
      </c>
      <c r="AY56" s="29">
        <f t="shared" si="25"/>
        <v>1.948889407083378</v>
      </c>
      <c r="AZ56" s="29">
        <f t="shared" si="17"/>
        <v>16.794443148958223</v>
      </c>
    </row>
    <row r="57" spans="1:57" x14ac:dyDescent="0.35">
      <c r="A57" s="28">
        <f t="shared" si="18"/>
        <v>46027</v>
      </c>
      <c r="B57" t="str">
        <f t="shared" si="0"/>
        <v>Mon</v>
      </c>
      <c r="C57" s="10" t="s">
        <v>9</v>
      </c>
      <c r="D57" s="10">
        <v>16</v>
      </c>
      <c r="E57" s="4">
        <f t="shared" si="1"/>
        <v>16</v>
      </c>
      <c r="F57" s="4">
        <f t="shared" si="20"/>
        <v>712</v>
      </c>
      <c r="G57" s="4">
        <f t="shared" si="3"/>
        <v>960</v>
      </c>
      <c r="H57" s="15">
        <f>(SQRT(4*I56*I56*V*V + 'Drilling Spec'!$C$42*I56 + W*('Drilling Spec'!$C$43 + 2*l*V*(s*W + 2*V*G57/(1+e)) + 'Drilling Spec'!$C$44)) - 'Drilling Spec'!$C$45)/(2*V)</f>
        <v>660.78760932720718</v>
      </c>
      <c r="I57" s="23">
        <f>IF(AND(OR(I56=0,I56=""),F57=0),IF(F58=0,"",'Drilling Spec'!$C$26),H57)</f>
        <v>660.78760932720718</v>
      </c>
      <c r="J57" s="16">
        <f>MAX(0,I57-'Drilling Spec'!$C$30)</f>
        <v>580.78760932720718</v>
      </c>
      <c r="K57" s="18">
        <f>IFERROR(J57/'Drilling Spec'!$C$31,0)</f>
        <v>38.719173955147149</v>
      </c>
      <c r="L57" s="21">
        <f t="shared" si="21"/>
        <v>0</v>
      </c>
      <c r="M57" s="4">
        <f t="shared" si="14"/>
        <v>0</v>
      </c>
      <c r="N57" s="21">
        <f t="shared" si="5"/>
        <v>0</v>
      </c>
      <c r="O57" s="18">
        <f>(SQRT(4*O56*O56*vB*vB + 'Drilling Spec'!$C$48*O56 + WB*('Drilling Spec'!$C$49 + 2*lB*vB*(sB*WB + 2*vB*N57/(1+eB)) + 'Drilling Spec'!$C$50)) - 'Drilling Spec'!$C$51)/(2*vB)</f>
        <v>0</v>
      </c>
      <c r="P57" s="18">
        <f>IFERROR(((S57-'Drilling Spec'!$C$30)/'Drilling Spec'!$C$31)*'Drilling Spec'!$C$32,0)</f>
        <v>0</v>
      </c>
      <c r="Q57" s="18">
        <f t="shared" si="15"/>
        <v>0</v>
      </c>
      <c r="R57" s="18"/>
      <c r="S57" s="26" t="str">
        <f>IF(AND(OR(T56=0,T56=""),M57=0),IF(M58=0,"",'Drilling Spec'!$C$30),O57)</f>
        <v/>
      </c>
      <c r="U57" s="15">
        <f>E57*'Drilling Spec'!$C$22 + L57*'Drilling Spec'!$C$23</f>
        <v>0.32065040650406507</v>
      </c>
      <c r="V57" s="15">
        <f t="shared" si="16"/>
        <v>14.268943089430891</v>
      </c>
      <c r="W57" s="15">
        <f t="shared" si="6"/>
        <v>3.7310569105691047</v>
      </c>
      <c r="X57" s="10"/>
      <c r="Y57" s="30">
        <f>IF(W57&lt;U58,'Drilling Spec'!$C$35,0)</f>
        <v>0</v>
      </c>
      <c r="AA57" s="4">
        <f t="shared" si="19"/>
        <v>40</v>
      </c>
      <c r="AB57" s="10"/>
      <c r="AC57" s="30">
        <f>IF('04-07-25-Scen3-Good,24-16hr'!K58&gt;'04-07-25-Scen3-Good,24-16hr'!AA57,'Drilling Spec'!$C$36,)</f>
        <v>0</v>
      </c>
      <c r="AE57" s="18">
        <f>(I57-'Drilling Spec'!$C$26)/'Drilling Spec'!$C$38</f>
        <v>98.464601554534525</v>
      </c>
      <c r="AF57" s="18">
        <f t="shared" si="7"/>
        <v>1.6701584055763021</v>
      </c>
      <c r="AG57" s="34">
        <f t="shared" si="22"/>
        <v>18.464601554534525</v>
      </c>
      <c r="AH57" s="10"/>
      <c r="AI57" s="26">
        <f>IF(C57="Camp Closed",AG57,IF(AG57&lt;'Drilling Spec'!$C$39,,'Drilling Spec'!$C$39))</f>
        <v>0</v>
      </c>
      <c r="AL57" s="16">
        <f t="shared" si="23"/>
        <v>-660.78760932720718</v>
      </c>
      <c r="AM57" s="16" t="e">
        <f t="shared" si="10"/>
        <v>#N/A</v>
      </c>
      <c r="AN57">
        <f>-'Drilling Spec'!$C$29</f>
        <v>-720</v>
      </c>
      <c r="AO57">
        <f>-'Drilling Spec'!$C$27</f>
        <v>-624</v>
      </c>
      <c r="AP57">
        <f>-'Drilling Spec'!$C$28</f>
        <v>-688</v>
      </c>
      <c r="AQ57" t="e">
        <f t="shared" si="11"/>
        <v>#N/A</v>
      </c>
      <c r="AR57" t="e">
        <f>IF(X57=0,NA(),-'Drilling Spec'!$C$29*0.1)</f>
        <v>#N/A</v>
      </c>
      <c r="AS57" t="e">
        <f>IF(Y57=0,NA(),-'Drilling Spec'!$C$29*0.1)</f>
        <v>#N/A</v>
      </c>
      <c r="AT57" t="e">
        <f>IF(AB57=0,NA(),-'Drilling Spec'!$C$29*0.2)</f>
        <v>#N/A</v>
      </c>
      <c r="AU57" t="e">
        <f>IF(AC57=0,NA(),-'Drilling Spec'!$C$29*0.2)</f>
        <v>#N/A</v>
      </c>
      <c r="AV57" t="e">
        <f>IF(AH57=0,NA(),-'Drilling Spec'!$C$29*0.3)</f>
        <v>#N/A</v>
      </c>
      <c r="AW57" t="e">
        <f>IF(AI57=0,NA(),-'Drilling Spec'!$C$29*0.3)</f>
        <v>#N/A</v>
      </c>
      <c r="AX57" s="29">
        <f t="shared" si="24"/>
        <v>3.7310569105691047</v>
      </c>
      <c r="AY57" s="29">
        <f t="shared" si="25"/>
        <v>1.2808260448528515</v>
      </c>
      <c r="AZ57" s="29">
        <f t="shared" si="17"/>
        <v>18.464601554534525</v>
      </c>
    </row>
    <row r="58" spans="1:57" x14ac:dyDescent="0.35">
      <c r="A58" s="28">
        <f t="shared" si="18"/>
        <v>46028</v>
      </c>
      <c r="B58" t="str">
        <f t="shared" si="0"/>
        <v>Tue</v>
      </c>
      <c r="C58" s="10" t="s">
        <v>9</v>
      </c>
      <c r="D58" s="10">
        <v>16</v>
      </c>
      <c r="E58" s="4">
        <f t="shared" si="1"/>
        <v>16</v>
      </c>
      <c r="F58" s="4">
        <f t="shared" si="20"/>
        <v>728</v>
      </c>
      <c r="G58" s="4">
        <f t="shared" si="3"/>
        <v>960</v>
      </c>
      <c r="H58" s="15">
        <f>(SQRT(4*I57*I57*V*V + 'Drilling Spec'!$C$42*I57 + W*('Drilling Spec'!$C$43 + 2*l*V*(s*W + 2*V*G58/(1+e)) + 'Drilling Spec'!$C$44)) - 'Drilling Spec'!$C$45)/(2*V)</f>
        <v>670.72482862789957</v>
      </c>
      <c r="I58" s="23">
        <f>IF(AND(OR(I57=0,I57=""),F58=0),IF(F59=0,"",'Drilling Spec'!$C$26),H58)</f>
        <v>670.72482862789957</v>
      </c>
      <c r="J58" s="16">
        <f>MAX(0,I58-'Drilling Spec'!$C$30)</f>
        <v>590.72482862789957</v>
      </c>
      <c r="K58" s="18">
        <f>IFERROR(J58/'Drilling Spec'!$C$31,0)</f>
        <v>39.381655241859974</v>
      </c>
      <c r="L58" s="21">
        <f t="shared" si="21"/>
        <v>0</v>
      </c>
      <c r="M58" s="4">
        <f t="shared" si="14"/>
        <v>0</v>
      </c>
      <c r="N58" s="21">
        <f t="shared" si="5"/>
        <v>0</v>
      </c>
      <c r="O58" s="18">
        <f>(SQRT(4*O57*O57*vB*vB + 'Drilling Spec'!$C$48*O57 + WB*('Drilling Spec'!$C$49 + 2*lB*vB*(sB*WB + 2*vB*N58/(1+eB)) + 'Drilling Spec'!$C$50)) - 'Drilling Spec'!$C$51)/(2*vB)</f>
        <v>0</v>
      </c>
      <c r="P58" s="18">
        <f>IFERROR(((S58-'Drilling Spec'!$C$30)/'Drilling Spec'!$C$31)*'Drilling Spec'!$C$32,0)</f>
        <v>0</v>
      </c>
      <c r="Q58" s="18">
        <f t="shared" si="15"/>
        <v>0</v>
      </c>
      <c r="R58" s="18"/>
      <c r="S58" s="26" t="str">
        <f>IF(AND(OR(T57=0,T57=""),M58=0),IF(M59=0,"",'Drilling Spec'!$C$30),O58)</f>
        <v/>
      </c>
      <c r="U58" s="15">
        <f>E58*'Drilling Spec'!$C$22 + L58*'Drilling Spec'!$C$23</f>
        <v>0.32065040650406507</v>
      </c>
      <c r="V58" s="15">
        <f t="shared" si="16"/>
        <v>14.589593495934956</v>
      </c>
      <c r="W58" s="15">
        <f t="shared" si="6"/>
        <v>3.4104065040650395</v>
      </c>
      <c r="X58" s="10"/>
      <c r="Y58" s="30">
        <f>IF(W58&lt;U59,'Drilling Spec'!$C$35,0)</f>
        <v>0</v>
      </c>
      <c r="AA58" s="4">
        <f t="shared" si="19"/>
        <v>40</v>
      </c>
      <c r="AB58" s="10"/>
      <c r="AC58" s="30">
        <f>IF('04-07-25-Scen3-Good,24-16hr'!K59&gt;'04-07-25-Scen3-Good,24-16hr'!AA58,'Drilling Spec'!$C$36,)</f>
        <v>6</v>
      </c>
      <c r="AE58" s="18">
        <f>(I58-'Drilling Spec'!$C$26)/'Drilling Spec'!$C$38</f>
        <v>100.1208047713166</v>
      </c>
      <c r="AF58" s="18">
        <f t="shared" si="7"/>
        <v>1.6562032167820746</v>
      </c>
      <c r="AG58" s="34">
        <f t="shared" si="22"/>
        <v>20.1208047713166</v>
      </c>
      <c r="AH58" s="10"/>
      <c r="AI58" s="26">
        <f>IF(C58="Camp Closed",AG58,IF(AG58&lt;'Drilling Spec'!$C$39,,'Drilling Spec'!$C$39))</f>
        <v>20</v>
      </c>
      <c r="AL58" s="16">
        <f t="shared" si="23"/>
        <v>-670.72482862789957</v>
      </c>
      <c r="AM58" s="16" t="e">
        <f t="shared" si="10"/>
        <v>#N/A</v>
      </c>
      <c r="AN58">
        <f>-'Drilling Spec'!$C$29</f>
        <v>-720</v>
      </c>
      <c r="AO58">
        <f>-'Drilling Spec'!$C$27</f>
        <v>-624</v>
      </c>
      <c r="AP58">
        <f>-'Drilling Spec'!$C$28</f>
        <v>-688</v>
      </c>
      <c r="AQ58" t="e">
        <f t="shared" si="11"/>
        <v>#N/A</v>
      </c>
      <c r="AR58" t="e">
        <f>IF(X58=0,NA(),-'Drilling Spec'!$C$29*0.1)</f>
        <v>#N/A</v>
      </c>
      <c r="AS58" t="e">
        <f>IF(Y58=0,NA(),-'Drilling Spec'!$C$29*0.1)</f>
        <v>#N/A</v>
      </c>
      <c r="AT58" t="e">
        <f>IF(AB58=0,NA(),-'Drilling Spec'!$C$29*0.2)</f>
        <v>#N/A</v>
      </c>
      <c r="AU58">
        <f>IF(AC58=0,NA(),-'Drilling Spec'!$C$29*0.2)</f>
        <v>-144</v>
      </c>
      <c r="AV58" t="e">
        <f>IF(AH58=0,NA(),-'Drilling Spec'!$C$29*0.3)</f>
        <v>#N/A</v>
      </c>
      <c r="AW58">
        <f>IF(AI58=0,NA(),-'Drilling Spec'!$C$29*0.3)</f>
        <v>-216</v>
      </c>
      <c r="AX58" s="29">
        <f t="shared" si="24"/>
        <v>3.4104065040650395</v>
      </c>
      <c r="AY58" s="29">
        <f t="shared" si="25"/>
        <v>0.61834475814002587</v>
      </c>
      <c r="AZ58" s="29">
        <f t="shared" si="17"/>
        <v>20.1208047713166</v>
      </c>
    </row>
    <row r="59" spans="1:57" x14ac:dyDescent="0.35">
      <c r="A59" s="28">
        <f t="shared" si="18"/>
        <v>46029</v>
      </c>
      <c r="B59" t="str">
        <f t="shared" si="0"/>
        <v>Wed</v>
      </c>
      <c r="C59" s="10" t="s">
        <v>9</v>
      </c>
      <c r="D59" s="10">
        <v>16</v>
      </c>
      <c r="E59" s="4">
        <f t="shared" si="1"/>
        <v>16</v>
      </c>
      <c r="F59" s="4">
        <f t="shared" si="20"/>
        <v>744</v>
      </c>
      <c r="G59" s="4">
        <f t="shared" si="3"/>
        <v>960</v>
      </c>
      <c r="H59" s="15">
        <f>(SQRT(4*I58*I58*V*V + 'Drilling Spec'!$C$42*I58 + W*('Drilling Spec'!$C$43 + 2*l*V*(s*W + 2*V*G59/(1+e)) + 'Drilling Spec'!$C$44)) - 'Drilling Spec'!$C$45)/(2*V)</f>
        <v>680.58038124086852</v>
      </c>
      <c r="I59" s="23">
        <f>IF(AND(OR(I58=0,I58=""),F59=0),IF(F60=0,"",'Drilling Spec'!$C$26),H59)</f>
        <v>680.58038124086852</v>
      </c>
      <c r="J59" s="16">
        <f>MAX(0,I59-'Drilling Spec'!$C$30)</f>
        <v>600.58038124086852</v>
      </c>
      <c r="K59" s="18">
        <f>IFERROR(J59/'Drilling Spec'!$C$31,0)</f>
        <v>40.038692082724566</v>
      </c>
      <c r="L59" s="21">
        <f t="shared" si="21"/>
        <v>0</v>
      </c>
      <c r="M59" s="4">
        <f t="shared" si="14"/>
        <v>0</v>
      </c>
      <c r="N59" s="21">
        <f t="shared" si="5"/>
        <v>0</v>
      </c>
      <c r="O59" s="18">
        <f>(SQRT(4*O58*O58*vB*vB + 'Drilling Spec'!$C$48*O58 + WB*('Drilling Spec'!$C$49 + 2*lB*vB*(sB*WB + 2*vB*N59/(1+eB)) + 'Drilling Spec'!$C$50)) - 'Drilling Spec'!$C$51)/(2*vB)</f>
        <v>0</v>
      </c>
      <c r="P59" s="18">
        <f>IFERROR(((S59-'Drilling Spec'!$C$30)/'Drilling Spec'!$C$31)*'Drilling Spec'!$C$32,0)</f>
        <v>0</v>
      </c>
      <c r="Q59" s="18">
        <f t="shared" si="15"/>
        <v>0</v>
      </c>
      <c r="R59" s="18"/>
      <c r="S59" s="26" t="str">
        <f>IF(AND(OR(T58=0,T58=""),M59=0),IF(M60=0,"",'Drilling Spec'!$C$30),O59)</f>
        <v/>
      </c>
      <c r="U59" s="15">
        <f>E59*'Drilling Spec'!$C$22 + L59*'Drilling Spec'!$C$23</f>
        <v>0.32065040650406507</v>
      </c>
      <c r="V59" s="15">
        <f t="shared" si="16"/>
        <v>14.910243902439021</v>
      </c>
      <c r="W59" s="15">
        <f t="shared" si="6"/>
        <v>3.0897560975609744</v>
      </c>
      <c r="X59" s="10"/>
      <c r="Y59" s="30">
        <f>IF(W59&lt;U60,'Drilling Spec'!$C$35,0)</f>
        <v>0</v>
      </c>
      <c r="AA59" s="4">
        <f t="shared" si="19"/>
        <v>46</v>
      </c>
      <c r="AB59" s="10"/>
      <c r="AC59" s="30">
        <f>IF('04-07-25-Scen3-Good,24-16hr'!K60&gt;'04-07-25-Scen3-Good,24-16hr'!AA59,'Drilling Spec'!$C$36,)</f>
        <v>0</v>
      </c>
      <c r="AE59" s="18">
        <f>(I59-'Drilling Spec'!$C$26)/'Drilling Spec'!$C$38</f>
        <v>101.76339687347809</v>
      </c>
      <c r="AF59" s="18">
        <f t="shared" si="7"/>
        <v>1.6425921021614869</v>
      </c>
      <c r="AG59" s="34">
        <f t="shared" si="22"/>
        <v>1.7633968734780865</v>
      </c>
      <c r="AH59" s="10"/>
      <c r="AI59" s="26">
        <f>IF(C59="Camp Closed",AG59,IF(AG59&lt;'Drilling Spec'!$C$39,,'Drilling Spec'!$C$39))</f>
        <v>0</v>
      </c>
      <c r="AL59" s="16">
        <f t="shared" si="23"/>
        <v>-680.58038124086852</v>
      </c>
      <c r="AM59" s="16" t="e">
        <f t="shared" si="10"/>
        <v>#N/A</v>
      </c>
      <c r="AN59">
        <f>-'Drilling Spec'!$C$29</f>
        <v>-720</v>
      </c>
      <c r="AO59">
        <f>-'Drilling Spec'!$C$27</f>
        <v>-624</v>
      </c>
      <c r="AP59">
        <f>-'Drilling Spec'!$C$28</f>
        <v>-688</v>
      </c>
      <c r="AQ59" t="e">
        <f t="shared" si="11"/>
        <v>#N/A</v>
      </c>
      <c r="AR59" t="e">
        <f>IF(X59=0,NA(),-'Drilling Spec'!$C$29*0.1)</f>
        <v>#N/A</v>
      </c>
      <c r="AS59" t="e">
        <f>IF(Y59=0,NA(),-'Drilling Spec'!$C$29*0.1)</f>
        <v>#N/A</v>
      </c>
      <c r="AT59" t="e">
        <f>IF(AB59=0,NA(),-'Drilling Spec'!$C$29*0.2)</f>
        <v>#N/A</v>
      </c>
      <c r="AU59" t="e">
        <f>IF(AC59=0,NA(),-'Drilling Spec'!$C$29*0.2)</f>
        <v>#N/A</v>
      </c>
      <c r="AV59" t="e">
        <f>IF(AH59=0,NA(),-'Drilling Spec'!$C$29*0.3)</f>
        <v>#N/A</v>
      </c>
      <c r="AW59" t="e">
        <f>IF(AI59=0,NA(),-'Drilling Spec'!$C$29*0.3)</f>
        <v>#N/A</v>
      </c>
      <c r="AX59" s="29">
        <f t="shared" si="24"/>
        <v>3.0897560975609744</v>
      </c>
      <c r="AY59" s="29">
        <f t="shared" si="25"/>
        <v>5.961307917275434</v>
      </c>
      <c r="AZ59" s="29">
        <f t="shared" si="17"/>
        <v>1.7633968734780865</v>
      </c>
    </row>
    <row r="60" spans="1:57" x14ac:dyDescent="0.35">
      <c r="A60" s="28">
        <f t="shared" si="18"/>
        <v>46030</v>
      </c>
      <c r="B60" t="str">
        <f t="shared" si="0"/>
        <v>Thu</v>
      </c>
      <c r="C60" s="10" t="s">
        <v>9</v>
      </c>
      <c r="D60" s="10">
        <v>16</v>
      </c>
      <c r="E60" s="4">
        <f t="shared" si="1"/>
        <v>16</v>
      </c>
      <c r="F60" s="4">
        <f t="shared" si="20"/>
        <v>760</v>
      </c>
      <c r="G60" s="4">
        <f t="shared" si="3"/>
        <v>960</v>
      </c>
      <c r="H60" s="15">
        <f>(SQRT(4*I59*I59*V*V + 'Drilling Spec'!$C$42*I59 + W*('Drilling Spec'!$C$43 + 2*l*V*(s*W + 2*V*G60/(1+e)) + 'Drilling Spec'!$C$44)) - 'Drilling Spec'!$C$45)/(2*V)</f>
        <v>690.35624814659275</v>
      </c>
      <c r="I60" s="23">
        <f>IF(AND(OR(I59=0,I59=""),F60=0),IF(F61=0,"",'Drilling Spec'!$C$26),H60)</f>
        <v>690.35624814659275</v>
      </c>
      <c r="J60" s="16">
        <f>MAX(0,I60-'Drilling Spec'!$C$30)</f>
        <v>610.35624814659275</v>
      </c>
      <c r="K60" s="18">
        <f>IFERROR(J60/'Drilling Spec'!$C$31,0)</f>
        <v>40.690416543106181</v>
      </c>
      <c r="L60" s="21">
        <f t="shared" si="21"/>
        <v>0</v>
      </c>
      <c r="M60" s="4">
        <f t="shared" si="14"/>
        <v>0</v>
      </c>
      <c r="N60" s="21">
        <f t="shared" si="5"/>
        <v>0</v>
      </c>
      <c r="O60" s="18">
        <f>(SQRT(4*O59*O59*vB*vB + 'Drilling Spec'!$C$48*O59 + WB*('Drilling Spec'!$C$49 + 2*lB*vB*(sB*WB + 2*vB*N60/(1+eB)) + 'Drilling Spec'!$C$50)) - 'Drilling Spec'!$C$51)/(2*vB)</f>
        <v>0</v>
      </c>
      <c r="P60" s="18">
        <f>IFERROR(((S60-'Drilling Spec'!$C$30)/'Drilling Spec'!$C$31)*'Drilling Spec'!$C$32,0)</f>
        <v>0</v>
      </c>
      <c r="Q60" s="18">
        <f t="shared" si="15"/>
        <v>0</v>
      </c>
      <c r="R60" s="18"/>
      <c r="S60" s="26" t="str">
        <f>IF(AND(OR(T59=0,T59=""),M60=0),IF(M61=0,"",'Drilling Spec'!$C$30),O60)</f>
        <v/>
      </c>
      <c r="U60" s="15">
        <f>E60*'Drilling Spec'!$C$22 + L60*'Drilling Spec'!$C$23</f>
        <v>0.32065040650406507</v>
      </c>
      <c r="V60" s="15">
        <f t="shared" si="16"/>
        <v>15.230894308943085</v>
      </c>
      <c r="W60" s="15">
        <f t="shared" si="6"/>
        <v>2.7691056910569092</v>
      </c>
      <c r="X60" s="10"/>
      <c r="Y60" s="30">
        <f>IF(W60&lt;U61,'Drilling Spec'!$C$35,0)</f>
        <v>0</v>
      </c>
      <c r="AA60" s="4">
        <f t="shared" si="19"/>
        <v>46</v>
      </c>
      <c r="AB60" s="10"/>
      <c r="AC60" s="30">
        <f>IF('04-07-25-Scen3-Good,24-16hr'!K61&gt;'04-07-25-Scen3-Good,24-16hr'!AA60,'Drilling Spec'!$C$36,)</f>
        <v>0</v>
      </c>
      <c r="AE60" s="18">
        <f>(I60-'Drilling Spec'!$C$26)/'Drilling Spec'!$C$38</f>
        <v>103.39270802443212</v>
      </c>
      <c r="AF60" s="18">
        <f t="shared" si="7"/>
        <v>1.6293111509540381</v>
      </c>
      <c r="AG60" s="34">
        <f t="shared" si="22"/>
        <v>3.3927080244321246</v>
      </c>
      <c r="AH60" s="10"/>
      <c r="AI60" s="26">
        <f>IF(C60="Camp Closed",AG60,IF(AG60&lt;'Drilling Spec'!$C$39,,'Drilling Spec'!$C$39))</f>
        <v>0</v>
      </c>
      <c r="AL60" s="16">
        <f t="shared" si="23"/>
        <v>-690.35624814659275</v>
      </c>
      <c r="AM60" s="16" t="e">
        <f t="shared" si="10"/>
        <v>#N/A</v>
      </c>
      <c r="AN60">
        <f>-'Drilling Spec'!$C$29</f>
        <v>-720</v>
      </c>
      <c r="AO60">
        <f>-'Drilling Spec'!$C$27</f>
        <v>-624</v>
      </c>
      <c r="AP60">
        <f>-'Drilling Spec'!$C$28</f>
        <v>-688</v>
      </c>
      <c r="AQ60" t="e">
        <f t="shared" si="11"/>
        <v>#N/A</v>
      </c>
      <c r="AR60" t="e">
        <f>IF(X60=0,NA(),-'Drilling Spec'!$C$29*0.1)</f>
        <v>#N/A</v>
      </c>
      <c r="AS60" t="e">
        <f>IF(Y60=0,NA(),-'Drilling Spec'!$C$29*0.1)</f>
        <v>#N/A</v>
      </c>
      <c r="AT60" t="e">
        <f>IF(AB60=0,NA(),-'Drilling Spec'!$C$29*0.2)</f>
        <v>#N/A</v>
      </c>
      <c r="AU60" t="e">
        <f>IF(AC60=0,NA(),-'Drilling Spec'!$C$29*0.2)</f>
        <v>#N/A</v>
      </c>
      <c r="AV60" t="e">
        <f>IF(AH60=0,NA(),-'Drilling Spec'!$C$29*0.3)</f>
        <v>#N/A</v>
      </c>
      <c r="AW60" t="e">
        <f>IF(AI60=0,NA(),-'Drilling Spec'!$C$29*0.3)</f>
        <v>#N/A</v>
      </c>
      <c r="AX60" s="29">
        <f t="shared" si="24"/>
        <v>2.7691056910569092</v>
      </c>
      <c r="AY60" s="29">
        <f t="shared" si="25"/>
        <v>5.3095834568938187</v>
      </c>
      <c r="AZ60" s="29">
        <f t="shared" si="17"/>
        <v>3.3927080244321246</v>
      </c>
    </row>
    <row r="61" spans="1:57" x14ac:dyDescent="0.35">
      <c r="A61" s="28">
        <f t="shared" si="18"/>
        <v>46031</v>
      </c>
      <c r="B61" t="str">
        <f t="shared" si="0"/>
        <v>Fri</v>
      </c>
      <c r="C61" s="10" t="s">
        <v>9</v>
      </c>
      <c r="D61" s="10">
        <v>16</v>
      </c>
      <c r="E61" s="4">
        <f t="shared" si="1"/>
        <v>16</v>
      </c>
      <c r="F61" s="4">
        <f t="shared" si="20"/>
        <v>776</v>
      </c>
      <c r="G61" s="4">
        <f t="shared" si="3"/>
        <v>960</v>
      </c>
      <c r="H61" s="15">
        <f>(SQRT(4*I60*I60*V*V + 'Drilling Spec'!$C$42*I60 + W*('Drilling Spec'!$C$43 + 2*l*V*(s*W + 2*V*G61/(1+e)) + 'Drilling Spec'!$C$44)) - 'Drilling Spec'!$C$45)/(2*V)</f>
        <v>700.05433151015961</v>
      </c>
      <c r="I61" s="23">
        <f>IF(AND(OR(I60=0,I60=""),F61=0),IF(F62=0,"",'Drilling Spec'!$C$26),H61)</f>
        <v>700.05433151015961</v>
      </c>
      <c r="J61" s="16">
        <f>MAX(0,I61-'Drilling Spec'!$C$30)</f>
        <v>620.05433151015961</v>
      </c>
      <c r="K61" s="18">
        <f>IFERROR(J61/'Drilling Spec'!$C$31,0)</f>
        <v>41.33695543401064</v>
      </c>
      <c r="L61" s="21">
        <f t="shared" si="21"/>
        <v>0</v>
      </c>
      <c r="M61" s="4">
        <f t="shared" si="14"/>
        <v>0</v>
      </c>
      <c r="N61" s="21">
        <f t="shared" si="5"/>
        <v>0</v>
      </c>
      <c r="O61" s="18">
        <f>(SQRT(4*O60*O60*vB*vB + 'Drilling Spec'!$C$48*O60 + WB*('Drilling Spec'!$C$49 + 2*lB*vB*(sB*WB + 2*vB*N61/(1+eB)) + 'Drilling Spec'!$C$50)) - 'Drilling Spec'!$C$51)/(2*vB)</f>
        <v>0</v>
      </c>
      <c r="P61" s="18">
        <f>IFERROR(((S61-'Drilling Spec'!$C$30)/'Drilling Spec'!$C$31)*'Drilling Spec'!$C$32,0)</f>
        <v>0</v>
      </c>
      <c r="Q61" s="18">
        <f t="shared" si="15"/>
        <v>0</v>
      </c>
      <c r="R61" s="18"/>
      <c r="S61" s="26" t="str">
        <f>IF(AND(OR(T60=0,T60=""),M61=0),IF(M62=0,"",'Drilling Spec'!$C$30),O61)</f>
        <v/>
      </c>
      <c r="U61" s="15">
        <f>E61*'Drilling Spec'!$C$22 + L61*'Drilling Spec'!$C$23</f>
        <v>0.32065040650406507</v>
      </c>
      <c r="V61" s="15">
        <f t="shared" si="16"/>
        <v>15.55154471544715</v>
      </c>
      <c r="W61" s="15">
        <f t="shared" si="6"/>
        <v>2.448455284552844</v>
      </c>
      <c r="X61" s="10"/>
      <c r="Y61" s="30">
        <f>IF(W61&lt;U62,'Drilling Spec'!$C$35,0)</f>
        <v>0</v>
      </c>
      <c r="AA61" s="4">
        <f t="shared" si="19"/>
        <v>46</v>
      </c>
      <c r="AB61" s="10"/>
      <c r="AC61" s="30">
        <f>IF('04-07-25-Scen3-Good,24-16hr'!K62&gt;'04-07-25-Scen3-Good,24-16hr'!AA61,'Drilling Spec'!$C$36,)</f>
        <v>0</v>
      </c>
      <c r="AE61" s="18">
        <f>(I61-'Drilling Spec'!$C$26)/'Drilling Spec'!$C$38</f>
        <v>105.00905525169327</v>
      </c>
      <c r="AF61" s="18">
        <f t="shared" si="7"/>
        <v>1.6163472272611443</v>
      </c>
      <c r="AG61" s="34">
        <f t="shared" si="22"/>
        <v>5.0090552516932689</v>
      </c>
      <c r="AH61" s="10"/>
      <c r="AI61" s="26">
        <f>IF(C61="Camp Closed",AG61,IF(AG61&lt;'Drilling Spec'!$C$39,,'Drilling Spec'!$C$39))</f>
        <v>0</v>
      </c>
      <c r="AL61" s="16">
        <f t="shared" si="23"/>
        <v>-700.05433151015961</v>
      </c>
      <c r="AM61" s="16" t="e">
        <f t="shared" si="10"/>
        <v>#N/A</v>
      </c>
      <c r="AN61">
        <f>-'Drilling Spec'!$C$29</f>
        <v>-720</v>
      </c>
      <c r="AO61">
        <f>-'Drilling Spec'!$C$27</f>
        <v>-624</v>
      </c>
      <c r="AP61">
        <f>-'Drilling Spec'!$C$28</f>
        <v>-688</v>
      </c>
      <c r="AQ61" t="e">
        <f t="shared" si="11"/>
        <v>#N/A</v>
      </c>
      <c r="AR61" t="e">
        <f>IF(X61=0,NA(),-'Drilling Spec'!$C$29*0.1)</f>
        <v>#N/A</v>
      </c>
      <c r="AS61" t="e">
        <f>IF(Y61=0,NA(),-'Drilling Spec'!$C$29*0.1)</f>
        <v>#N/A</v>
      </c>
      <c r="AT61" t="e">
        <f>IF(AB61=0,NA(),-'Drilling Spec'!$C$29*0.2)</f>
        <v>#N/A</v>
      </c>
      <c r="AU61" t="e">
        <f>IF(AC61=0,NA(),-'Drilling Spec'!$C$29*0.2)</f>
        <v>#N/A</v>
      </c>
      <c r="AV61" t="e">
        <f>IF(AH61=0,NA(),-'Drilling Spec'!$C$29*0.3)</f>
        <v>#N/A</v>
      </c>
      <c r="AW61" t="e">
        <f>IF(AI61=0,NA(),-'Drilling Spec'!$C$29*0.3)</f>
        <v>#N/A</v>
      </c>
      <c r="AX61" s="29">
        <f t="shared" si="24"/>
        <v>2.448455284552844</v>
      </c>
      <c r="AY61" s="29">
        <f t="shared" si="25"/>
        <v>4.6630445659893596</v>
      </c>
      <c r="AZ61" s="29">
        <f t="shared" si="17"/>
        <v>5.0090552516932689</v>
      </c>
    </row>
    <row r="62" spans="1:57" x14ac:dyDescent="0.35">
      <c r="A62" s="28">
        <f t="shared" si="18"/>
        <v>46032</v>
      </c>
      <c r="B62" t="str">
        <f t="shared" si="0"/>
        <v>Sat</v>
      </c>
      <c r="C62" s="10" t="s">
        <v>9</v>
      </c>
      <c r="D62" s="10">
        <v>16</v>
      </c>
      <c r="E62" s="4">
        <f t="shared" si="1"/>
        <v>16</v>
      </c>
      <c r="F62" s="4">
        <f t="shared" si="20"/>
        <v>792</v>
      </c>
      <c r="G62" s="4">
        <f t="shared" si="3"/>
        <v>960</v>
      </c>
      <c r="H62" s="15">
        <f>(SQRT(4*I61*I61*V*V + 'Drilling Spec'!$C$42*I61 + W*('Drilling Spec'!$C$43 + 2*l*V*(s*W + 2*V*G62/(1+e)) + 'Drilling Spec'!$C$44)) - 'Drilling Spec'!$C$45)/(2*V)</f>
        <v>709.67645900268076</v>
      </c>
      <c r="I62" s="23">
        <f>IF(AND(OR(I61=0,I61=""),F62=0),IF(F63=0,"",'Drilling Spec'!$C$26),H62)</f>
        <v>709.67645900268076</v>
      </c>
      <c r="J62" s="16">
        <f>MAX(0,I62-'Drilling Spec'!$C$30)</f>
        <v>629.67645900268076</v>
      </c>
      <c r="K62" s="18">
        <f>IFERROR(J62/'Drilling Spec'!$C$31,0)</f>
        <v>41.978430600178719</v>
      </c>
      <c r="L62" s="21">
        <f t="shared" si="21"/>
        <v>0</v>
      </c>
      <c r="M62" s="4">
        <f t="shared" si="14"/>
        <v>0</v>
      </c>
      <c r="N62" s="21">
        <f t="shared" si="5"/>
        <v>0</v>
      </c>
      <c r="O62" s="18">
        <f>(SQRT(4*O61*O61*vB*vB + 'Drilling Spec'!$C$48*O61 + WB*('Drilling Spec'!$C$49 + 2*lB*vB*(sB*WB + 2*vB*N62/(1+eB)) + 'Drilling Spec'!$C$50)) - 'Drilling Spec'!$C$51)/(2*vB)</f>
        <v>0</v>
      </c>
      <c r="P62" s="18">
        <f>IFERROR(((S62-'Drilling Spec'!$C$30)/'Drilling Spec'!$C$31)*'Drilling Spec'!$C$32,0)</f>
        <v>0</v>
      </c>
      <c r="Q62" s="18">
        <f t="shared" si="15"/>
        <v>0</v>
      </c>
      <c r="R62" s="18"/>
      <c r="S62" s="26" t="str">
        <f>IF(AND(OR(T61=0,T61=""),M62=0),IF(M63=0,"",'Drilling Spec'!$C$30),O62)</f>
        <v/>
      </c>
      <c r="U62" s="15">
        <f>E62*'Drilling Spec'!$C$22 + L62*'Drilling Spec'!$C$23</f>
        <v>0.32065040650406507</v>
      </c>
      <c r="V62" s="15">
        <f t="shared" si="16"/>
        <v>15.872195121951215</v>
      </c>
      <c r="W62" s="15">
        <f t="shared" si="6"/>
        <v>2.1278048780487788</v>
      </c>
      <c r="X62" s="10"/>
      <c r="Y62" s="30">
        <f>IF(W62&lt;U63,'Drilling Spec'!$C$35,0)</f>
        <v>0</v>
      </c>
      <c r="AA62" s="4">
        <f t="shared" si="19"/>
        <v>46</v>
      </c>
      <c r="AB62" s="10"/>
      <c r="AC62" s="30">
        <f>IF('04-07-25-Scen3-Good,24-16hr'!K63&gt;'04-07-25-Scen3-Good,24-16hr'!AA62,'Drilling Spec'!$C$36,)</f>
        <v>0</v>
      </c>
      <c r="AE62" s="18">
        <f>(I62-'Drilling Spec'!$C$26)/'Drilling Spec'!$C$38</f>
        <v>106.61274316711346</v>
      </c>
      <c r="AF62" s="18">
        <f t="shared" si="7"/>
        <v>1.6036879154201955</v>
      </c>
      <c r="AG62" s="34">
        <f t="shared" si="22"/>
        <v>6.6127431671134644</v>
      </c>
      <c r="AH62" s="10"/>
      <c r="AI62" s="26">
        <f>IF(C62="Camp Closed",AG62,IF(AG62&lt;'Drilling Spec'!$C$39,,'Drilling Spec'!$C$39))</f>
        <v>0</v>
      </c>
      <c r="AL62" s="16">
        <f t="shared" si="23"/>
        <v>-709.67645900268076</v>
      </c>
      <c r="AM62" s="16" t="e">
        <f t="shared" si="10"/>
        <v>#N/A</v>
      </c>
      <c r="AN62">
        <f>-'Drilling Spec'!$C$29</f>
        <v>-720</v>
      </c>
      <c r="AO62">
        <f>-'Drilling Spec'!$C$27</f>
        <v>-624</v>
      </c>
      <c r="AP62">
        <f>-'Drilling Spec'!$C$28</f>
        <v>-688</v>
      </c>
      <c r="AQ62" t="e">
        <f t="shared" si="11"/>
        <v>#N/A</v>
      </c>
      <c r="AR62" t="e">
        <f>IF(X62=0,NA(),-'Drilling Spec'!$C$29*0.1)</f>
        <v>#N/A</v>
      </c>
      <c r="AS62" t="e">
        <f>IF(Y62=0,NA(),-'Drilling Spec'!$C$29*0.1)</f>
        <v>#N/A</v>
      </c>
      <c r="AT62" t="e">
        <f>IF(AB62=0,NA(),-'Drilling Spec'!$C$29*0.2)</f>
        <v>#N/A</v>
      </c>
      <c r="AU62" t="e">
        <f>IF(AC62=0,NA(),-'Drilling Spec'!$C$29*0.2)</f>
        <v>#N/A</v>
      </c>
      <c r="AV62" t="e">
        <f>IF(AH62=0,NA(),-'Drilling Spec'!$C$29*0.3)</f>
        <v>#N/A</v>
      </c>
      <c r="AW62" t="e">
        <f>IF(AI62=0,NA(),-'Drilling Spec'!$C$29*0.3)</f>
        <v>#N/A</v>
      </c>
      <c r="AX62" s="29">
        <f t="shared" si="24"/>
        <v>2.1278048780487788</v>
      </c>
      <c r="AY62" s="29">
        <f t="shared" si="25"/>
        <v>4.0215693998212814</v>
      </c>
      <c r="AZ62" s="29">
        <f t="shared" si="17"/>
        <v>6.6127431671134644</v>
      </c>
    </row>
    <row r="63" spans="1:57" x14ac:dyDescent="0.35">
      <c r="A63" s="28">
        <f t="shared" si="18"/>
        <v>46033</v>
      </c>
      <c r="B63" t="str">
        <f t="shared" si="0"/>
        <v>Sun</v>
      </c>
      <c r="C63" s="10" t="s">
        <v>7</v>
      </c>
      <c r="D63" s="10">
        <v>0</v>
      </c>
      <c r="E63" s="4">
        <f t="shared" si="1"/>
        <v>0</v>
      </c>
      <c r="F63" s="4">
        <f t="shared" si="20"/>
        <v>792</v>
      </c>
      <c r="G63" s="4">
        <f t="shared" si="3"/>
        <v>0</v>
      </c>
      <c r="H63" s="15">
        <f>(SQRT(4*I62*I62*V*V + 'Drilling Spec'!$C$42*I62 + W*('Drilling Spec'!$C$43 + 2*l*V*(s*W + 2*V*G63/(1+e)) + 'Drilling Spec'!$C$44)) - 'Drilling Spec'!$C$45)/(2*V)</f>
        <v>709.67645900268076</v>
      </c>
      <c r="I63" s="23">
        <f>IF(AND(OR(I62=0,I62=""),F63=0),IF(F64=0,"",'Drilling Spec'!$C$26),H63)</f>
        <v>709.67645900268076</v>
      </c>
      <c r="J63" s="16">
        <f>MAX(0,I63-'Drilling Spec'!$C$30)</f>
        <v>629.67645900268076</v>
      </c>
      <c r="K63" s="18">
        <f>IFERROR(J63/'Drilling Spec'!$C$31,0)</f>
        <v>41.978430600178719</v>
      </c>
      <c r="L63" s="21">
        <f t="shared" si="21"/>
        <v>0</v>
      </c>
      <c r="M63" s="4">
        <f t="shared" si="14"/>
        <v>0</v>
      </c>
      <c r="N63" s="21">
        <f t="shared" si="5"/>
        <v>0</v>
      </c>
      <c r="O63" s="18">
        <f>(SQRT(4*O62*O62*vB*vB + 'Drilling Spec'!$C$48*O62 + WB*('Drilling Spec'!$C$49 + 2*lB*vB*(sB*WB + 2*vB*N63/(1+eB)) + 'Drilling Spec'!$C$50)) - 'Drilling Spec'!$C$51)/(2*vB)</f>
        <v>0</v>
      </c>
      <c r="P63" s="18">
        <f>IFERROR(((S63-'Drilling Spec'!$C$30)/'Drilling Spec'!$C$31)*'Drilling Spec'!$C$32,0)</f>
        <v>0</v>
      </c>
      <c r="Q63" s="18">
        <f t="shared" si="15"/>
        <v>0</v>
      </c>
      <c r="R63" s="18"/>
      <c r="S63" s="26" t="str">
        <f>IF(AND(OR(T62=0,T62=""),M63=0),IF(M64=0,"",'Drilling Spec'!$C$30),O63)</f>
        <v/>
      </c>
      <c r="U63" s="15">
        <f>E63*'Drilling Spec'!$C$22 + L63*'Drilling Spec'!$C$23</f>
        <v>0</v>
      </c>
      <c r="V63" s="15">
        <f t="shared" si="16"/>
        <v>15.872195121951215</v>
      </c>
      <c r="W63" s="15">
        <f t="shared" si="6"/>
        <v>2.1278048780487788</v>
      </c>
      <c r="X63" s="10"/>
      <c r="Y63" s="30">
        <f>IF(W63&lt;U64,'Drilling Spec'!$C$35,0)</f>
        <v>0</v>
      </c>
      <c r="AA63" s="4">
        <f t="shared" si="19"/>
        <v>46</v>
      </c>
      <c r="AB63" s="10"/>
      <c r="AC63" s="30">
        <f>IF('04-07-25-Scen3-Good,24-16hr'!K64&gt;'04-07-25-Scen3-Good,24-16hr'!AA63,'Drilling Spec'!$C$36,)</f>
        <v>0</v>
      </c>
      <c r="AE63" s="18">
        <f>(I63-'Drilling Spec'!$C$26)/'Drilling Spec'!$C$38</f>
        <v>106.61274316711346</v>
      </c>
      <c r="AF63" s="18">
        <f t="shared" si="7"/>
        <v>0</v>
      </c>
      <c r="AG63" s="34">
        <f t="shared" si="22"/>
        <v>6.6127431671134644</v>
      </c>
      <c r="AH63" s="10"/>
      <c r="AI63" s="26">
        <f>IF(C63="Camp Closed",AG63,IF(AG63&lt;'Drilling Spec'!$C$39,,'Drilling Spec'!$C$39))</f>
        <v>0</v>
      </c>
      <c r="AL63" s="16">
        <f t="shared" si="23"/>
        <v>-709.67645900268076</v>
      </c>
      <c r="AM63" s="16" t="e">
        <f t="shared" si="10"/>
        <v>#N/A</v>
      </c>
      <c r="AN63">
        <f>-'Drilling Spec'!$C$29</f>
        <v>-720</v>
      </c>
      <c r="AO63">
        <f>-'Drilling Spec'!$C$27</f>
        <v>-624</v>
      </c>
      <c r="AP63">
        <f>-'Drilling Spec'!$C$28</f>
        <v>-688</v>
      </c>
      <c r="AQ63" t="e">
        <f t="shared" si="11"/>
        <v>#N/A</v>
      </c>
      <c r="AR63" t="e">
        <f>IF(X63=0,NA(),-'Drilling Spec'!$C$29*0.1)</f>
        <v>#N/A</v>
      </c>
      <c r="AS63" t="e">
        <f>IF(Y63=0,NA(),-'Drilling Spec'!$C$29*0.1)</f>
        <v>#N/A</v>
      </c>
      <c r="AT63" t="e">
        <f>IF(AB63=0,NA(),-'Drilling Spec'!$C$29*0.2)</f>
        <v>#N/A</v>
      </c>
      <c r="AU63" t="e">
        <f>IF(AC63=0,NA(),-'Drilling Spec'!$C$29*0.2)</f>
        <v>#N/A</v>
      </c>
      <c r="AV63" t="e">
        <f>IF(AH63=0,NA(),-'Drilling Spec'!$C$29*0.3)</f>
        <v>#N/A</v>
      </c>
      <c r="AW63" t="e">
        <f>IF(AI63=0,NA(),-'Drilling Spec'!$C$29*0.3)</f>
        <v>#N/A</v>
      </c>
      <c r="AX63" s="29">
        <f t="shared" si="24"/>
        <v>2.1278048780487788</v>
      </c>
      <c r="AY63" s="29">
        <f t="shared" si="25"/>
        <v>4.0215693998212814</v>
      </c>
      <c r="AZ63" s="29">
        <f t="shared" si="17"/>
        <v>6.6127431671134644</v>
      </c>
    </row>
    <row r="64" spans="1:57" x14ac:dyDescent="0.35">
      <c r="A64" s="28">
        <f t="shared" si="18"/>
        <v>46034</v>
      </c>
      <c r="B64" t="str">
        <f t="shared" si="0"/>
        <v>Mon</v>
      </c>
      <c r="C64" s="10" t="s">
        <v>9</v>
      </c>
      <c r="D64" s="10">
        <v>16</v>
      </c>
      <c r="E64" s="4">
        <f t="shared" si="1"/>
        <v>16</v>
      </c>
      <c r="F64" s="4">
        <f t="shared" si="20"/>
        <v>808</v>
      </c>
      <c r="G64" s="4">
        <f t="shared" si="3"/>
        <v>960</v>
      </c>
      <c r="H64" s="15">
        <f>(SQRT(4*I63*I63*V*V + 'Drilling Spec'!$C$42*I63 + W*('Drilling Spec'!$C$43 + 2*l*V*(s*W + 2*V*G64/(1+e)) + 'Drilling Spec'!$C$44)) - 'Drilling Spec'!$C$45)/(2*V)</f>
        <v>719.22438782276038</v>
      </c>
      <c r="I64" s="23">
        <f>IF(AND(OR(I63=0,I63=""),F64=0),IF(F65=0,"",'Drilling Spec'!$C$26),H64)</f>
        <v>719.22438782276038</v>
      </c>
      <c r="J64" s="16">
        <f>MAX(0,I64-'Drilling Spec'!$C$30)</f>
        <v>639.22438782276038</v>
      </c>
      <c r="K64" s="18">
        <f>IFERROR(J64/'Drilling Spec'!$C$31,0)</f>
        <v>42.614959188184024</v>
      </c>
      <c r="L64" s="21">
        <f t="shared" si="21"/>
        <v>0</v>
      </c>
      <c r="M64" s="4">
        <f t="shared" si="14"/>
        <v>0</v>
      </c>
      <c r="N64" s="21">
        <f t="shared" si="5"/>
        <v>0</v>
      </c>
      <c r="O64" s="18">
        <f>(SQRT(4*O63*O63*vB*vB + 'Drilling Spec'!$C$48*O63 + WB*('Drilling Spec'!$C$49 + 2*lB*vB*(sB*WB + 2*vB*N64/(1+eB)) + 'Drilling Spec'!$C$50)) - 'Drilling Spec'!$C$51)/(2*vB)</f>
        <v>0</v>
      </c>
      <c r="P64" s="18">
        <f>IFERROR(((S64-'Drilling Spec'!$C$30)/'Drilling Spec'!$C$31)*'Drilling Spec'!$C$32,0)</f>
        <v>0</v>
      </c>
      <c r="Q64" s="18">
        <f t="shared" si="15"/>
        <v>0</v>
      </c>
      <c r="R64" s="18"/>
      <c r="S64" s="26" t="str">
        <f>IF(AND(OR(T63=0,T63=""),M64=0),IF(M65=0,"",'Drilling Spec'!$C$30),O64)</f>
        <v/>
      </c>
      <c r="U64" s="15">
        <f>E64*'Drilling Spec'!$C$22 + L64*'Drilling Spec'!$C$23</f>
        <v>0.32065040650406507</v>
      </c>
      <c r="V64" s="15">
        <f t="shared" si="16"/>
        <v>16.19284552845528</v>
      </c>
      <c r="W64" s="15">
        <f t="shared" si="6"/>
        <v>1.8071544715447136</v>
      </c>
      <c r="X64" s="10"/>
      <c r="Y64" s="30">
        <f>IF(W64&lt;U65,'Drilling Spec'!$C$35,0)</f>
        <v>0</v>
      </c>
      <c r="AA64" s="4">
        <f t="shared" si="19"/>
        <v>46</v>
      </c>
      <c r="AB64" s="10"/>
      <c r="AC64" s="30">
        <f>IF('04-07-25-Scen3-Good,24-16hr'!K65&gt;'04-07-25-Scen3-Good,24-16hr'!AA64,'Drilling Spec'!$C$36,)</f>
        <v>0</v>
      </c>
      <c r="AE64" s="18">
        <f>(I64-'Drilling Spec'!$C$26)/'Drilling Spec'!$C$38</f>
        <v>108.20406463712673</v>
      </c>
      <c r="AF64" s="18">
        <f t="shared" si="7"/>
        <v>1.5913214700132698</v>
      </c>
      <c r="AG64" s="34">
        <f t="shared" si="22"/>
        <v>8.2040646371267343</v>
      </c>
      <c r="AH64" s="10"/>
      <c r="AI64" s="26">
        <f>IF(C64="Camp Closed",AG64,IF(AG64&lt;'Drilling Spec'!$C$39,,'Drilling Spec'!$C$39))</f>
        <v>0</v>
      </c>
      <c r="AL64" s="16">
        <f t="shared" si="23"/>
        <v>-719.22438782276038</v>
      </c>
      <c r="AM64" s="16" t="e">
        <f t="shared" si="10"/>
        <v>#N/A</v>
      </c>
      <c r="AN64">
        <f>-'Drilling Spec'!$C$29</f>
        <v>-720</v>
      </c>
      <c r="AO64">
        <f>-'Drilling Spec'!$C$27</f>
        <v>-624</v>
      </c>
      <c r="AP64">
        <f>-'Drilling Spec'!$C$28</f>
        <v>-688</v>
      </c>
      <c r="AQ64" t="e">
        <f t="shared" si="11"/>
        <v>#N/A</v>
      </c>
      <c r="AR64" t="e">
        <f>IF(X64=0,NA(),-'Drilling Spec'!$C$29*0.1)</f>
        <v>#N/A</v>
      </c>
      <c r="AS64" t="e">
        <f>IF(Y64=0,NA(),-'Drilling Spec'!$C$29*0.1)</f>
        <v>#N/A</v>
      </c>
      <c r="AT64" t="e">
        <f>IF(AB64=0,NA(),-'Drilling Spec'!$C$29*0.2)</f>
        <v>#N/A</v>
      </c>
      <c r="AU64" t="e">
        <f>IF(AC64=0,NA(),-'Drilling Spec'!$C$29*0.2)</f>
        <v>#N/A</v>
      </c>
      <c r="AV64" t="e">
        <f>IF(AH64=0,NA(),-'Drilling Spec'!$C$29*0.3)</f>
        <v>#N/A</v>
      </c>
      <c r="AW64" t="e">
        <f>IF(AI64=0,NA(),-'Drilling Spec'!$C$29*0.3)</f>
        <v>#N/A</v>
      </c>
      <c r="AX64" s="29">
        <f t="shared" si="24"/>
        <v>1.8071544715447136</v>
      </c>
      <c r="AY64" s="29">
        <f t="shared" si="25"/>
        <v>3.3850408118159763</v>
      </c>
      <c r="AZ64" s="29">
        <f t="shared" si="17"/>
        <v>8.2040646371267343</v>
      </c>
    </row>
    <row r="65" spans="1:52" x14ac:dyDescent="0.35">
      <c r="A65" s="28">
        <f t="shared" si="18"/>
        <v>46035</v>
      </c>
      <c r="B65" t="str">
        <f t="shared" si="0"/>
        <v>Tue</v>
      </c>
      <c r="C65" s="10" t="s">
        <v>9</v>
      </c>
      <c r="D65" s="10">
        <v>16</v>
      </c>
      <c r="E65" s="4">
        <f t="shared" si="1"/>
        <v>16</v>
      </c>
      <c r="F65" s="4">
        <f t="shared" si="20"/>
        <v>824</v>
      </c>
      <c r="G65" s="4">
        <f t="shared" si="3"/>
        <v>960</v>
      </c>
      <c r="H65" s="15">
        <f>(SQRT(4*I64*I64*V*V + 'Drilling Spec'!$C$42*I64 + W*('Drilling Spec'!$C$43 + 2*l*V*(s*W + 2*V*G65/(1+e)) + 'Drilling Spec'!$C$44)) - 'Drilling Spec'!$C$45)/(2*V)</f>
        <v>728.69980844307224</v>
      </c>
      <c r="I65" s="23">
        <f>IF(AND(OR(I64=0,I64=""),F65=0),IF(F66=0,"",'Drilling Spec'!$C$26),H65)</f>
        <v>728.69980844307224</v>
      </c>
      <c r="J65" s="16">
        <f>MAX(0,I65-'Drilling Spec'!$C$30)</f>
        <v>648.69980844307224</v>
      </c>
      <c r="K65" s="18">
        <f>IFERROR(J65/'Drilling Spec'!$C$31,0)</f>
        <v>43.246653896204819</v>
      </c>
      <c r="L65" s="21">
        <f t="shared" si="21"/>
        <v>0</v>
      </c>
      <c r="M65" s="4">
        <f t="shared" si="14"/>
        <v>0</v>
      </c>
      <c r="N65" s="21">
        <f t="shared" si="5"/>
        <v>0</v>
      </c>
      <c r="O65" s="18">
        <f>(SQRT(4*O64*O64*vB*vB + 'Drilling Spec'!$C$48*O64 + WB*('Drilling Spec'!$C$49 + 2*lB*vB*(sB*WB + 2*vB*N65/(1+eB)) + 'Drilling Spec'!$C$50)) - 'Drilling Spec'!$C$51)/(2*vB)</f>
        <v>0</v>
      </c>
      <c r="P65" s="18">
        <f>IFERROR(((S65-'Drilling Spec'!$C$30)/'Drilling Spec'!$C$31)*'Drilling Spec'!$C$32,0)</f>
        <v>0</v>
      </c>
      <c r="Q65" s="18">
        <f t="shared" si="15"/>
        <v>0</v>
      </c>
      <c r="R65" s="18"/>
      <c r="S65" s="26">
        <f>IF(AND(OR(T64=0,T64=""),M65=0),IF(M66=0,"",'Drilling Spec'!$C$30),O65)</f>
        <v>80</v>
      </c>
      <c r="U65" s="15">
        <f>E65*'Drilling Spec'!$C$22 + L65*'Drilling Spec'!$C$23</f>
        <v>0.32065040650406507</v>
      </c>
      <c r="V65" s="15">
        <f t="shared" si="16"/>
        <v>16.513495934959344</v>
      </c>
      <c r="W65" s="15">
        <f t="shared" si="6"/>
        <v>1.4865040650406485</v>
      </c>
      <c r="X65" s="10"/>
      <c r="Y65" s="30">
        <f>IF(W65&lt;U66,'Drilling Spec'!$C$35,0)</f>
        <v>0</v>
      </c>
      <c r="AA65" s="4">
        <f t="shared" si="19"/>
        <v>46</v>
      </c>
      <c r="AB65" s="10"/>
      <c r="AC65" s="30">
        <f>IF('04-07-25-Scen3-Good,24-16hr'!K66&gt;'04-07-25-Scen3-Good,24-16hr'!AA65,'Drilling Spec'!$C$36,)</f>
        <v>0</v>
      </c>
      <c r="AE65" s="18">
        <f>(I65-'Drilling Spec'!$C$26)/'Drilling Spec'!$C$38</f>
        <v>109.78330140717871</v>
      </c>
      <c r="AF65" s="18">
        <f t="shared" si="7"/>
        <v>1.5792367700519776</v>
      </c>
      <c r="AG65" s="34">
        <f t="shared" si="22"/>
        <v>9.7833014071787119</v>
      </c>
      <c r="AH65" s="10"/>
      <c r="AI65" s="26">
        <f>IF(C65="Camp Closed",AG65,IF(AG65&lt;'Drilling Spec'!$C$39,,'Drilling Spec'!$C$39))</f>
        <v>0</v>
      </c>
      <c r="AL65" s="16">
        <f t="shared" si="23"/>
        <v>-728.69980844307224</v>
      </c>
      <c r="AM65" s="16">
        <f t="shared" si="10"/>
        <v>-80</v>
      </c>
      <c r="AN65">
        <f>-'Drilling Spec'!$C$29</f>
        <v>-720</v>
      </c>
      <c r="AO65">
        <f>-'Drilling Spec'!$C$27</f>
        <v>-624</v>
      </c>
      <c r="AP65">
        <f>-'Drilling Spec'!$C$28</f>
        <v>-688</v>
      </c>
      <c r="AQ65" t="e">
        <f t="shared" si="11"/>
        <v>#N/A</v>
      </c>
      <c r="AR65" t="e">
        <f>IF(X65=0,NA(),-'Drilling Spec'!$C$29*0.1)</f>
        <v>#N/A</v>
      </c>
      <c r="AS65" t="e">
        <f>IF(Y65=0,NA(),-'Drilling Spec'!$C$29*0.1)</f>
        <v>#N/A</v>
      </c>
      <c r="AT65" t="e">
        <f>IF(AB65=0,NA(),-'Drilling Spec'!$C$29*0.2)</f>
        <v>#N/A</v>
      </c>
      <c r="AU65" t="e">
        <f>IF(AC65=0,NA(),-'Drilling Spec'!$C$29*0.2)</f>
        <v>#N/A</v>
      </c>
      <c r="AV65" t="e">
        <f>IF(AH65=0,NA(),-'Drilling Spec'!$C$29*0.3)</f>
        <v>#N/A</v>
      </c>
      <c r="AW65" t="e">
        <f>IF(AI65=0,NA(),-'Drilling Spec'!$C$29*0.3)</f>
        <v>#N/A</v>
      </c>
      <c r="AX65" s="29">
        <f t="shared" si="24"/>
        <v>1.4865040650406485</v>
      </c>
      <c r="AY65" s="29">
        <f t="shared" si="25"/>
        <v>2.753346103795181</v>
      </c>
      <c r="AZ65" s="29">
        <f t="shared" si="17"/>
        <v>9.7833014071787119</v>
      </c>
    </row>
    <row r="66" spans="1:52" x14ac:dyDescent="0.35">
      <c r="A66" s="28">
        <f t="shared" si="18"/>
        <v>46036</v>
      </c>
      <c r="B66" t="str">
        <f t="shared" si="0"/>
        <v>Wed</v>
      </c>
      <c r="C66" s="10" t="s">
        <v>10</v>
      </c>
      <c r="D66" s="10">
        <v>24</v>
      </c>
      <c r="E66" s="4">
        <f t="shared" si="1"/>
        <v>0</v>
      </c>
      <c r="F66" s="4">
        <f t="shared" si="20"/>
        <v>824</v>
      </c>
      <c r="G66" s="4">
        <f t="shared" si="3"/>
        <v>0</v>
      </c>
      <c r="H66" s="15">
        <f>(SQRT(4*I65*I65*V*V + 'Drilling Spec'!$C$42*I65 + W*('Drilling Spec'!$C$43 + 2*l*V*(s*W + 2*V*G66/(1+e)) + 'Drilling Spec'!$C$44)) - 'Drilling Spec'!$C$45)/(2*V)</f>
        <v>728.69980844307224</v>
      </c>
      <c r="I66" s="23">
        <f>IF(AND(OR(I65=0,I65=""),F66=0),IF(F67=0,"",'Drilling Spec'!$C$26),H66)</f>
        <v>728.69980844307224</v>
      </c>
      <c r="J66" s="16">
        <f>MAX(0,I66-'Drilling Spec'!$C$30)</f>
        <v>648.69980844307224</v>
      </c>
      <c r="K66" s="18">
        <f>IFERROR(J66/'Drilling Spec'!$C$31,0)</f>
        <v>43.246653896204819</v>
      </c>
      <c r="L66" s="21">
        <f t="shared" si="21"/>
        <v>24</v>
      </c>
      <c r="M66" s="4">
        <f t="shared" si="14"/>
        <v>24</v>
      </c>
      <c r="N66" s="21">
        <f t="shared" si="5"/>
        <v>1440</v>
      </c>
      <c r="O66" s="18">
        <f>(SQRT(4*O65*O65*vB*vB + 'Drilling Spec'!$C$48*O65 + WB*('Drilling Spec'!$C$49 + 2*lB*vB*(sB*WB + 2*vB*N66/(1+eB)) + 'Drilling Spec'!$C$50)) - 'Drilling Spec'!$C$51)/(2*vB)</f>
        <v>259.40331160292249</v>
      </c>
      <c r="P66" s="18">
        <f>IFERROR(((S66-'Drilling Spec'!$C$30)/'Drilling Spec'!$C$31)*'Drilling Spec'!$C$32,0)</f>
        <v>10.764198696175349</v>
      </c>
      <c r="Q66" s="18">
        <f t="shared" si="15"/>
        <v>10.764198696175349</v>
      </c>
      <c r="R66" s="18"/>
      <c r="S66" s="26">
        <f>IF(AND(OR(T65=0,T65=""),M66=0),IF(M67=0,"",'Drilling Spec'!$C$30),O66)</f>
        <v>259.40331160292249</v>
      </c>
      <c r="U66" s="15">
        <f>E66*'Drilling Spec'!$C$22 + L66*'Drilling Spec'!$C$23</f>
        <v>0.58536585365853666</v>
      </c>
      <c r="V66" s="15">
        <f t="shared" si="16"/>
        <v>17.098861788617882</v>
      </c>
      <c r="W66" s="15">
        <f t="shared" si="6"/>
        <v>0.90113821138211181</v>
      </c>
      <c r="X66" s="10"/>
      <c r="Y66" s="30">
        <f>IF(W66&lt;U67,'Drilling Spec'!$C$35,0)</f>
        <v>0</v>
      </c>
      <c r="AA66" s="4">
        <f t="shared" si="19"/>
        <v>46</v>
      </c>
      <c r="AB66" s="10"/>
      <c r="AC66" s="30">
        <f>IF('04-07-25-Scen3-Good,24-16hr'!K67&gt;'04-07-25-Scen3-Good,24-16hr'!AA66,'Drilling Spec'!$C$36,)</f>
        <v>0</v>
      </c>
      <c r="AE66" s="18">
        <f>(I66-'Drilling Spec'!$C$26)/'Drilling Spec'!$C$38</f>
        <v>109.78330140717871</v>
      </c>
      <c r="AF66" s="18">
        <f t="shared" si="7"/>
        <v>0</v>
      </c>
      <c r="AG66" s="34">
        <f t="shared" si="22"/>
        <v>9.7833014071787119</v>
      </c>
      <c r="AH66" s="10"/>
      <c r="AI66" s="26">
        <f>IF(C66="Camp Closed",AG66,IF(AG66&lt;'Drilling Spec'!$C$39,,'Drilling Spec'!$C$39))</f>
        <v>0</v>
      </c>
      <c r="AL66" s="16">
        <f t="shared" si="23"/>
        <v>-728.69980844307224</v>
      </c>
      <c r="AM66" s="16">
        <f t="shared" si="10"/>
        <v>-259.40331160292249</v>
      </c>
      <c r="AN66">
        <f>-'Drilling Spec'!$C$29</f>
        <v>-720</v>
      </c>
      <c r="AO66">
        <f>-'Drilling Spec'!$C$27</f>
        <v>-624</v>
      </c>
      <c r="AP66">
        <f>-'Drilling Spec'!$C$28</f>
        <v>-688</v>
      </c>
      <c r="AQ66" t="e">
        <f t="shared" si="11"/>
        <v>#N/A</v>
      </c>
      <c r="AR66" t="e">
        <f>IF(X66=0,NA(),-'Drilling Spec'!$C$29*0.1)</f>
        <v>#N/A</v>
      </c>
      <c r="AS66" t="e">
        <f>IF(Y66=0,NA(),-'Drilling Spec'!$C$29*0.1)</f>
        <v>#N/A</v>
      </c>
      <c r="AT66" t="e">
        <f>IF(AB66=0,NA(),-'Drilling Spec'!$C$29*0.2)</f>
        <v>#N/A</v>
      </c>
      <c r="AU66" t="e">
        <f>IF(AC66=0,NA(),-'Drilling Spec'!$C$29*0.2)</f>
        <v>#N/A</v>
      </c>
      <c r="AV66" t="e">
        <f>IF(AH66=0,NA(),-'Drilling Spec'!$C$29*0.3)</f>
        <v>#N/A</v>
      </c>
      <c r="AW66" t="e">
        <f>IF(AI66=0,NA(),-'Drilling Spec'!$C$29*0.3)</f>
        <v>#N/A</v>
      </c>
      <c r="AX66" s="29">
        <f t="shared" si="24"/>
        <v>0.90113821138211181</v>
      </c>
      <c r="AY66" s="29">
        <f t="shared" si="25"/>
        <v>13.51754479997053</v>
      </c>
      <c r="AZ66" s="29">
        <f t="shared" si="17"/>
        <v>9.7833014071787119</v>
      </c>
    </row>
    <row r="67" spans="1:52" x14ac:dyDescent="0.35">
      <c r="A67" s="28">
        <f t="shared" si="18"/>
        <v>46037</v>
      </c>
      <c r="B67" t="str">
        <f t="shared" ref="B67:B112" si="26">TEXT(A67,"ddd")</f>
        <v>Thu</v>
      </c>
      <c r="C67" s="10" t="s">
        <v>10</v>
      </c>
      <c r="D67" s="10">
        <v>24</v>
      </c>
      <c r="E67" s="4">
        <f t="shared" ref="E67:E112" si="27">IF(C67="Drilling",D67,0)</f>
        <v>0</v>
      </c>
      <c r="F67" s="4">
        <f t="shared" ref="F67:F87" si="28">(F66+E67)</f>
        <v>824</v>
      </c>
      <c r="G67" s="4">
        <f t="shared" ref="G67:G112" si="29">E67*60</f>
        <v>0</v>
      </c>
      <c r="H67" s="15">
        <f>(SQRT(4*I66*I66*V*V + 'Drilling Spec'!$C$42*I66 + W*('Drilling Spec'!$C$43 + 2*l*V*(s*W + 2*V*G67/(1+e)) + 'Drilling Spec'!$C$44)) - 'Drilling Spec'!$C$45)/(2*V)</f>
        <v>728.69980844307224</v>
      </c>
      <c r="I67" s="23">
        <f>IF(AND(OR(I66=0,I66=""),F67=0),IF(F68=0,"",'Drilling Spec'!$C$26),H67)</f>
        <v>728.69980844307224</v>
      </c>
      <c r="J67" s="16">
        <f>MAX(0,I67-'Drilling Spec'!$C$30)</f>
        <v>648.69980844307224</v>
      </c>
      <c r="K67" s="18">
        <f>IFERROR(J67/'Drilling Spec'!$C$31,0)</f>
        <v>43.246653896204819</v>
      </c>
      <c r="L67" s="21">
        <f t="shared" ref="L67:L87" si="30">IF(C67="Bailing",D67,0)</f>
        <v>24</v>
      </c>
      <c r="M67" s="4">
        <f t="shared" si="14"/>
        <v>48</v>
      </c>
      <c r="N67" s="21">
        <f t="shared" ref="N67:N112" si="31">L67*60</f>
        <v>1440</v>
      </c>
      <c r="O67" s="18">
        <f>(SQRT(4*O66*O66*vB*vB + 'Drilling Spec'!$C$48*O66 + WB*('Drilling Spec'!$C$49 + 2*lB*vB*(sB*WB + 2*vB*N67/(1+eB)) + 'Drilling Spec'!$C$50)) - 'Drilling Spec'!$C$51)/(2*vB)</f>
        <v>400.47129457899786</v>
      </c>
      <c r="P67" s="18">
        <f>IFERROR(((S67-'Drilling Spec'!$C$30)/'Drilling Spec'!$C$31)*'Drilling Spec'!$C$32,0)</f>
        <v>19.228277674739871</v>
      </c>
      <c r="Q67" s="18">
        <f t="shared" si="15"/>
        <v>8.4640789785645225</v>
      </c>
      <c r="R67" s="18"/>
      <c r="S67" s="26">
        <f>IF(AND(OR(T66=0,T66=""),M67=0),IF(M68=0,"",'Drilling Spec'!$C$30),O67)</f>
        <v>400.47129457899786</v>
      </c>
      <c r="U67" s="15">
        <f>E67*'Drilling Spec'!$C$22 + L67*'Drilling Spec'!$C$23</f>
        <v>0.58536585365853666</v>
      </c>
      <c r="V67" s="15">
        <f t="shared" si="16"/>
        <v>17.684227642276419</v>
      </c>
      <c r="W67" s="15">
        <f t="shared" ref="W67:W112" si="32">W66-U67+X66+Y66</f>
        <v>0.31577235772357515</v>
      </c>
      <c r="X67" s="10"/>
      <c r="Y67" s="30">
        <f>IF(W67&lt;U68,'Drilling Spec'!$C$35,0)</f>
        <v>6</v>
      </c>
      <c r="AA67" s="4">
        <f t="shared" si="19"/>
        <v>46</v>
      </c>
      <c r="AB67" s="10"/>
      <c r="AC67" s="30">
        <f>IF('04-07-25-Scen3-Good,24-16hr'!K68&gt;'04-07-25-Scen3-Good,24-16hr'!AA67,'Drilling Spec'!$C$36,)</f>
        <v>0</v>
      </c>
      <c r="AE67" s="18">
        <f>(I67-'Drilling Spec'!$C$26)/'Drilling Spec'!$C$38</f>
        <v>109.78330140717871</v>
      </c>
      <c r="AF67" s="18">
        <f t="shared" ref="AF67:AF112" si="33">IFERROR(AE67-AE66,0)</f>
        <v>0</v>
      </c>
      <c r="AG67" s="34">
        <f t="shared" ref="AG67:AG98" si="34">AG66+AF67-AH67-AI66</f>
        <v>9.7833014071787119</v>
      </c>
      <c r="AH67" s="10"/>
      <c r="AI67" s="26">
        <f>IF(C67="Camp Closed",AG67,IF(AG67&lt;'Drilling Spec'!$C$39,,'Drilling Spec'!$C$39))</f>
        <v>0</v>
      </c>
      <c r="AL67" s="16">
        <f t="shared" ref="AL67:AL87" si="35">IFERROR(-I67,NA())</f>
        <v>-728.69980844307224</v>
      </c>
      <c r="AM67" s="16">
        <f t="shared" ref="AM67:AM112" si="36">IF(OR(S67=0,S67=""),NA(),-S67)</f>
        <v>-400.47129457899786</v>
      </c>
      <c r="AN67">
        <f>-'Drilling Spec'!$C$29</f>
        <v>-720</v>
      </c>
      <c r="AO67">
        <f>-'Drilling Spec'!$C$27</f>
        <v>-624</v>
      </c>
      <c r="AP67">
        <f>-'Drilling Spec'!$C$28</f>
        <v>-688</v>
      </c>
      <c r="AQ67" t="e">
        <f t="shared" ref="AQ67:AQ112" si="37">IF(C67="Camp Closed",0,NA())</f>
        <v>#N/A</v>
      </c>
      <c r="AR67" t="e">
        <f>IF(X67=0,NA(),-'Drilling Spec'!$C$29*0.1)</f>
        <v>#N/A</v>
      </c>
      <c r="AS67">
        <f>IF(Y67=0,NA(),-'Drilling Spec'!$C$29*0.1)</f>
        <v>-72</v>
      </c>
      <c r="AT67" t="e">
        <f>IF(AB67=0,NA(),-'Drilling Spec'!$C$29*0.2)</f>
        <v>#N/A</v>
      </c>
      <c r="AU67" t="e">
        <f>IF(AC67=0,NA(),-'Drilling Spec'!$C$29*0.2)</f>
        <v>#N/A</v>
      </c>
      <c r="AV67" t="e">
        <f>IF(AH67=0,NA(),-'Drilling Spec'!$C$29*0.3)</f>
        <v>#N/A</v>
      </c>
      <c r="AW67" t="e">
        <f>IF(AI67=0,NA(),-'Drilling Spec'!$C$29*0.3)</f>
        <v>#N/A</v>
      </c>
      <c r="AX67" s="29">
        <f t="shared" ref="AX67:AX98" si="38">W67</f>
        <v>0.31577235772357515</v>
      </c>
      <c r="AY67" s="29">
        <f t="shared" ref="AY67:AY98" si="39">AA67-K67+P67</f>
        <v>21.981623778535052</v>
      </c>
      <c r="AZ67" s="29">
        <f t="shared" si="17"/>
        <v>9.7833014071787119</v>
      </c>
    </row>
    <row r="68" spans="1:52" x14ac:dyDescent="0.35">
      <c r="A68" s="28">
        <f t="shared" si="18"/>
        <v>46038</v>
      </c>
      <c r="B68" t="str">
        <f t="shared" si="26"/>
        <v>Fri</v>
      </c>
      <c r="C68" s="10" t="s">
        <v>10</v>
      </c>
      <c r="D68" s="10">
        <v>24</v>
      </c>
      <c r="E68" s="4">
        <f t="shared" si="27"/>
        <v>0</v>
      </c>
      <c r="F68" s="4">
        <f t="shared" si="28"/>
        <v>824</v>
      </c>
      <c r="G68" s="4">
        <f t="shared" si="29"/>
        <v>0</v>
      </c>
      <c r="H68" s="15">
        <f>(SQRT(4*I67*I67*V*V + 'Drilling Spec'!$C$42*I67 + W*('Drilling Spec'!$C$43 + 2*l*V*(s*W + 2*V*G68/(1+e)) + 'Drilling Spec'!$C$44)) - 'Drilling Spec'!$C$45)/(2*V)</f>
        <v>728.69980844307224</v>
      </c>
      <c r="I68" s="23">
        <f>IF(AND(OR(I67=0,I67=""),F68=0),IF(F69=0,"",'Drilling Spec'!$C$26),H68)</f>
        <v>728.69980844307224</v>
      </c>
      <c r="J68" s="16">
        <f>MAX(0,I68-'Drilling Spec'!$C$30)</f>
        <v>648.69980844307224</v>
      </c>
      <c r="K68" s="18">
        <f>IFERROR(J68/'Drilling Spec'!$C$31,0)</f>
        <v>43.246653896204819</v>
      </c>
      <c r="L68" s="21">
        <f t="shared" si="30"/>
        <v>24</v>
      </c>
      <c r="M68" s="4">
        <f t="shared" ref="M68:M112" si="40">(M67+L68)</f>
        <v>72</v>
      </c>
      <c r="N68" s="21">
        <f t="shared" si="31"/>
        <v>1440</v>
      </c>
      <c r="O68" s="18">
        <f>(SQRT(4*O67*O67*vB*vB + 'Drilling Spec'!$C$48*O67 + WB*('Drilling Spec'!$C$49 + 2*lB*vB*(sB*WB + 2*vB*N68/(1+eB)) + 'Drilling Spec'!$C$50)) - 'Drilling Spec'!$C$51)/(2*vB)</f>
        <v>510.1938307186208</v>
      </c>
      <c r="P68" s="18">
        <f>IFERROR(((S68-'Drilling Spec'!$C$30)/'Drilling Spec'!$C$31)*'Drilling Spec'!$C$32,0)</f>
        <v>25.811629843117249</v>
      </c>
      <c r="Q68" s="18">
        <f t="shared" ref="Q68:Q112" si="41">P68-P67</f>
        <v>6.5833521683773775</v>
      </c>
      <c r="R68" s="18"/>
      <c r="S68" s="26">
        <f>IF(AND(OR(T67=0,T67=""),M68=0),IF(M69=0,"",'Drilling Spec'!$C$30),O68)</f>
        <v>510.1938307186208</v>
      </c>
      <c r="U68" s="15">
        <f>E68*'Drilling Spec'!$C$22 + L68*'Drilling Spec'!$C$23</f>
        <v>0.58536585365853666</v>
      </c>
      <c r="V68" s="15">
        <f t="shared" ref="V68:V112" si="42">V67+U68</f>
        <v>18.269593495934956</v>
      </c>
      <c r="W68" s="15">
        <f t="shared" si="32"/>
        <v>5.7304065040650389</v>
      </c>
      <c r="X68" s="10"/>
      <c r="Y68" s="30">
        <f>IF(W68&lt;U69,'Drilling Spec'!$C$35,0)</f>
        <v>0</v>
      </c>
      <c r="AA68" s="4">
        <f t="shared" si="19"/>
        <v>46</v>
      </c>
      <c r="AB68" s="10"/>
      <c r="AC68" s="30">
        <f>IF('04-07-25-Scen3-Good,24-16hr'!K69&gt;'04-07-25-Scen3-Good,24-16hr'!AA68,'Drilling Spec'!$C$36,)</f>
        <v>0</v>
      </c>
      <c r="AE68" s="18">
        <f>(I68-'Drilling Spec'!$C$26)/'Drilling Spec'!$C$38</f>
        <v>109.78330140717871</v>
      </c>
      <c r="AF68" s="18">
        <f t="shared" si="33"/>
        <v>0</v>
      </c>
      <c r="AG68" s="34">
        <f t="shared" si="34"/>
        <v>9.7833014071787119</v>
      </c>
      <c r="AH68" s="10"/>
      <c r="AI68" s="26">
        <f>IF(C68="Camp Closed",AG68,IF(AG68&lt;'Drilling Spec'!$C$39,,'Drilling Spec'!$C$39))</f>
        <v>0</v>
      </c>
      <c r="AL68" s="16">
        <f t="shared" si="35"/>
        <v>-728.69980844307224</v>
      </c>
      <c r="AM68" s="16">
        <f t="shared" si="36"/>
        <v>-510.1938307186208</v>
      </c>
      <c r="AN68">
        <f>-'Drilling Spec'!$C$29</f>
        <v>-720</v>
      </c>
      <c r="AO68">
        <f>-'Drilling Spec'!$C$27</f>
        <v>-624</v>
      </c>
      <c r="AP68">
        <f>-'Drilling Spec'!$C$28</f>
        <v>-688</v>
      </c>
      <c r="AQ68" t="e">
        <f t="shared" si="37"/>
        <v>#N/A</v>
      </c>
      <c r="AR68" t="e">
        <f>IF(X68=0,NA(),-'Drilling Spec'!$C$29*0.1)</f>
        <v>#N/A</v>
      </c>
      <c r="AS68" t="e">
        <f>IF(Y68=0,NA(),-'Drilling Spec'!$C$29*0.1)</f>
        <v>#N/A</v>
      </c>
      <c r="AT68" t="e">
        <f>IF(AB68=0,NA(),-'Drilling Spec'!$C$29*0.2)</f>
        <v>#N/A</v>
      </c>
      <c r="AU68" t="e">
        <f>IF(AC68=0,NA(),-'Drilling Spec'!$C$29*0.2)</f>
        <v>#N/A</v>
      </c>
      <c r="AV68" t="e">
        <f>IF(AH68=0,NA(),-'Drilling Spec'!$C$29*0.3)</f>
        <v>#N/A</v>
      </c>
      <c r="AW68" t="e">
        <f>IF(AI68=0,NA(),-'Drilling Spec'!$C$29*0.3)</f>
        <v>#N/A</v>
      </c>
      <c r="AX68" s="29">
        <f t="shared" si="38"/>
        <v>5.7304065040650389</v>
      </c>
      <c r="AY68" s="29">
        <f t="shared" si="39"/>
        <v>28.56497594691243</v>
      </c>
      <c r="AZ68" s="29">
        <f t="shared" ref="AZ68:AZ112" si="43">AG68</f>
        <v>9.7833014071787119</v>
      </c>
    </row>
    <row r="69" spans="1:52" x14ac:dyDescent="0.35">
      <c r="A69" s="28">
        <f t="shared" ref="A69:A84" si="44">A68+1</f>
        <v>46039</v>
      </c>
      <c r="B69" t="str">
        <f t="shared" si="26"/>
        <v>Sat</v>
      </c>
      <c r="C69" s="10" t="s">
        <v>10</v>
      </c>
      <c r="D69" s="10">
        <v>24</v>
      </c>
      <c r="E69" s="4">
        <f t="shared" si="27"/>
        <v>0</v>
      </c>
      <c r="F69" s="4">
        <f t="shared" si="28"/>
        <v>824</v>
      </c>
      <c r="G69" s="4">
        <f t="shared" si="29"/>
        <v>0</v>
      </c>
      <c r="H69" s="15">
        <f>(SQRT(4*I68*I68*V*V + 'Drilling Spec'!$C$42*I68 + W*('Drilling Spec'!$C$43 + 2*l*V*(s*W + 2*V*G69/(1+e)) + 'Drilling Spec'!$C$44)) - 'Drilling Spec'!$C$45)/(2*V)</f>
        <v>728.69980844307224</v>
      </c>
      <c r="I69" s="23">
        <f>IF(AND(OR(I68=0,I68=""),F69=0),IF(F70=0,"",'Drilling Spec'!$C$26),H69)</f>
        <v>728.69980844307224</v>
      </c>
      <c r="J69" s="16">
        <f>MAX(0,I69-'Drilling Spec'!$C$30)</f>
        <v>648.69980844307224</v>
      </c>
      <c r="K69" s="18">
        <f>IFERROR(J69/'Drilling Spec'!$C$31,0)</f>
        <v>43.246653896204819</v>
      </c>
      <c r="L69" s="21">
        <f t="shared" si="30"/>
        <v>24</v>
      </c>
      <c r="M69" s="4">
        <f t="shared" si="40"/>
        <v>96</v>
      </c>
      <c r="N69" s="21">
        <f t="shared" si="31"/>
        <v>1440</v>
      </c>
      <c r="O69" s="18">
        <f>(SQRT(4*O68*O68*vB*vB + 'Drilling Spec'!$C$48*O68 + WB*('Drilling Spec'!$C$49 + 2*lB*vB*(sB*WB + 2*vB*N69/(1+eB)) + 'Drilling Spec'!$C$50)) - 'Drilling Spec'!$C$51)/(2*vB)</f>
        <v>603.20853687666511</v>
      </c>
      <c r="P69" s="18">
        <f>IFERROR(((S69-'Drilling Spec'!$C$30)/'Drilling Spec'!$C$31)*'Drilling Spec'!$C$32,0)</f>
        <v>31.392512212599907</v>
      </c>
      <c r="Q69" s="18">
        <f t="shared" si="41"/>
        <v>5.5808823694826586</v>
      </c>
      <c r="R69" s="18"/>
      <c r="S69" s="26">
        <f>IF(AND(OR(T68=0,T68=""),M69=0),IF(M70=0,"",'Drilling Spec'!$C$30),O69)</f>
        <v>603.20853687666511</v>
      </c>
      <c r="U69" s="15">
        <f>E69*'Drilling Spec'!$C$22 + L69*'Drilling Spec'!$C$23</f>
        <v>0.58536585365853666</v>
      </c>
      <c r="V69" s="15">
        <f t="shared" si="42"/>
        <v>18.854959349593493</v>
      </c>
      <c r="W69" s="15">
        <f t="shared" si="32"/>
        <v>5.1450406504065018</v>
      </c>
      <c r="X69" s="10"/>
      <c r="Y69" s="30">
        <f>IF(W69&lt;U70,'Drilling Spec'!$C$35,0)</f>
        <v>0</v>
      </c>
      <c r="AA69" s="4">
        <f t="shared" ref="AA69:AA73" si="45">AA68+AC68+AB69</f>
        <v>46</v>
      </c>
      <c r="AB69" s="10"/>
      <c r="AC69" s="30">
        <f>IF('04-07-25-Scen3-Good,24-16hr'!K70&gt;'04-07-25-Scen3-Good,24-16hr'!AA69,'Drilling Spec'!$C$36,)</f>
        <v>0</v>
      </c>
      <c r="AE69" s="18">
        <f>(I69-'Drilling Spec'!$C$26)/'Drilling Spec'!$C$38</f>
        <v>109.78330140717871</v>
      </c>
      <c r="AF69" s="18">
        <f t="shared" si="33"/>
        <v>0</v>
      </c>
      <c r="AG69" s="34">
        <f t="shared" si="34"/>
        <v>9.7833014071787119</v>
      </c>
      <c r="AH69" s="10"/>
      <c r="AI69" s="26">
        <f>IF(C69="Camp Closed",AG69,IF(AG69&lt;'Drilling Spec'!$C$39,,'Drilling Spec'!$C$39))</f>
        <v>0</v>
      </c>
      <c r="AL69" s="16">
        <f t="shared" si="35"/>
        <v>-728.69980844307224</v>
      </c>
      <c r="AM69" s="16">
        <f t="shared" si="36"/>
        <v>-603.20853687666511</v>
      </c>
      <c r="AN69">
        <f>-'Drilling Spec'!$C$29</f>
        <v>-720</v>
      </c>
      <c r="AO69">
        <f>-'Drilling Spec'!$C$27</f>
        <v>-624</v>
      </c>
      <c r="AP69">
        <f>-'Drilling Spec'!$C$28</f>
        <v>-688</v>
      </c>
      <c r="AQ69" t="e">
        <f t="shared" si="37"/>
        <v>#N/A</v>
      </c>
      <c r="AR69" t="e">
        <f>IF(X69=0,NA(),-'Drilling Spec'!$C$29*0.1)</f>
        <v>#N/A</v>
      </c>
      <c r="AS69" t="e">
        <f>IF(Y69=0,NA(),-'Drilling Spec'!$C$29*0.1)</f>
        <v>#N/A</v>
      </c>
      <c r="AT69" t="e">
        <f>IF(AB69=0,NA(),-'Drilling Spec'!$C$29*0.2)</f>
        <v>#N/A</v>
      </c>
      <c r="AU69" t="e">
        <f>IF(AC69=0,NA(),-'Drilling Spec'!$C$29*0.2)</f>
        <v>#N/A</v>
      </c>
      <c r="AV69" t="e">
        <f>IF(AH69=0,NA(),-'Drilling Spec'!$C$29*0.3)</f>
        <v>#N/A</v>
      </c>
      <c r="AW69" t="e">
        <f>IF(AI69=0,NA(),-'Drilling Spec'!$C$29*0.3)</f>
        <v>#N/A</v>
      </c>
      <c r="AX69" s="29">
        <f t="shared" si="38"/>
        <v>5.1450406504065018</v>
      </c>
      <c r="AY69" s="29">
        <f t="shared" si="39"/>
        <v>34.145858316395092</v>
      </c>
      <c r="AZ69" s="29">
        <f t="shared" si="43"/>
        <v>9.7833014071787119</v>
      </c>
    </row>
    <row r="70" spans="1:52" x14ac:dyDescent="0.35">
      <c r="A70" s="28">
        <f t="shared" si="44"/>
        <v>46040</v>
      </c>
      <c r="B70" t="str">
        <f t="shared" si="26"/>
        <v>Sun</v>
      </c>
      <c r="C70" s="10" t="s">
        <v>10</v>
      </c>
      <c r="D70" s="10">
        <v>24</v>
      </c>
      <c r="E70" s="4">
        <f t="shared" si="27"/>
        <v>0</v>
      </c>
      <c r="F70" s="4">
        <f t="shared" si="28"/>
        <v>824</v>
      </c>
      <c r="G70" s="4">
        <f t="shared" si="29"/>
        <v>0</v>
      </c>
      <c r="H70" s="15">
        <f>(SQRT(4*I69*I69*V*V + 'Drilling Spec'!$C$42*I69 + W*('Drilling Spec'!$C$43 + 2*l*V*(s*W + 2*V*G70/(1+e)) + 'Drilling Spec'!$C$44)) - 'Drilling Spec'!$C$45)/(2*V)</f>
        <v>728.69980844307224</v>
      </c>
      <c r="I70" s="23">
        <f>IF(AND(OR(I69=0,I69=""),F70=0),IF(F71=0,"",'Drilling Spec'!$C$26),H70)</f>
        <v>728.69980844307224</v>
      </c>
      <c r="J70" s="16">
        <f>MAX(0,I70-'Drilling Spec'!$C$30)</f>
        <v>648.69980844307224</v>
      </c>
      <c r="K70" s="18">
        <f>IFERROR(J70/'Drilling Spec'!$C$31,0)</f>
        <v>43.246653896204819</v>
      </c>
      <c r="L70" s="21">
        <f t="shared" si="30"/>
        <v>24</v>
      </c>
      <c r="M70" s="4">
        <f t="shared" si="40"/>
        <v>120</v>
      </c>
      <c r="N70" s="21">
        <f t="shared" si="31"/>
        <v>1440</v>
      </c>
      <c r="O70" s="18">
        <f>(SQRT(4*O69*O69*vB*vB + 'Drilling Spec'!$C$48*O69 + WB*('Drilling Spec'!$C$49 + 2*lB*vB*(sB*WB + 2*vB*N70/(1+eB)) + 'Drilling Spec'!$C$50)) - 'Drilling Spec'!$C$51)/(2*vB)</f>
        <v>685.40606744913521</v>
      </c>
      <c r="P70" s="18">
        <f>IFERROR(((S70-'Drilling Spec'!$C$30)/'Drilling Spec'!$C$31)*'Drilling Spec'!$C$32,0)</f>
        <v>36.324364046948112</v>
      </c>
      <c r="Q70" s="18">
        <f t="shared" si="41"/>
        <v>4.9318518343482047</v>
      </c>
      <c r="R70" s="18"/>
      <c r="S70" s="26">
        <f>IF(AND(OR(T69=0,T69=""),M70=0),IF(M71=0,"",'Drilling Spec'!$C$30),O70)</f>
        <v>685.40606744913521</v>
      </c>
      <c r="U70" s="15">
        <f>E70*'Drilling Spec'!$C$22 + L70*'Drilling Spec'!$C$23</f>
        <v>0.58536585365853666</v>
      </c>
      <c r="V70" s="15">
        <f t="shared" si="42"/>
        <v>19.44032520325203</v>
      </c>
      <c r="W70" s="15">
        <f t="shared" si="32"/>
        <v>4.5596747967479647</v>
      </c>
      <c r="X70" s="10"/>
      <c r="Y70" s="30">
        <f>IF(W70&lt;U71,'Drilling Spec'!$C$35,0)</f>
        <v>0</v>
      </c>
      <c r="AA70" s="4">
        <f t="shared" si="45"/>
        <v>46</v>
      </c>
      <c r="AB70" s="10"/>
      <c r="AC70" s="30">
        <f>IF('04-07-25-Scen3-Good,24-16hr'!K71&gt;'04-07-25-Scen3-Good,24-16hr'!AA70,'Drilling Spec'!$C$36,)</f>
        <v>0</v>
      </c>
      <c r="AE70" s="18">
        <f>(I70-'Drilling Spec'!$C$26)/'Drilling Spec'!$C$38</f>
        <v>109.78330140717871</v>
      </c>
      <c r="AF70" s="18">
        <f t="shared" si="33"/>
        <v>0</v>
      </c>
      <c r="AG70" s="34">
        <f t="shared" si="34"/>
        <v>9.7833014071787119</v>
      </c>
      <c r="AH70" s="10"/>
      <c r="AI70" s="26">
        <f>IF(C70="Camp Closed",AG70,IF(AG70&lt;'Drilling Spec'!$C$39,,'Drilling Spec'!$C$39))</f>
        <v>0</v>
      </c>
      <c r="AL70" s="16">
        <f t="shared" si="35"/>
        <v>-728.69980844307224</v>
      </c>
      <c r="AM70" s="16">
        <f t="shared" si="36"/>
        <v>-685.40606744913521</v>
      </c>
      <c r="AN70">
        <f>-'Drilling Spec'!$C$29</f>
        <v>-720</v>
      </c>
      <c r="AO70">
        <f>-'Drilling Spec'!$C$27</f>
        <v>-624</v>
      </c>
      <c r="AP70">
        <f>-'Drilling Spec'!$C$28</f>
        <v>-688</v>
      </c>
      <c r="AQ70" t="e">
        <f t="shared" si="37"/>
        <v>#N/A</v>
      </c>
      <c r="AR70" t="e">
        <f>IF(X70=0,NA(),-'Drilling Spec'!$C$29*0.1)</f>
        <v>#N/A</v>
      </c>
      <c r="AS70" t="e">
        <f>IF(Y70=0,NA(),-'Drilling Spec'!$C$29*0.1)</f>
        <v>#N/A</v>
      </c>
      <c r="AT70" t="e">
        <f>IF(AB70=0,NA(),-'Drilling Spec'!$C$29*0.2)</f>
        <v>#N/A</v>
      </c>
      <c r="AU70" t="e">
        <f>IF(AC70=0,NA(),-'Drilling Spec'!$C$29*0.2)</f>
        <v>#N/A</v>
      </c>
      <c r="AV70" t="e">
        <f>IF(AH70=0,NA(),-'Drilling Spec'!$C$29*0.3)</f>
        <v>#N/A</v>
      </c>
      <c r="AW70" t="e">
        <f>IF(AI70=0,NA(),-'Drilling Spec'!$C$29*0.3)</f>
        <v>#N/A</v>
      </c>
      <c r="AX70" s="29">
        <f t="shared" si="38"/>
        <v>4.5596747967479647</v>
      </c>
      <c r="AY70" s="29">
        <f t="shared" si="39"/>
        <v>39.077710150743293</v>
      </c>
      <c r="AZ70" s="29">
        <f t="shared" si="43"/>
        <v>9.7833014071787119</v>
      </c>
    </row>
    <row r="71" spans="1:52" x14ac:dyDescent="0.35">
      <c r="A71" s="28">
        <f t="shared" si="44"/>
        <v>46041</v>
      </c>
      <c r="B71" t="str">
        <f t="shared" si="26"/>
        <v>Mon</v>
      </c>
      <c r="C71" s="10" t="s">
        <v>10</v>
      </c>
      <c r="D71" s="10">
        <v>12</v>
      </c>
      <c r="E71" s="4">
        <f t="shared" si="27"/>
        <v>0</v>
      </c>
      <c r="F71" s="4">
        <f t="shared" si="28"/>
        <v>824</v>
      </c>
      <c r="G71" s="4">
        <f t="shared" si="29"/>
        <v>0</v>
      </c>
      <c r="H71" s="15">
        <f>(SQRT(4*I70*I70*V*V + 'Drilling Spec'!$C$42*I70 + W*('Drilling Spec'!$C$43 + 2*l*V*(s*W + 2*V*G71/(1+e)) + 'Drilling Spec'!$C$44)) - 'Drilling Spec'!$C$45)/(2*V)</f>
        <v>728.69980844307224</v>
      </c>
      <c r="I71" s="23">
        <f>IF(AND(OR(I70=0,I70=""),F71=0),IF(F72=0,"",'Drilling Spec'!$C$26),H71)</f>
        <v>728.69980844307224</v>
      </c>
      <c r="J71" s="16">
        <f>MAX(0,I71-'Drilling Spec'!$C$30)</f>
        <v>648.69980844307224</v>
      </c>
      <c r="K71" s="18">
        <f>IFERROR(J71/'Drilling Spec'!$C$31,0)</f>
        <v>43.246653896204819</v>
      </c>
      <c r="L71" s="21">
        <f t="shared" si="30"/>
        <v>12</v>
      </c>
      <c r="M71" s="4">
        <f t="shared" si="40"/>
        <v>132</v>
      </c>
      <c r="N71" s="21">
        <f t="shared" si="31"/>
        <v>720</v>
      </c>
      <c r="O71" s="18">
        <f>(SQRT(4*O70*O70*vB*vB + 'Drilling Spec'!$C$48*O70 + WB*('Drilling Spec'!$C$49 + 2*lB*vB*(sB*WB + 2*vB*N71/(1+eB)) + 'Drilling Spec'!$C$50)) - 'Drilling Spec'!$C$51)/(2*vB)</f>
        <v>723.46681615545504</v>
      </c>
      <c r="P71" s="18">
        <f>IFERROR(((S71-'Drilling Spec'!$C$30)/'Drilling Spec'!$C$31)*'Drilling Spec'!$C$32,0)</f>
        <v>38.608008969327301</v>
      </c>
      <c r="Q71" s="18">
        <f t="shared" si="41"/>
        <v>2.2836449223791888</v>
      </c>
      <c r="R71" s="18"/>
      <c r="S71" s="26">
        <f>IF(AND(OR(T70=0,T70=""),M71=0),IF(M72=0,"",'Drilling Spec'!$C$30),O71)</f>
        <v>723.46681615545504</v>
      </c>
      <c r="U71" s="15">
        <f>E71*'Drilling Spec'!$C$22 + L71*'Drilling Spec'!$C$23</f>
        <v>0.29268292682926833</v>
      </c>
      <c r="V71" s="15">
        <f t="shared" si="42"/>
        <v>19.733008130081299</v>
      </c>
      <c r="W71" s="15">
        <f t="shared" si="32"/>
        <v>4.2669918699186962</v>
      </c>
      <c r="X71" s="10"/>
      <c r="Y71" s="30">
        <f>IF(W71&lt;U72,'Drilling Spec'!$C$35,0)</f>
        <v>0</v>
      </c>
      <c r="AA71" s="4">
        <f t="shared" si="45"/>
        <v>46</v>
      </c>
      <c r="AB71" s="10"/>
      <c r="AC71" s="30">
        <f>IF('04-07-25-Scen3-Good,24-16hr'!K72&gt;'04-07-25-Scen3-Good,24-16hr'!AA71,'Drilling Spec'!$C$36,)</f>
        <v>0</v>
      </c>
      <c r="AE71" s="18">
        <f>(I71-'Drilling Spec'!$C$26)/'Drilling Spec'!$C$38</f>
        <v>109.78330140717871</v>
      </c>
      <c r="AF71" s="18">
        <f t="shared" si="33"/>
        <v>0</v>
      </c>
      <c r="AG71" s="34">
        <f t="shared" si="34"/>
        <v>9.7833014071787119</v>
      </c>
      <c r="AH71" s="10"/>
      <c r="AI71" s="26">
        <f>IF(C71="Camp Closed",AG71,IF(AG71&lt;'Drilling Spec'!$C$39,,'Drilling Spec'!$C$39))</f>
        <v>0</v>
      </c>
      <c r="AL71" s="16">
        <f t="shared" si="35"/>
        <v>-728.69980844307224</v>
      </c>
      <c r="AM71" s="16">
        <f t="shared" si="36"/>
        <v>-723.46681615545504</v>
      </c>
      <c r="AN71">
        <f>-'Drilling Spec'!$C$29</f>
        <v>-720</v>
      </c>
      <c r="AO71">
        <f>-'Drilling Spec'!$C$27</f>
        <v>-624</v>
      </c>
      <c r="AP71">
        <f>-'Drilling Spec'!$C$28</f>
        <v>-688</v>
      </c>
      <c r="AQ71" t="e">
        <f t="shared" si="37"/>
        <v>#N/A</v>
      </c>
      <c r="AR71" t="e">
        <f>IF(X71=0,NA(),-'Drilling Spec'!$C$29*0.1)</f>
        <v>#N/A</v>
      </c>
      <c r="AS71" t="e">
        <f>IF(Y71=0,NA(),-'Drilling Spec'!$C$29*0.1)</f>
        <v>#N/A</v>
      </c>
      <c r="AT71" t="e">
        <f>IF(AB71=0,NA(),-'Drilling Spec'!$C$29*0.2)</f>
        <v>#N/A</v>
      </c>
      <c r="AU71" t="e">
        <f>IF(AC71=0,NA(),-'Drilling Spec'!$C$29*0.2)</f>
        <v>#N/A</v>
      </c>
      <c r="AV71" t="e">
        <f>IF(AH71=0,NA(),-'Drilling Spec'!$C$29*0.3)</f>
        <v>#N/A</v>
      </c>
      <c r="AW71" t="e">
        <f>IF(AI71=0,NA(),-'Drilling Spec'!$C$29*0.3)</f>
        <v>#N/A</v>
      </c>
      <c r="AX71" s="29">
        <f t="shared" si="38"/>
        <v>4.2669918699186962</v>
      </c>
      <c r="AY71" s="29">
        <f t="shared" si="39"/>
        <v>41.361355073122482</v>
      </c>
      <c r="AZ71" s="29">
        <f t="shared" si="43"/>
        <v>9.7833014071787119</v>
      </c>
    </row>
    <row r="72" spans="1:52" x14ac:dyDescent="0.35">
      <c r="A72" s="28">
        <f t="shared" si="44"/>
        <v>46042</v>
      </c>
      <c r="B72" t="str">
        <f t="shared" si="26"/>
        <v>Tue</v>
      </c>
      <c r="C72" s="10" t="s">
        <v>68</v>
      </c>
      <c r="D72" s="10">
        <v>12</v>
      </c>
      <c r="E72" s="4">
        <f t="shared" si="27"/>
        <v>0</v>
      </c>
      <c r="F72" s="4">
        <f t="shared" si="28"/>
        <v>824</v>
      </c>
      <c r="G72" s="4">
        <f t="shared" si="29"/>
        <v>0</v>
      </c>
      <c r="H72" s="15">
        <f>(SQRT(4*I71*I71*V*V + 'Drilling Spec'!$C$42*I71 + W*('Drilling Spec'!$C$43 + 2*l*V*(s*W + 2*V*G72/(1+e)) + 'Drilling Spec'!$C$44)) - 'Drilling Spec'!$C$45)/(2*V)</f>
        <v>728.69980844307224</v>
      </c>
      <c r="I72" s="23">
        <f>IF(AND(OR(I71=0,I71=""),F72=0),IF(F73=0,"",'Drilling Spec'!$C$26),H72)</f>
        <v>728.69980844307224</v>
      </c>
      <c r="J72" s="16">
        <f>MAX(0,I72-'Drilling Spec'!$C$30)</f>
        <v>648.69980844307224</v>
      </c>
      <c r="K72" s="18">
        <f>IFERROR(J72/'Drilling Spec'!$C$31,0)</f>
        <v>43.246653896204819</v>
      </c>
      <c r="L72" s="21">
        <f t="shared" si="30"/>
        <v>0</v>
      </c>
      <c r="M72" s="4">
        <f t="shared" si="40"/>
        <v>132</v>
      </c>
      <c r="N72" s="21">
        <f t="shared" si="31"/>
        <v>0</v>
      </c>
      <c r="O72" s="18">
        <f>(SQRT(4*O71*O71*vB*vB + 'Drilling Spec'!$C$48*O71 + WB*('Drilling Spec'!$C$49 + 2*lB*vB*(sB*WB + 2*vB*N72/(1+eB)) + 'Drilling Spec'!$C$50)) - 'Drilling Spec'!$C$51)/(2*vB)</f>
        <v>723.46681615545504</v>
      </c>
      <c r="P72" s="18">
        <f>IFERROR(((S72-'Drilling Spec'!$C$30)/'Drilling Spec'!$C$31)*'Drilling Spec'!$C$32,0)</f>
        <v>38.608008969327301</v>
      </c>
      <c r="Q72" s="18">
        <f t="shared" si="41"/>
        <v>0</v>
      </c>
      <c r="R72" s="18"/>
      <c r="S72" s="26">
        <f>IF(AND(OR(T71=0,T71=""),M72=0),IF(M73=0,"",'Drilling Spec'!$C$30),O72)</f>
        <v>723.46681615545504</v>
      </c>
      <c r="U72" s="15">
        <f>E72*'Drilling Spec'!$C$22 + L72*'Drilling Spec'!$C$23</f>
        <v>0</v>
      </c>
      <c r="V72" s="15">
        <f t="shared" si="42"/>
        <v>19.733008130081299</v>
      </c>
      <c r="W72" s="15">
        <f t="shared" si="32"/>
        <v>4.2669918699186962</v>
      </c>
      <c r="X72" s="10"/>
      <c r="Y72" s="30">
        <f>IF(W72&lt;U73,'Drilling Spec'!$C$35,0)</f>
        <v>0</v>
      </c>
      <c r="AA72" s="4">
        <f t="shared" si="45"/>
        <v>46</v>
      </c>
      <c r="AB72" s="10"/>
      <c r="AC72" s="30">
        <f>IF('04-07-25-Scen3-Good,24-16hr'!K73&gt;'04-07-25-Scen3-Good,24-16hr'!AA72,'Drilling Spec'!$C$36,)</f>
        <v>0</v>
      </c>
      <c r="AE72" s="18">
        <f>(I72-'Drilling Spec'!$C$26)/'Drilling Spec'!$C$38</f>
        <v>109.78330140717871</v>
      </c>
      <c r="AF72" s="18">
        <f t="shared" si="33"/>
        <v>0</v>
      </c>
      <c r="AG72" s="34">
        <f t="shared" si="34"/>
        <v>9.7833014071787119</v>
      </c>
      <c r="AH72" s="10"/>
      <c r="AI72" s="26">
        <f>IF(C72="Camp Closed",AG72,IF(AG72&lt;'Drilling Spec'!$C$39,,'Drilling Spec'!$C$39))</f>
        <v>0</v>
      </c>
      <c r="AL72" s="16">
        <f t="shared" si="35"/>
        <v>-728.69980844307224</v>
      </c>
      <c r="AM72" s="16">
        <f t="shared" si="36"/>
        <v>-723.46681615545504</v>
      </c>
      <c r="AN72">
        <f>-'Drilling Spec'!$C$29</f>
        <v>-720</v>
      </c>
      <c r="AO72">
        <f>-'Drilling Spec'!$C$27</f>
        <v>-624</v>
      </c>
      <c r="AP72">
        <f>-'Drilling Spec'!$C$28</f>
        <v>-688</v>
      </c>
      <c r="AQ72" t="e">
        <f t="shared" si="37"/>
        <v>#N/A</v>
      </c>
      <c r="AR72" t="e">
        <f>IF(X72=0,NA(),-'Drilling Spec'!$C$29*0.1)</f>
        <v>#N/A</v>
      </c>
      <c r="AS72" t="e">
        <f>IF(Y72=0,NA(),-'Drilling Spec'!$C$29*0.1)</f>
        <v>#N/A</v>
      </c>
      <c r="AT72" t="e">
        <f>IF(AB72=0,NA(),-'Drilling Spec'!$C$29*0.2)</f>
        <v>#N/A</v>
      </c>
      <c r="AU72" t="e">
        <f>IF(AC72=0,NA(),-'Drilling Spec'!$C$29*0.2)</f>
        <v>#N/A</v>
      </c>
      <c r="AV72" t="e">
        <f>IF(AH72=0,NA(),-'Drilling Spec'!$C$29*0.3)</f>
        <v>#N/A</v>
      </c>
      <c r="AW72" t="e">
        <f>IF(AI72=0,NA(),-'Drilling Spec'!$C$29*0.3)</f>
        <v>#N/A</v>
      </c>
      <c r="AX72" s="29">
        <f t="shared" si="38"/>
        <v>4.2669918699186962</v>
      </c>
      <c r="AY72" s="29">
        <f t="shared" si="39"/>
        <v>41.361355073122482</v>
      </c>
      <c r="AZ72" s="29">
        <f t="shared" si="43"/>
        <v>9.7833014071787119</v>
      </c>
    </row>
    <row r="73" spans="1:52" x14ac:dyDescent="0.35">
      <c r="A73" s="28">
        <f t="shared" si="44"/>
        <v>46043</v>
      </c>
      <c r="B73" t="str">
        <f t="shared" si="26"/>
        <v>Wed</v>
      </c>
      <c r="C73" s="10" t="s">
        <v>68</v>
      </c>
      <c r="D73" s="10">
        <v>12</v>
      </c>
      <c r="E73" s="4">
        <f t="shared" si="27"/>
        <v>0</v>
      </c>
      <c r="F73" s="4">
        <f t="shared" si="28"/>
        <v>824</v>
      </c>
      <c r="G73" s="4">
        <f t="shared" si="29"/>
        <v>0</v>
      </c>
      <c r="H73" s="15">
        <f>(SQRT(4*I72*I72*V*V + 'Drilling Spec'!$C$42*I72 + W*('Drilling Spec'!$C$43 + 2*l*V*(s*W + 2*V*G73/(1+e)) + 'Drilling Spec'!$C$44)) - 'Drilling Spec'!$C$45)/(2*V)</f>
        <v>728.69980844307224</v>
      </c>
      <c r="I73" s="23">
        <f>IF(AND(OR(I72=0,I72=""),F73=0),IF(F74=0,"",'Drilling Spec'!$C$26),H73)</f>
        <v>728.69980844307224</v>
      </c>
      <c r="J73" s="16">
        <f>MAX(0,I73-'Drilling Spec'!$C$30)</f>
        <v>648.69980844307224</v>
      </c>
      <c r="K73" s="18">
        <f>IFERROR(J73/'Drilling Spec'!$C$31,0)</f>
        <v>43.246653896204819</v>
      </c>
      <c r="L73" s="21">
        <f t="shared" si="30"/>
        <v>0</v>
      </c>
      <c r="M73" s="4">
        <f t="shared" si="40"/>
        <v>132</v>
      </c>
      <c r="N73" s="21">
        <f t="shared" si="31"/>
        <v>0</v>
      </c>
      <c r="O73" s="18">
        <f>(SQRT(4*O72*O72*vB*vB + 'Drilling Spec'!$C$48*O72 + WB*('Drilling Spec'!$C$49 + 2*lB*vB*(sB*WB + 2*vB*N73/(1+eB)) + 'Drilling Spec'!$C$50)) - 'Drilling Spec'!$C$51)/(2*vB)</f>
        <v>723.46681615545504</v>
      </c>
      <c r="P73" s="18">
        <f>IFERROR(((S73-'Drilling Spec'!$C$30)/'Drilling Spec'!$C$31)*'Drilling Spec'!$C$32,0)</f>
        <v>38.608008969327301</v>
      </c>
      <c r="Q73" s="18">
        <f t="shared" si="41"/>
        <v>0</v>
      </c>
      <c r="R73" s="18"/>
      <c r="S73" s="26">
        <f>IF(AND(OR(T72=0,T72=""),M73=0),IF(M74=0,"",'Drilling Spec'!$C$30),O73)</f>
        <v>723.46681615545504</v>
      </c>
      <c r="U73" s="15">
        <f>E73*'Drilling Spec'!$C$22 + L73*'Drilling Spec'!$C$23</f>
        <v>0</v>
      </c>
      <c r="V73" s="15">
        <f t="shared" si="42"/>
        <v>19.733008130081299</v>
      </c>
      <c r="W73" s="15">
        <f t="shared" si="32"/>
        <v>4.2669918699186962</v>
      </c>
      <c r="X73" s="10"/>
      <c r="Y73" s="30">
        <f>IF(W73&lt;U74,'Drilling Spec'!$C$35,0)</f>
        <v>0</v>
      </c>
      <c r="AA73" s="4">
        <f t="shared" si="45"/>
        <v>46</v>
      </c>
      <c r="AB73" s="10"/>
      <c r="AC73" s="30">
        <f>IF('04-07-25-Scen3-Good,24-16hr'!K74&gt;'04-07-25-Scen3-Good,24-16hr'!AA73,'Drilling Spec'!$C$36,)</f>
        <v>0</v>
      </c>
      <c r="AE73" s="18">
        <f>(I73-'Drilling Spec'!$C$26)/'Drilling Spec'!$C$38</f>
        <v>109.78330140717871</v>
      </c>
      <c r="AF73" s="18">
        <f t="shared" si="33"/>
        <v>0</v>
      </c>
      <c r="AG73" s="34">
        <f t="shared" si="34"/>
        <v>9.7833014071787119</v>
      </c>
      <c r="AH73" s="10"/>
      <c r="AI73" s="26">
        <f>IF(C73="Camp Closed",AG73,IF(AG73&lt;'Drilling Spec'!$C$39,,'Drilling Spec'!$C$39))</f>
        <v>0</v>
      </c>
      <c r="AL73" s="16">
        <f t="shared" si="35"/>
        <v>-728.69980844307224</v>
      </c>
      <c r="AM73" s="16">
        <f t="shared" si="36"/>
        <v>-723.46681615545504</v>
      </c>
      <c r="AN73">
        <f>-'Drilling Spec'!$C$29</f>
        <v>-720</v>
      </c>
      <c r="AO73">
        <f>-'Drilling Spec'!$C$27</f>
        <v>-624</v>
      </c>
      <c r="AP73">
        <f>-'Drilling Spec'!$C$28</f>
        <v>-688</v>
      </c>
      <c r="AQ73" t="e">
        <f t="shared" si="37"/>
        <v>#N/A</v>
      </c>
      <c r="AR73" t="e">
        <f>IF(X73=0,NA(),-'Drilling Spec'!$C$29*0.1)</f>
        <v>#N/A</v>
      </c>
      <c r="AS73" t="e">
        <f>IF(Y73=0,NA(),-'Drilling Spec'!$C$29*0.1)</f>
        <v>#N/A</v>
      </c>
      <c r="AT73" t="e">
        <f>IF(AB73=0,NA(),-'Drilling Spec'!$C$29*0.2)</f>
        <v>#N/A</v>
      </c>
      <c r="AU73" t="e">
        <f>IF(AC73=0,NA(),-'Drilling Spec'!$C$29*0.2)</f>
        <v>#N/A</v>
      </c>
      <c r="AV73" t="e">
        <f>IF(AH73=0,NA(),-'Drilling Spec'!$C$29*0.3)</f>
        <v>#N/A</v>
      </c>
      <c r="AW73" t="e">
        <f>IF(AI73=0,NA(),-'Drilling Spec'!$C$29*0.3)</f>
        <v>#N/A</v>
      </c>
      <c r="AX73" s="29">
        <f t="shared" si="38"/>
        <v>4.2669918699186962</v>
      </c>
      <c r="AY73" s="29">
        <f t="shared" si="39"/>
        <v>41.361355073122482</v>
      </c>
      <c r="AZ73" s="29">
        <f t="shared" si="43"/>
        <v>9.7833014071787119</v>
      </c>
    </row>
    <row r="74" spans="1:52" x14ac:dyDescent="0.35">
      <c r="A74" s="28">
        <f t="shared" si="44"/>
        <v>46044</v>
      </c>
      <c r="B74" t="str">
        <f t="shared" si="26"/>
        <v>Thu</v>
      </c>
      <c r="C74" s="10" t="s">
        <v>70</v>
      </c>
      <c r="D74" s="10">
        <v>12</v>
      </c>
      <c r="E74" s="4">
        <f t="shared" si="27"/>
        <v>0</v>
      </c>
      <c r="F74" s="4">
        <f t="shared" si="28"/>
        <v>824</v>
      </c>
      <c r="G74" s="4">
        <f t="shared" si="29"/>
        <v>0</v>
      </c>
      <c r="H74" s="15">
        <f>(SQRT(4*I73*I73*V*V + 'Drilling Spec'!$C$42*I73 + W*('Drilling Spec'!$C$43 + 2*l*V*(s*W + 2*V*G74/(1+e)) + 'Drilling Spec'!$C$44)) - 'Drilling Spec'!$C$45)/(2*V)</f>
        <v>728.69980844307224</v>
      </c>
      <c r="I74" s="23">
        <f>IF(AND(OR(I73=0,I73=""),F74=0),IF(F75=0,"",'Drilling Spec'!$C$26),H74)</f>
        <v>728.69980844307224</v>
      </c>
      <c r="J74" s="16">
        <f>MAX(0,I74-'Drilling Spec'!$C$30)</f>
        <v>648.69980844307224</v>
      </c>
      <c r="K74" s="18">
        <f>IFERROR(J74/'Drilling Spec'!$C$31,0)</f>
        <v>43.246653896204819</v>
      </c>
      <c r="L74" s="21">
        <f t="shared" si="30"/>
        <v>0</v>
      </c>
      <c r="M74" s="4">
        <f t="shared" si="40"/>
        <v>132</v>
      </c>
      <c r="N74" s="21">
        <f t="shared" si="31"/>
        <v>0</v>
      </c>
      <c r="O74" s="18">
        <f>(SQRT(4*O73*O73*vB*vB + 'Drilling Spec'!$C$48*O73 + WB*('Drilling Spec'!$C$49 + 2*lB*vB*(sB*WB + 2*vB*N74/(1+eB)) + 'Drilling Spec'!$C$50)) - 'Drilling Spec'!$C$51)/(2*vB)</f>
        <v>723.46681615545504</v>
      </c>
      <c r="P74" s="18">
        <f>IFERROR(((S74-'Drilling Spec'!$C$30)/'Drilling Spec'!$C$31)*'Drilling Spec'!$C$32,0)</f>
        <v>38.608008969327301</v>
      </c>
      <c r="Q74" s="18">
        <f t="shared" si="41"/>
        <v>0</v>
      </c>
      <c r="R74" s="18"/>
      <c r="S74" s="26">
        <f>IF(AND(OR(T73=0,T73=""),M74=0),IF(M75=0,"",'Drilling Spec'!$C$30),O74)</f>
        <v>723.46681615545504</v>
      </c>
      <c r="U74" s="15">
        <f>E74*'Drilling Spec'!$C$22 + L74*'Drilling Spec'!$C$23</f>
        <v>0</v>
      </c>
      <c r="V74" s="15">
        <f t="shared" si="42"/>
        <v>19.733008130081299</v>
      </c>
      <c r="W74" s="15">
        <f t="shared" si="32"/>
        <v>4.2669918699186962</v>
      </c>
      <c r="X74" s="10"/>
      <c r="Y74" s="30">
        <f>IF(W74&lt;U75,'Drilling Spec'!$C$35,0)</f>
        <v>0</v>
      </c>
      <c r="AA74" s="4">
        <f>AA73+AC73+AB74</f>
        <v>46</v>
      </c>
      <c r="AB74" s="10"/>
      <c r="AC74" s="30">
        <f>IF('04-07-25-Scen3-Good,24-16hr'!K75&gt;'04-07-25-Scen3-Good,24-16hr'!AA74,'Drilling Spec'!$C$36,)</f>
        <v>0</v>
      </c>
      <c r="AE74" s="18">
        <f>(I74-'Drilling Spec'!$C$26)/'Drilling Spec'!$C$38</f>
        <v>109.78330140717871</v>
      </c>
      <c r="AF74" s="18">
        <f t="shared" si="33"/>
        <v>0</v>
      </c>
      <c r="AG74" s="34">
        <f t="shared" si="34"/>
        <v>9.7833014071787119</v>
      </c>
      <c r="AH74" s="10"/>
      <c r="AI74" s="26">
        <f>IF(C74="Camp Closed",AG74,IF(AG74&lt;'Drilling Spec'!$C$39,,'Drilling Spec'!$C$39))</f>
        <v>0</v>
      </c>
      <c r="AL74" s="16">
        <f t="shared" si="35"/>
        <v>-728.69980844307224</v>
      </c>
      <c r="AM74" s="16">
        <f t="shared" si="36"/>
        <v>-723.46681615545504</v>
      </c>
      <c r="AN74">
        <f>-'Drilling Spec'!$C$29</f>
        <v>-720</v>
      </c>
      <c r="AO74">
        <f>-'Drilling Spec'!$C$27</f>
        <v>-624</v>
      </c>
      <c r="AP74">
        <f>-'Drilling Spec'!$C$28</f>
        <v>-688</v>
      </c>
      <c r="AQ74" t="e">
        <f t="shared" si="37"/>
        <v>#N/A</v>
      </c>
      <c r="AR74" t="e">
        <f>IF(X74=0,NA(),-'Drilling Spec'!$C$29*0.1)</f>
        <v>#N/A</v>
      </c>
      <c r="AS74" t="e">
        <f>IF(Y74=0,NA(),-'Drilling Spec'!$C$29*0.1)</f>
        <v>#N/A</v>
      </c>
      <c r="AT74" t="e">
        <f>IF(AB74=0,NA(),-'Drilling Spec'!$C$29*0.2)</f>
        <v>#N/A</v>
      </c>
      <c r="AU74" t="e">
        <f>IF(AC74=0,NA(),-'Drilling Spec'!$C$29*0.2)</f>
        <v>#N/A</v>
      </c>
      <c r="AV74" t="e">
        <f>IF(AH74=0,NA(),-'Drilling Spec'!$C$29*0.3)</f>
        <v>#N/A</v>
      </c>
      <c r="AW74" t="e">
        <f>IF(AI74=0,NA(),-'Drilling Spec'!$C$29*0.3)</f>
        <v>#N/A</v>
      </c>
      <c r="AX74" s="29">
        <f t="shared" si="38"/>
        <v>4.2669918699186962</v>
      </c>
      <c r="AY74" s="29">
        <f t="shared" si="39"/>
        <v>41.361355073122482</v>
      </c>
      <c r="AZ74" s="29">
        <f t="shared" si="43"/>
        <v>9.7833014071787119</v>
      </c>
    </row>
    <row r="75" spans="1:52" x14ac:dyDescent="0.35">
      <c r="A75" s="28">
        <f t="shared" si="44"/>
        <v>46045</v>
      </c>
      <c r="B75" t="str">
        <f t="shared" si="26"/>
        <v>Fri</v>
      </c>
      <c r="C75" s="10" t="s">
        <v>70</v>
      </c>
      <c r="D75" s="10">
        <v>12</v>
      </c>
      <c r="E75" s="4">
        <f t="shared" si="27"/>
        <v>0</v>
      </c>
      <c r="F75" s="4">
        <f t="shared" si="28"/>
        <v>824</v>
      </c>
      <c r="G75" s="4">
        <f t="shared" si="29"/>
        <v>0</v>
      </c>
      <c r="H75" s="15">
        <f>(SQRT(4*I74*I74*V*V + 'Drilling Spec'!$C$42*I74 + W*('Drilling Spec'!$C$43 + 2*l*V*(s*W + 2*V*G75/(1+e)) + 'Drilling Spec'!$C$44)) - 'Drilling Spec'!$C$45)/(2*V)</f>
        <v>728.69980844307224</v>
      </c>
      <c r="I75" s="23">
        <f>IF(AND(OR(I74=0,I74=""),F75=0),IF(F76=0,"",'Drilling Spec'!$C$26),H75)</f>
        <v>728.69980844307224</v>
      </c>
      <c r="J75" s="16">
        <f>MAX(0,I75-'Drilling Spec'!$C$30)</f>
        <v>648.69980844307224</v>
      </c>
      <c r="K75" s="18">
        <f>IFERROR(J75/'Drilling Spec'!$C$31,0)</f>
        <v>43.246653896204819</v>
      </c>
      <c r="L75" s="21">
        <f t="shared" si="30"/>
        <v>0</v>
      </c>
      <c r="M75" s="4">
        <f t="shared" si="40"/>
        <v>132</v>
      </c>
      <c r="N75" s="21">
        <f t="shared" si="31"/>
        <v>0</v>
      </c>
      <c r="O75" s="18">
        <f>(SQRT(4*O74*O74*vB*vB + 'Drilling Spec'!$C$48*O74 + WB*('Drilling Spec'!$C$49 + 2*lB*vB*(sB*WB + 2*vB*N75/(1+eB)) + 'Drilling Spec'!$C$50)) - 'Drilling Spec'!$C$51)/(2*vB)</f>
        <v>723.46681615545504</v>
      </c>
      <c r="P75" s="18">
        <f>IFERROR(((S75-'Drilling Spec'!$C$30)/'Drilling Spec'!$C$31)*'Drilling Spec'!$C$32,0)</f>
        <v>38.608008969327301</v>
      </c>
      <c r="Q75" s="18">
        <f t="shared" si="41"/>
        <v>0</v>
      </c>
      <c r="R75" s="18"/>
      <c r="S75" s="26">
        <f>IF(AND(OR(T74=0,T74=""),M75=0),IF(M76=0,"",'Drilling Spec'!$C$30),O75)</f>
        <v>723.46681615545504</v>
      </c>
      <c r="U75" s="15">
        <f>E75*'Drilling Spec'!$C$22 + L75*'Drilling Spec'!$C$23</f>
        <v>0</v>
      </c>
      <c r="V75" s="15">
        <f t="shared" si="42"/>
        <v>19.733008130081299</v>
      </c>
      <c r="W75" s="15">
        <f t="shared" si="32"/>
        <v>4.2669918699186962</v>
      </c>
      <c r="X75" s="10"/>
      <c r="Y75" s="30">
        <f>IF(W75&lt;U76,'Drilling Spec'!$C$35,0)</f>
        <v>0</v>
      </c>
      <c r="AA75" s="4">
        <f t="shared" ref="AA75:AA112" si="46">AA74+AC74+AB75</f>
        <v>46</v>
      </c>
      <c r="AB75" s="10"/>
      <c r="AC75" s="30">
        <f>IF('04-07-25-Scen3-Good,24-16hr'!K76&gt;'04-07-25-Scen3-Good,24-16hr'!AA75,'Drilling Spec'!$C$36,)</f>
        <v>0</v>
      </c>
      <c r="AE75" s="18">
        <f>(I75-'Drilling Spec'!$C$26)/'Drilling Spec'!$C$38</f>
        <v>109.78330140717871</v>
      </c>
      <c r="AF75" s="18">
        <f t="shared" si="33"/>
        <v>0</v>
      </c>
      <c r="AG75" s="34">
        <f t="shared" si="34"/>
        <v>9.7833014071787119</v>
      </c>
      <c r="AH75" s="10"/>
      <c r="AI75" s="26">
        <f>IF(C75="Camp Closed",AG75,IF(AG75&lt;'Drilling Spec'!$C$39,,'Drilling Spec'!$C$39))</f>
        <v>0</v>
      </c>
      <c r="AL75" s="16">
        <f t="shared" si="35"/>
        <v>-728.69980844307224</v>
      </c>
      <c r="AM75" s="16">
        <f t="shared" si="36"/>
        <v>-723.46681615545504</v>
      </c>
      <c r="AN75">
        <f>-'Drilling Spec'!$C$29</f>
        <v>-720</v>
      </c>
      <c r="AO75">
        <f>-'Drilling Spec'!$C$27</f>
        <v>-624</v>
      </c>
      <c r="AP75">
        <f>-'Drilling Spec'!$C$28</f>
        <v>-688</v>
      </c>
      <c r="AQ75" t="e">
        <f t="shared" si="37"/>
        <v>#N/A</v>
      </c>
      <c r="AR75" t="e">
        <f>IF(X75=0,NA(),-'Drilling Spec'!$C$29*0.1)</f>
        <v>#N/A</v>
      </c>
      <c r="AS75" t="e">
        <f>IF(Y75=0,NA(),-'Drilling Spec'!$C$29*0.1)</f>
        <v>#N/A</v>
      </c>
      <c r="AT75" t="e">
        <f>IF(AB75=0,NA(),-'Drilling Spec'!$C$29*0.2)</f>
        <v>#N/A</v>
      </c>
      <c r="AU75" t="e">
        <f>IF(AC75=0,NA(),-'Drilling Spec'!$C$29*0.2)</f>
        <v>#N/A</v>
      </c>
      <c r="AV75" t="e">
        <f>IF(AH75=0,NA(),-'Drilling Spec'!$C$29*0.3)</f>
        <v>#N/A</v>
      </c>
      <c r="AW75" t="e">
        <f>IF(AI75=0,NA(),-'Drilling Spec'!$C$29*0.3)</f>
        <v>#N/A</v>
      </c>
      <c r="AX75" s="29">
        <f t="shared" si="38"/>
        <v>4.2669918699186962</v>
      </c>
      <c r="AY75" s="29">
        <f t="shared" si="39"/>
        <v>41.361355073122482</v>
      </c>
      <c r="AZ75" s="29">
        <f t="shared" si="43"/>
        <v>9.7833014071787119</v>
      </c>
    </row>
    <row r="76" spans="1:52" x14ac:dyDescent="0.35">
      <c r="A76" s="28">
        <f t="shared" si="44"/>
        <v>46046</v>
      </c>
      <c r="B76" t="str">
        <f t="shared" si="26"/>
        <v>Sat</v>
      </c>
      <c r="C76" s="10" t="s">
        <v>70</v>
      </c>
      <c r="D76" s="10">
        <v>12</v>
      </c>
      <c r="E76" s="4">
        <f t="shared" si="27"/>
        <v>0</v>
      </c>
      <c r="F76" s="4">
        <f t="shared" si="28"/>
        <v>824</v>
      </c>
      <c r="G76" s="4">
        <f t="shared" si="29"/>
        <v>0</v>
      </c>
      <c r="H76" s="15">
        <f>(SQRT(4*I75*I75*V*V + 'Drilling Spec'!$C$42*I75 + W*('Drilling Spec'!$C$43 + 2*l*V*(s*W + 2*V*G76/(1+e)) + 'Drilling Spec'!$C$44)) - 'Drilling Spec'!$C$45)/(2*V)</f>
        <v>728.69980844307224</v>
      </c>
      <c r="I76" s="23">
        <f>IF(AND(OR(I75=0,I75=""),F76=0),IF(F77=0,"",'Drilling Spec'!$C$26),H76)</f>
        <v>728.69980844307224</v>
      </c>
      <c r="J76" s="16">
        <f>MAX(0,I76-'Drilling Spec'!$C$30)</f>
        <v>648.69980844307224</v>
      </c>
      <c r="K76" s="18">
        <f>IFERROR(J76/'Drilling Spec'!$C$31,0)</f>
        <v>43.246653896204819</v>
      </c>
      <c r="L76" s="21">
        <f t="shared" si="30"/>
        <v>0</v>
      </c>
      <c r="M76" s="4">
        <f t="shared" si="40"/>
        <v>132</v>
      </c>
      <c r="N76" s="21">
        <f t="shared" si="31"/>
        <v>0</v>
      </c>
      <c r="O76" s="18">
        <f>(SQRT(4*O75*O75*vB*vB + 'Drilling Spec'!$C$48*O75 + WB*('Drilling Spec'!$C$49 + 2*lB*vB*(sB*WB + 2*vB*N76/(1+eB)) + 'Drilling Spec'!$C$50)) - 'Drilling Spec'!$C$51)/(2*vB)</f>
        <v>723.46681615545504</v>
      </c>
      <c r="P76" s="18">
        <f>IFERROR(((S76-'Drilling Spec'!$C$30)/'Drilling Spec'!$C$31)*'Drilling Spec'!$C$32,0)</f>
        <v>38.608008969327301</v>
      </c>
      <c r="Q76" s="18">
        <f t="shared" si="41"/>
        <v>0</v>
      </c>
      <c r="R76" s="18"/>
      <c r="S76" s="26">
        <f>IF(AND(OR(T75=0,T75=""),M76=0),IF(M77=0,"",'Drilling Spec'!$C$30),O76)</f>
        <v>723.46681615545504</v>
      </c>
      <c r="U76" s="15">
        <f>E76*'Drilling Spec'!$C$22 + L76*'Drilling Spec'!$C$23</f>
        <v>0</v>
      </c>
      <c r="V76" s="15">
        <f t="shared" si="42"/>
        <v>19.733008130081299</v>
      </c>
      <c r="W76" s="15">
        <f t="shared" si="32"/>
        <v>4.2669918699186962</v>
      </c>
      <c r="X76" s="10"/>
      <c r="Y76" s="30">
        <f>IF(W76&lt;U77,'Drilling Spec'!$C$35,0)</f>
        <v>0</v>
      </c>
      <c r="AA76" s="4">
        <f t="shared" si="46"/>
        <v>46</v>
      </c>
      <c r="AB76" s="10"/>
      <c r="AC76" s="30">
        <f>IF('04-07-25-Scen3-Good,24-16hr'!K77&gt;'04-07-25-Scen3-Good,24-16hr'!AA76,'Drilling Spec'!$C$36,)</f>
        <v>0</v>
      </c>
      <c r="AE76" s="18">
        <f>(I76-'Drilling Spec'!$C$26)/'Drilling Spec'!$C$38</f>
        <v>109.78330140717871</v>
      </c>
      <c r="AF76" s="18">
        <f t="shared" si="33"/>
        <v>0</v>
      </c>
      <c r="AG76" s="34">
        <f t="shared" si="34"/>
        <v>9.7833014071787119</v>
      </c>
      <c r="AH76" s="10"/>
      <c r="AI76" s="26">
        <f>IF(C76="Camp Closed",AG76,IF(AG76&lt;'Drilling Spec'!$C$39,,'Drilling Spec'!$C$39))</f>
        <v>0</v>
      </c>
      <c r="AL76" s="16">
        <f t="shared" si="35"/>
        <v>-728.69980844307224</v>
      </c>
      <c r="AM76" s="16">
        <f t="shared" si="36"/>
        <v>-723.46681615545504</v>
      </c>
      <c r="AN76">
        <f>-'Drilling Spec'!$C$29</f>
        <v>-720</v>
      </c>
      <c r="AO76">
        <f>-'Drilling Spec'!$C$27</f>
        <v>-624</v>
      </c>
      <c r="AP76">
        <f>-'Drilling Spec'!$C$28</f>
        <v>-688</v>
      </c>
      <c r="AQ76" t="e">
        <f t="shared" si="37"/>
        <v>#N/A</v>
      </c>
      <c r="AR76" t="e">
        <f>IF(X76=0,NA(),-'Drilling Spec'!$C$29*0.1)</f>
        <v>#N/A</v>
      </c>
      <c r="AS76" t="e">
        <f>IF(Y76=0,NA(),-'Drilling Spec'!$C$29*0.1)</f>
        <v>#N/A</v>
      </c>
      <c r="AT76" t="e">
        <f>IF(AB76=0,NA(),-'Drilling Spec'!$C$29*0.2)</f>
        <v>#N/A</v>
      </c>
      <c r="AU76" t="e">
        <f>IF(AC76=0,NA(),-'Drilling Spec'!$C$29*0.2)</f>
        <v>#N/A</v>
      </c>
      <c r="AV76" t="e">
        <f>IF(AH76=0,NA(),-'Drilling Spec'!$C$29*0.3)</f>
        <v>#N/A</v>
      </c>
      <c r="AW76" t="e">
        <f>IF(AI76=0,NA(),-'Drilling Spec'!$C$29*0.3)</f>
        <v>#N/A</v>
      </c>
      <c r="AX76" s="29">
        <f t="shared" si="38"/>
        <v>4.2669918699186962</v>
      </c>
      <c r="AY76" s="29">
        <f t="shared" si="39"/>
        <v>41.361355073122482</v>
      </c>
      <c r="AZ76" s="29">
        <f t="shared" si="43"/>
        <v>9.7833014071787119</v>
      </c>
    </row>
    <row r="77" spans="1:52" x14ac:dyDescent="0.35">
      <c r="A77" s="28">
        <f t="shared" si="44"/>
        <v>46047</v>
      </c>
      <c r="B77" t="str">
        <f t="shared" si="26"/>
        <v>Sun</v>
      </c>
      <c r="C77" s="10" t="s">
        <v>70</v>
      </c>
      <c r="D77" s="10">
        <v>12</v>
      </c>
      <c r="E77" s="4">
        <f t="shared" si="27"/>
        <v>0</v>
      </c>
      <c r="F77" s="4">
        <f t="shared" si="28"/>
        <v>824</v>
      </c>
      <c r="G77" s="4">
        <f t="shared" si="29"/>
        <v>0</v>
      </c>
      <c r="H77" s="15">
        <f>(SQRT(4*I76*I76*V*V + 'Drilling Spec'!$C$42*I76 + W*('Drilling Spec'!$C$43 + 2*l*V*(s*W + 2*V*G77/(1+e)) + 'Drilling Spec'!$C$44)) - 'Drilling Spec'!$C$45)/(2*V)</f>
        <v>728.69980844307224</v>
      </c>
      <c r="I77" s="23">
        <f>IF(AND(OR(I76=0,I76=""),F77=0),IF(F78=0,"",'Drilling Spec'!$C$26),H77)</f>
        <v>728.69980844307224</v>
      </c>
      <c r="J77" s="16">
        <f>MAX(0,I77-'Drilling Spec'!$C$30)</f>
        <v>648.69980844307224</v>
      </c>
      <c r="K77" s="18">
        <f>IFERROR(J77/'Drilling Spec'!$C$31,0)</f>
        <v>43.246653896204819</v>
      </c>
      <c r="L77" s="21">
        <f t="shared" si="30"/>
        <v>0</v>
      </c>
      <c r="M77" s="4">
        <f t="shared" si="40"/>
        <v>132</v>
      </c>
      <c r="N77" s="21">
        <f t="shared" si="31"/>
        <v>0</v>
      </c>
      <c r="O77" s="18">
        <f>(SQRT(4*O76*O76*vB*vB + 'Drilling Spec'!$C$48*O76 + WB*('Drilling Spec'!$C$49 + 2*lB*vB*(sB*WB + 2*vB*N77/(1+eB)) + 'Drilling Spec'!$C$50)) - 'Drilling Spec'!$C$51)/(2*vB)</f>
        <v>723.46681615545504</v>
      </c>
      <c r="P77" s="18">
        <f>IFERROR(((S77-'Drilling Spec'!$C$30)/'Drilling Spec'!$C$31)*'Drilling Spec'!$C$32,0)</f>
        <v>38.608008969327301</v>
      </c>
      <c r="Q77" s="18">
        <f t="shared" si="41"/>
        <v>0</v>
      </c>
      <c r="R77" s="18"/>
      <c r="S77" s="26">
        <f>IF(AND(OR(T76=0,T76=""),M77=0),IF(M78=0,"",'Drilling Spec'!$C$30),O77)</f>
        <v>723.46681615545504</v>
      </c>
      <c r="U77" s="15">
        <f>E77*'Drilling Spec'!$C$22 + L77*'Drilling Spec'!$C$23</f>
        <v>0</v>
      </c>
      <c r="V77" s="15">
        <f t="shared" si="42"/>
        <v>19.733008130081299</v>
      </c>
      <c r="W77" s="15">
        <f t="shared" si="32"/>
        <v>4.2669918699186962</v>
      </c>
      <c r="X77" s="10"/>
      <c r="Y77" s="30">
        <f>IF(W77&lt;U78,'Drilling Spec'!$C$35,0)</f>
        <v>0</v>
      </c>
      <c r="AA77" s="4">
        <f t="shared" si="46"/>
        <v>46</v>
      </c>
      <c r="AB77" s="10"/>
      <c r="AC77" s="30">
        <f>IF('04-07-25-Scen3-Good,24-16hr'!K78&gt;'04-07-25-Scen3-Good,24-16hr'!AA77,'Drilling Spec'!$C$36,)</f>
        <v>0</v>
      </c>
      <c r="AE77" s="18">
        <f>(I77-'Drilling Spec'!$C$26)/'Drilling Spec'!$C$38</f>
        <v>109.78330140717871</v>
      </c>
      <c r="AF77" s="18">
        <f t="shared" si="33"/>
        <v>0</v>
      </c>
      <c r="AG77" s="34">
        <f t="shared" si="34"/>
        <v>9.7833014071787119</v>
      </c>
      <c r="AH77" s="10"/>
      <c r="AI77" s="26">
        <f>IF(C77="Camp Closed",AG77,IF(AG77&lt;'Drilling Spec'!$C$39,,'Drilling Spec'!$C$39))</f>
        <v>0</v>
      </c>
      <c r="AL77" s="16">
        <f t="shared" si="35"/>
        <v>-728.69980844307224</v>
      </c>
      <c r="AM77" s="16">
        <f t="shared" si="36"/>
        <v>-723.46681615545504</v>
      </c>
      <c r="AN77">
        <f>-'Drilling Spec'!$C$29</f>
        <v>-720</v>
      </c>
      <c r="AO77">
        <f>-'Drilling Spec'!$C$27</f>
        <v>-624</v>
      </c>
      <c r="AP77">
        <f>-'Drilling Spec'!$C$28</f>
        <v>-688</v>
      </c>
      <c r="AQ77" t="e">
        <f t="shared" si="37"/>
        <v>#N/A</v>
      </c>
      <c r="AR77" t="e">
        <f>IF(X77=0,NA(),-'Drilling Spec'!$C$29*0.1)</f>
        <v>#N/A</v>
      </c>
      <c r="AS77" t="e">
        <f>IF(Y77=0,NA(),-'Drilling Spec'!$C$29*0.1)</f>
        <v>#N/A</v>
      </c>
      <c r="AT77" t="e">
        <f>IF(AB77=0,NA(),-'Drilling Spec'!$C$29*0.2)</f>
        <v>#N/A</v>
      </c>
      <c r="AU77" t="e">
        <f>IF(AC77=0,NA(),-'Drilling Spec'!$C$29*0.2)</f>
        <v>#N/A</v>
      </c>
      <c r="AV77" t="e">
        <f>IF(AH77=0,NA(),-'Drilling Spec'!$C$29*0.3)</f>
        <v>#N/A</v>
      </c>
      <c r="AW77" t="e">
        <f>IF(AI77=0,NA(),-'Drilling Spec'!$C$29*0.3)</f>
        <v>#N/A</v>
      </c>
      <c r="AX77" s="29">
        <f t="shared" si="38"/>
        <v>4.2669918699186962</v>
      </c>
      <c r="AY77" s="29">
        <f t="shared" si="39"/>
        <v>41.361355073122482</v>
      </c>
      <c r="AZ77" s="29">
        <f t="shared" si="43"/>
        <v>9.7833014071787119</v>
      </c>
    </row>
    <row r="78" spans="1:52" x14ac:dyDescent="0.35">
      <c r="A78" s="28">
        <f t="shared" si="44"/>
        <v>46048</v>
      </c>
      <c r="B78" t="str">
        <f t="shared" si="26"/>
        <v>Mon</v>
      </c>
      <c r="C78" s="10" t="s">
        <v>71</v>
      </c>
      <c r="D78" s="10">
        <v>12</v>
      </c>
      <c r="E78" s="4">
        <f t="shared" si="27"/>
        <v>0</v>
      </c>
      <c r="F78" s="4">
        <f t="shared" si="28"/>
        <v>824</v>
      </c>
      <c r="G78" s="4">
        <f t="shared" si="29"/>
        <v>0</v>
      </c>
      <c r="H78" s="15">
        <f>(SQRT(4*I77*I77*V*V + 'Drilling Spec'!$C$42*I77 + W*('Drilling Spec'!$C$43 + 2*l*V*(s*W + 2*V*G78/(1+e)) + 'Drilling Spec'!$C$44)) - 'Drilling Spec'!$C$45)/(2*V)</f>
        <v>728.69980844307224</v>
      </c>
      <c r="I78" s="23">
        <f>IF(AND(OR(I77=0,I77=""),F78=0),IF(F79=0,"",'Drilling Spec'!$C$26),H78)</f>
        <v>728.69980844307224</v>
      </c>
      <c r="J78" s="16">
        <f>MAX(0,I78-'Drilling Spec'!$C$30)</f>
        <v>648.69980844307224</v>
      </c>
      <c r="K78" s="18">
        <f>IFERROR(J78/'Drilling Spec'!$C$31,0)</f>
        <v>43.246653896204819</v>
      </c>
      <c r="L78" s="21">
        <f t="shared" si="30"/>
        <v>0</v>
      </c>
      <c r="M78" s="4">
        <f t="shared" si="40"/>
        <v>132</v>
      </c>
      <c r="N78" s="21">
        <f t="shared" si="31"/>
        <v>0</v>
      </c>
      <c r="O78" s="18">
        <f>(SQRT(4*O77*O77*vB*vB + 'Drilling Spec'!$C$48*O77 + WB*('Drilling Spec'!$C$49 + 2*lB*vB*(sB*WB + 2*vB*N78/(1+eB)) + 'Drilling Spec'!$C$50)) - 'Drilling Spec'!$C$51)/(2*vB)</f>
        <v>723.46681615545504</v>
      </c>
      <c r="P78" s="18">
        <f>IFERROR(((S78-'Drilling Spec'!$C$30)/'Drilling Spec'!$C$31)*'Drilling Spec'!$C$32,0)</f>
        <v>38.608008969327301</v>
      </c>
      <c r="Q78" s="18">
        <f t="shared" si="41"/>
        <v>0</v>
      </c>
      <c r="R78" s="18"/>
      <c r="S78" s="26">
        <f>IF(AND(OR(T77=0,T77=""),M78=0),IF(M79=0,"",'Drilling Spec'!$C$30),O78)</f>
        <v>723.46681615545504</v>
      </c>
      <c r="U78" s="15">
        <f>E78*'Drilling Spec'!$C$22 + L78*'Drilling Spec'!$C$23</f>
        <v>0</v>
      </c>
      <c r="V78" s="15">
        <f t="shared" si="42"/>
        <v>19.733008130081299</v>
      </c>
      <c r="W78" s="15">
        <f t="shared" si="32"/>
        <v>4.2669918699186962</v>
      </c>
      <c r="X78" s="10"/>
      <c r="Y78" s="30">
        <f>IF(W78&lt;U79,'Drilling Spec'!$C$35,0)</f>
        <v>0</v>
      </c>
      <c r="AA78" s="4">
        <f t="shared" si="46"/>
        <v>46</v>
      </c>
      <c r="AB78" s="10"/>
      <c r="AC78" s="30">
        <f>IF('04-07-25-Scen3-Good,24-16hr'!K79&gt;'04-07-25-Scen3-Good,24-16hr'!AA78,'Drilling Spec'!$C$36,)</f>
        <v>0</v>
      </c>
      <c r="AE78" s="18">
        <f>(I78-'Drilling Spec'!$C$26)/'Drilling Spec'!$C$38</f>
        <v>109.78330140717871</v>
      </c>
      <c r="AF78" s="18">
        <f t="shared" si="33"/>
        <v>0</v>
      </c>
      <c r="AG78" s="34">
        <f t="shared" si="34"/>
        <v>9.7833014071787119</v>
      </c>
      <c r="AH78" s="10"/>
      <c r="AI78" s="26">
        <f>IF(C78="Camp Closed",AG78,IF(AG78&lt;'Drilling Spec'!$C$39,,'Drilling Spec'!$C$39))</f>
        <v>9.7833014071787119</v>
      </c>
      <c r="AL78" s="16">
        <f t="shared" si="35"/>
        <v>-728.69980844307224</v>
      </c>
      <c r="AM78" s="16">
        <f t="shared" si="36"/>
        <v>-723.46681615545504</v>
      </c>
      <c r="AN78">
        <f>-'Drilling Spec'!$C$29</f>
        <v>-720</v>
      </c>
      <c r="AO78">
        <f>-'Drilling Spec'!$C$27</f>
        <v>-624</v>
      </c>
      <c r="AP78">
        <f>-'Drilling Spec'!$C$28</f>
        <v>-688</v>
      </c>
      <c r="AQ78">
        <f t="shared" si="37"/>
        <v>0</v>
      </c>
      <c r="AR78" t="e">
        <f>IF(X78=0,NA(),-'Drilling Spec'!$C$29*0.1)</f>
        <v>#N/A</v>
      </c>
      <c r="AS78" t="e">
        <f>IF(Y78=0,NA(),-'Drilling Spec'!$C$29*0.1)</f>
        <v>#N/A</v>
      </c>
      <c r="AT78" t="e">
        <f>IF(AB78=0,NA(),-'Drilling Spec'!$C$29*0.2)</f>
        <v>#N/A</v>
      </c>
      <c r="AU78" t="e">
        <f>IF(AC78=0,NA(),-'Drilling Spec'!$C$29*0.2)</f>
        <v>#N/A</v>
      </c>
      <c r="AV78" t="e">
        <f>IF(AH78=0,NA(),-'Drilling Spec'!$C$29*0.3)</f>
        <v>#N/A</v>
      </c>
      <c r="AW78">
        <f>IF(AI78=0,NA(),-'Drilling Spec'!$C$29*0.3)</f>
        <v>-216</v>
      </c>
      <c r="AX78" s="29">
        <f t="shared" si="38"/>
        <v>4.2669918699186962</v>
      </c>
      <c r="AY78" s="29">
        <f t="shared" si="39"/>
        <v>41.361355073122482</v>
      </c>
      <c r="AZ78" s="29">
        <f t="shared" si="43"/>
        <v>9.7833014071787119</v>
      </c>
    </row>
    <row r="79" spans="1:52" x14ac:dyDescent="0.35">
      <c r="A79" s="28">
        <f t="shared" si="44"/>
        <v>46049</v>
      </c>
      <c r="B79" t="str">
        <f t="shared" si="26"/>
        <v>Tue</v>
      </c>
      <c r="C79" s="10"/>
      <c r="D79" s="10"/>
      <c r="E79" s="4">
        <f t="shared" si="27"/>
        <v>0</v>
      </c>
      <c r="F79" s="4">
        <f t="shared" si="28"/>
        <v>824</v>
      </c>
      <c r="G79" s="4">
        <f t="shared" si="29"/>
        <v>0</v>
      </c>
      <c r="H79" s="15">
        <f>(SQRT(4*I78*I78*V*V + 'Drilling Spec'!$C$42*I78 + W*('Drilling Spec'!$C$43 + 2*l*V*(s*W + 2*V*G79/(1+e)) + 'Drilling Spec'!$C$44)) - 'Drilling Spec'!$C$45)/(2*V)</f>
        <v>728.69980844307224</v>
      </c>
      <c r="I79" s="23">
        <f>IF(AND(OR(I78=0,I78=""),F79=0),IF(F80=0,"",'Drilling Spec'!$C$26),H79)</f>
        <v>728.69980844307224</v>
      </c>
      <c r="J79" s="16">
        <f>MAX(0,I79-'Drilling Spec'!$C$30)</f>
        <v>648.69980844307224</v>
      </c>
      <c r="K79" s="18">
        <f>IFERROR(J79/'Drilling Spec'!$C$31,0)</f>
        <v>43.246653896204819</v>
      </c>
      <c r="L79" s="21">
        <f t="shared" si="30"/>
        <v>0</v>
      </c>
      <c r="M79" s="4">
        <f t="shared" si="40"/>
        <v>132</v>
      </c>
      <c r="N79" s="21">
        <f t="shared" si="31"/>
        <v>0</v>
      </c>
      <c r="O79" s="18">
        <f>(SQRT(4*O78*O78*vB*vB + 'Drilling Spec'!$C$48*O78 + WB*('Drilling Spec'!$C$49 + 2*lB*vB*(sB*WB + 2*vB*N79/(1+eB)) + 'Drilling Spec'!$C$50)) - 'Drilling Spec'!$C$51)/(2*vB)</f>
        <v>723.46681615545504</v>
      </c>
      <c r="P79" s="18">
        <f>IFERROR(((S79-'Drilling Spec'!$C$30)/'Drilling Spec'!$C$31)*'Drilling Spec'!$C$32,0)</f>
        <v>38.608008969327301</v>
      </c>
      <c r="Q79" s="18">
        <f t="shared" si="41"/>
        <v>0</v>
      </c>
      <c r="R79" s="18"/>
      <c r="S79" s="26">
        <f>IF(AND(OR(T78=0,T78=""),M79=0),IF(M80=0,"",'Drilling Spec'!$C$30),O79)</f>
        <v>723.46681615545504</v>
      </c>
      <c r="U79" s="15">
        <f>E79*'Drilling Spec'!$C$22 + L79*'Drilling Spec'!$C$23</f>
        <v>0</v>
      </c>
      <c r="V79" s="15">
        <f t="shared" si="42"/>
        <v>19.733008130081299</v>
      </c>
      <c r="W79" s="15">
        <f t="shared" si="32"/>
        <v>4.2669918699186962</v>
      </c>
      <c r="X79" s="10"/>
      <c r="Y79" s="30">
        <f>IF(W79&lt;U80,'Drilling Spec'!$C$35,0)</f>
        <v>0</v>
      </c>
      <c r="AA79" s="4">
        <f t="shared" si="46"/>
        <v>46</v>
      </c>
      <c r="AB79" s="10"/>
      <c r="AC79" s="30">
        <f>IF('04-07-25-Scen3-Good,24-16hr'!K80&gt;'04-07-25-Scen3-Good,24-16hr'!AA79,'Drilling Spec'!$C$36,)</f>
        <v>0</v>
      </c>
      <c r="AE79" s="18">
        <f>(I79-'Drilling Spec'!$C$26)/'Drilling Spec'!$C$38</f>
        <v>109.78330140717871</v>
      </c>
      <c r="AF79" s="18">
        <f t="shared" si="33"/>
        <v>0</v>
      </c>
      <c r="AG79" s="34">
        <f t="shared" si="34"/>
        <v>0</v>
      </c>
      <c r="AH79" s="10"/>
      <c r="AI79" s="26">
        <f>IF(C79="Camp Closed",AG79,IF(AG79&lt;'Drilling Spec'!$C$39,,'Drilling Spec'!$C$39))</f>
        <v>0</v>
      </c>
      <c r="AL79" s="16">
        <f t="shared" si="35"/>
        <v>-728.69980844307224</v>
      </c>
      <c r="AM79" s="16">
        <f t="shared" si="36"/>
        <v>-723.46681615545504</v>
      </c>
      <c r="AN79">
        <f>-'Drilling Spec'!$C$29</f>
        <v>-720</v>
      </c>
      <c r="AO79">
        <f>-'Drilling Spec'!$C$27</f>
        <v>-624</v>
      </c>
      <c r="AP79">
        <f>-'Drilling Spec'!$C$28</f>
        <v>-688</v>
      </c>
      <c r="AQ79" t="e">
        <f t="shared" si="37"/>
        <v>#N/A</v>
      </c>
      <c r="AR79" t="e">
        <f>IF(X79=0,NA(),-'Drilling Spec'!$C$29*0.1)</f>
        <v>#N/A</v>
      </c>
      <c r="AS79" t="e">
        <f>IF(Y79=0,NA(),-'Drilling Spec'!$C$29*0.1)</f>
        <v>#N/A</v>
      </c>
      <c r="AT79" t="e">
        <f>IF(AB79=0,NA(),-'Drilling Spec'!$C$29*0.2)</f>
        <v>#N/A</v>
      </c>
      <c r="AU79" t="e">
        <f>IF(AC79=0,NA(),-'Drilling Spec'!$C$29*0.2)</f>
        <v>#N/A</v>
      </c>
      <c r="AV79" t="e">
        <f>IF(AH79=0,NA(),-'Drilling Spec'!$C$29*0.3)</f>
        <v>#N/A</v>
      </c>
      <c r="AW79" t="e">
        <f>IF(AI79=0,NA(),-'Drilling Spec'!$C$29*0.3)</f>
        <v>#N/A</v>
      </c>
      <c r="AX79" s="29">
        <f t="shared" si="38"/>
        <v>4.2669918699186962</v>
      </c>
      <c r="AY79" s="29">
        <f t="shared" si="39"/>
        <v>41.361355073122482</v>
      </c>
      <c r="AZ79" s="29">
        <f t="shared" si="43"/>
        <v>0</v>
      </c>
    </row>
    <row r="80" spans="1:52" x14ac:dyDescent="0.35">
      <c r="A80" s="28">
        <f t="shared" si="44"/>
        <v>46050</v>
      </c>
      <c r="B80" t="str">
        <f t="shared" si="26"/>
        <v>Wed</v>
      </c>
      <c r="C80" s="10"/>
      <c r="D80" s="10"/>
      <c r="E80" s="4">
        <f t="shared" si="27"/>
        <v>0</v>
      </c>
      <c r="F80" s="4">
        <f t="shared" si="28"/>
        <v>824</v>
      </c>
      <c r="G80" s="4">
        <f t="shared" si="29"/>
        <v>0</v>
      </c>
      <c r="H80" s="15">
        <f>(SQRT(4*I79*I79*V*V + 'Drilling Spec'!$C$42*I79 + W*('Drilling Spec'!$C$43 + 2*l*V*(s*W + 2*V*G80/(1+e)) + 'Drilling Spec'!$C$44)) - 'Drilling Spec'!$C$45)/(2*V)</f>
        <v>728.69980844307224</v>
      </c>
      <c r="I80" s="23">
        <f>IF(AND(OR(I79=0,I79=""),F80=0),IF(F81=0,"",'Drilling Spec'!$C$26),H80)</f>
        <v>728.69980844307224</v>
      </c>
      <c r="J80" s="16">
        <f>MAX(0,I80-'Drilling Spec'!$C$30)</f>
        <v>648.69980844307224</v>
      </c>
      <c r="K80" s="18">
        <f>IFERROR(J80/'Drilling Spec'!$C$31,0)</f>
        <v>43.246653896204819</v>
      </c>
      <c r="L80" s="21">
        <f t="shared" si="30"/>
        <v>0</v>
      </c>
      <c r="M80" s="4">
        <f t="shared" si="40"/>
        <v>132</v>
      </c>
      <c r="N80" s="21">
        <f t="shared" si="31"/>
        <v>0</v>
      </c>
      <c r="O80" s="18">
        <f>(SQRT(4*O79*O79*vB*vB + 'Drilling Spec'!$C$48*O79 + WB*('Drilling Spec'!$C$49 + 2*lB*vB*(sB*WB + 2*vB*N80/(1+eB)) + 'Drilling Spec'!$C$50)) - 'Drilling Spec'!$C$51)/(2*vB)</f>
        <v>723.46681615545504</v>
      </c>
      <c r="P80" s="18">
        <f>IFERROR(((S80-'Drilling Spec'!$C$30)/'Drilling Spec'!$C$31)*'Drilling Spec'!$C$32,0)</f>
        <v>38.608008969327301</v>
      </c>
      <c r="Q80" s="18">
        <f t="shared" si="41"/>
        <v>0</v>
      </c>
      <c r="R80" s="18"/>
      <c r="S80" s="26">
        <f>IF(AND(OR(T79=0,T79=""),M80=0),IF(M81=0,"",'Drilling Spec'!$C$30),O80)</f>
        <v>723.46681615545504</v>
      </c>
      <c r="U80" s="15">
        <f>E80*'Drilling Spec'!$C$22 + L80*'Drilling Spec'!$C$23</f>
        <v>0</v>
      </c>
      <c r="V80" s="15">
        <f t="shared" si="42"/>
        <v>19.733008130081299</v>
      </c>
      <c r="W80" s="15">
        <f t="shared" si="32"/>
        <v>4.2669918699186962</v>
      </c>
      <c r="X80" s="10"/>
      <c r="Y80" s="30">
        <f>IF(W80&lt;U81,'Drilling Spec'!$C$35,0)</f>
        <v>0</v>
      </c>
      <c r="AA80" s="4">
        <f t="shared" si="46"/>
        <v>46</v>
      </c>
      <c r="AB80" s="10"/>
      <c r="AC80" s="30">
        <f>IF('04-07-25-Scen3-Good,24-16hr'!K81&gt;'04-07-25-Scen3-Good,24-16hr'!AA80,'Drilling Spec'!$C$36,)</f>
        <v>0</v>
      </c>
      <c r="AE80" s="18">
        <f>(I80-'Drilling Spec'!$C$26)/'Drilling Spec'!$C$38</f>
        <v>109.78330140717871</v>
      </c>
      <c r="AF80" s="18">
        <f t="shared" si="33"/>
        <v>0</v>
      </c>
      <c r="AG80" s="34">
        <f t="shared" si="34"/>
        <v>0</v>
      </c>
      <c r="AH80" s="10"/>
      <c r="AI80" s="26">
        <f>IF(C80="Camp Closed",AG80,IF(AG80&lt;'Drilling Spec'!$C$39,,'Drilling Spec'!$C$39))</f>
        <v>0</v>
      </c>
      <c r="AL80" s="16">
        <f t="shared" si="35"/>
        <v>-728.69980844307224</v>
      </c>
      <c r="AM80" s="16">
        <f t="shared" si="36"/>
        <v>-723.46681615545504</v>
      </c>
      <c r="AN80">
        <f>-'Drilling Spec'!$C$29</f>
        <v>-720</v>
      </c>
      <c r="AO80">
        <f>-'Drilling Spec'!$C$27</f>
        <v>-624</v>
      </c>
      <c r="AP80">
        <f>-'Drilling Spec'!$C$28</f>
        <v>-688</v>
      </c>
      <c r="AQ80" t="e">
        <f t="shared" si="37"/>
        <v>#N/A</v>
      </c>
      <c r="AR80" t="e">
        <f>IF(X80=0,NA(),-'Drilling Spec'!$C$29*0.1)</f>
        <v>#N/A</v>
      </c>
      <c r="AS80" t="e">
        <f>IF(Y80=0,NA(),-'Drilling Spec'!$C$29*0.1)</f>
        <v>#N/A</v>
      </c>
      <c r="AT80" t="e">
        <f>IF(AB80=0,NA(),-'Drilling Spec'!$C$29*0.2)</f>
        <v>#N/A</v>
      </c>
      <c r="AU80" t="e">
        <f>IF(AC80=0,NA(),-'Drilling Spec'!$C$29*0.2)</f>
        <v>#N/A</v>
      </c>
      <c r="AV80" t="e">
        <f>IF(AH80=0,NA(),-'Drilling Spec'!$C$29*0.3)</f>
        <v>#N/A</v>
      </c>
      <c r="AW80" t="e">
        <f>IF(AI80=0,NA(),-'Drilling Spec'!$C$29*0.3)</f>
        <v>#N/A</v>
      </c>
      <c r="AX80" s="29">
        <f t="shared" si="38"/>
        <v>4.2669918699186962</v>
      </c>
      <c r="AY80" s="29">
        <f t="shared" si="39"/>
        <v>41.361355073122482</v>
      </c>
      <c r="AZ80" s="29">
        <f t="shared" si="43"/>
        <v>0</v>
      </c>
    </row>
    <row r="81" spans="1:52" x14ac:dyDescent="0.35">
      <c r="A81" s="28">
        <f t="shared" si="44"/>
        <v>46051</v>
      </c>
      <c r="B81" t="str">
        <f t="shared" si="26"/>
        <v>Thu</v>
      </c>
      <c r="C81" s="10"/>
      <c r="D81" s="10"/>
      <c r="E81" s="4">
        <f t="shared" si="27"/>
        <v>0</v>
      </c>
      <c r="F81" s="4">
        <f t="shared" si="28"/>
        <v>824</v>
      </c>
      <c r="G81" s="4">
        <f t="shared" si="29"/>
        <v>0</v>
      </c>
      <c r="H81" s="15">
        <f>(SQRT(4*I80*I80*V*V + 'Drilling Spec'!$C$42*I80 + W*('Drilling Spec'!$C$43 + 2*l*V*(s*W + 2*V*G81/(1+e)) + 'Drilling Spec'!$C$44)) - 'Drilling Spec'!$C$45)/(2*V)</f>
        <v>728.69980844307224</v>
      </c>
      <c r="I81" s="23">
        <f>IF(AND(OR(I80=0,I80=""),F81=0),IF(F82=0,"",'Drilling Spec'!$C$26),H81)</f>
        <v>728.69980844307224</v>
      </c>
      <c r="J81" s="16">
        <f>MAX(0,I81-'Drilling Spec'!$C$30)</f>
        <v>648.69980844307224</v>
      </c>
      <c r="K81" s="18">
        <f>IFERROR(J81/'Drilling Spec'!$C$31,0)</f>
        <v>43.246653896204819</v>
      </c>
      <c r="L81" s="21">
        <f t="shared" si="30"/>
        <v>0</v>
      </c>
      <c r="M81" s="4">
        <f t="shared" si="40"/>
        <v>132</v>
      </c>
      <c r="N81" s="21">
        <f t="shared" si="31"/>
        <v>0</v>
      </c>
      <c r="O81" s="18">
        <f>(SQRT(4*O80*O80*vB*vB + 'Drilling Spec'!$C$48*O80 + WB*('Drilling Spec'!$C$49 + 2*lB*vB*(sB*WB + 2*vB*N81/(1+eB)) + 'Drilling Spec'!$C$50)) - 'Drilling Spec'!$C$51)/(2*vB)</f>
        <v>723.46681615545504</v>
      </c>
      <c r="P81" s="18">
        <f>IFERROR(((S81-'Drilling Spec'!$C$30)/'Drilling Spec'!$C$31)*'Drilling Spec'!$C$32,0)</f>
        <v>38.608008969327301</v>
      </c>
      <c r="Q81" s="18">
        <f t="shared" si="41"/>
        <v>0</v>
      </c>
      <c r="R81" s="18"/>
      <c r="S81" s="26">
        <f>IF(AND(OR(T80=0,T80=""),M81=0),IF(M82=0,"",'Drilling Spec'!$C$30),O81)</f>
        <v>723.46681615545504</v>
      </c>
      <c r="U81" s="15">
        <f>E81*'Drilling Spec'!$C$22 + L81*'Drilling Spec'!$C$23</f>
        <v>0</v>
      </c>
      <c r="V81" s="15">
        <f t="shared" si="42"/>
        <v>19.733008130081299</v>
      </c>
      <c r="W81" s="15">
        <f t="shared" si="32"/>
        <v>4.2669918699186962</v>
      </c>
      <c r="X81" s="10"/>
      <c r="Y81" s="30">
        <f>IF(W81&lt;U82,'Drilling Spec'!$C$35,0)</f>
        <v>0</v>
      </c>
      <c r="AA81" s="4">
        <f t="shared" si="46"/>
        <v>46</v>
      </c>
      <c r="AB81" s="10"/>
      <c r="AC81" s="30">
        <f>IF('04-07-25-Scen3-Good,24-16hr'!K82&gt;'04-07-25-Scen3-Good,24-16hr'!AA81,'Drilling Spec'!$C$36,)</f>
        <v>0</v>
      </c>
      <c r="AE81" s="18">
        <f>(I81-'Drilling Spec'!$C$26)/'Drilling Spec'!$C$38</f>
        <v>109.78330140717871</v>
      </c>
      <c r="AF81" s="18">
        <f t="shared" si="33"/>
        <v>0</v>
      </c>
      <c r="AG81" s="34">
        <f t="shared" si="34"/>
        <v>0</v>
      </c>
      <c r="AH81" s="10"/>
      <c r="AI81" s="26">
        <f>IF(C81="Camp Closed",AG81,IF(AG81&lt;'Drilling Spec'!$C$39,,'Drilling Spec'!$C$39))</f>
        <v>0</v>
      </c>
      <c r="AL81" s="16">
        <f t="shared" si="35"/>
        <v>-728.69980844307224</v>
      </c>
      <c r="AM81" s="16">
        <f t="shared" si="36"/>
        <v>-723.46681615545504</v>
      </c>
      <c r="AN81">
        <f>-'Drilling Spec'!$C$29</f>
        <v>-720</v>
      </c>
      <c r="AO81">
        <f>-'Drilling Spec'!$C$27</f>
        <v>-624</v>
      </c>
      <c r="AP81">
        <f>-'Drilling Spec'!$C$28</f>
        <v>-688</v>
      </c>
      <c r="AQ81" t="e">
        <f t="shared" si="37"/>
        <v>#N/A</v>
      </c>
      <c r="AR81" t="e">
        <f>IF(X81=0,NA(),-'Drilling Spec'!$C$29*0.1)</f>
        <v>#N/A</v>
      </c>
      <c r="AS81" t="e">
        <f>IF(Y81=0,NA(),-'Drilling Spec'!$C$29*0.1)</f>
        <v>#N/A</v>
      </c>
      <c r="AT81" t="e">
        <f>IF(AB81=0,NA(),-'Drilling Spec'!$C$29*0.2)</f>
        <v>#N/A</v>
      </c>
      <c r="AU81" t="e">
        <f>IF(AC81=0,NA(),-'Drilling Spec'!$C$29*0.2)</f>
        <v>#N/A</v>
      </c>
      <c r="AV81" t="e">
        <f>IF(AH81=0,NA(),-'Drilling Spec'!$C$29*0.3)</f>
        <v>#N/A</v>
      </c>
      <c r="AW81" t="e">
        <f>IF(AI81=0,NA(),-'Drilling Spec'!$C$29*0.3)</f>
        <v>#N/A</v>
      </c>
      <c r="AX81" s="29">
        <f t="shared" si="38"/>
        <v>4.2669918699186962</v>
      </c>
      <c r="AY81" s="29">
        <f t="shared" si="39"/>
        <v>41.361355073122482</v>
      </c>
      <c r="AZ81" s="29">
        <f t="shared" si="43"/>
        <v>0</v>
      </c>
    </row>
    <row r="82" spans="1:52" x14ac:dyDescent="0.35">
      <c r="A82" s="28">
        <f t="shared" si="44"/>
        <v>46052</v>
      </c>
      <c r="B82" t="str">
        <f t="shared" si="26"/>
        <v>Fri</v>
      </c>
      <c r="C82" s="10"/>
      <c r="D82" s="10"/>
      <c r="E82" s="4">
        <f t="shared" si="27"/>
        <v>0</v>
      </c>
      <c r="F82" s="4">
        <f t="shared" si="28"/>
        <v>824</v>
      </c>
      <c r="G82" s="4">
        <f t="shared" si="29"/>
        <v>0</v>
      </c>
      <c r="H82" s="15">
        <f>(SQRT(4*I81*I81*V*V + 'Drilling Spec'!$C$42*I81 + W*('Drilling Spec'!$C$43 + 2*l*V*(s*W + 2*V*G82/(1+e)) + 'Drilling Spec'!$C$44)) - 'Drilling Spec'!$C$45)/(2*V)</f>
        <v>728.69980844307224</v>
      </c>
      <c r="I82" s="23">
        <f>IF(AND(OR(I81=0,I81=""),F82=0),IF(F83=0,"",'Drilling Spec'!$C$26),H82)</f>
        <v>728.69980844307224</v>
      </c>
      <c r="J82" s="16">
        <f>MAX(0,I82-'Drilling Spec'!$C$30)</f>
        <v>648.69980844307224</v>
      </c>
      <c r="K82" s="18">
        <f>IFERROR(J82/'Drilling Spec'!$C$31,0)</f>
        <v>43.246653896204819</v>
      </c>
      <c r="L82" s="21">
        <f t="shared" si="30"/>
        <v>0</v>
      </c>
      <c r="M82" s="4">
        <f t="shared" si="40"/>
        <v>132</v>
      </c>
      <c r="N82" s="21">
        <f t="shared" si="31"/>
        <v>0</v>
      </c>
      <c r="O82" s="18">
        <f>(SQRT(4*O81*O81*vB*vB + 'Drilling Spec'!$C$48*O81 + WB*('Drilling Spec'!$C$49 + 2*lB*vB*(sB*WB + 2*vB*N82/(1+eB)) + 'Drilling Spec'!$C$50)) - 'Drilling Spec'!$C$51)/(2*vB)</f>
        <v>723.46681615545504</v>
      </c>
      <c r="P82" s="18">
        <f>IFERROR(((S82-'Drilling Spec'!$C$30)/'Drilling Spec'!$C$31)*'Drilling Spec'!$C$32,0)</f>
        <v>38.608008969327301</v>
      </c>
      <c r="Q82" s="18">
        <f t="shared" si="41"/>
        <v>0</v>
      </c>
      <c r="R82" s="18"/>
      <c r="S82" s="26">
        <f>IF(AND(OR(T81=0,T81=""),M82=0),IF(M83=0,"",'Drilling Spec'!$C$30),O82)</f>
        <v>723.46681615545504</v>
      </c>
      <c r="U82" s="15">
        <f>E82*'Drilling Spec'!$C$22 + L82*'Drilling Spec'!$C$23</f>
        <v>0</v>
      </c>
      <c r="V82" s="15">
        <f t="shared" si="42"/>
        <v>19.733008130081299</v>
      </c>
      <c r="W82" s="15">
        <f t="shared" si="32"/>
        <v>4.2669918699186962</v>
      </c>
      <c r="X82" s="10"/>
      <c r="Y82" s="30">
        <f>IF(W82&lt;U83,'Drilling Spec'!$C$35,0)</f>
        <v>0</v>
      </c>
      <c r="AA82" s="4">
        <f t="shared" si="46"/>
        <v>46</v>
      </c>
      <c r="AB82" s="10"/>
      <c r="AC82" s="30">
        <f>IF('04-07-25-Scen3-Good,24-16hr'!K83&gt;'04-07-25-Scen3-Good,24-16hr'!AA82,'Drilling Spec'!$C$36,)</f>
        <v>0</v>
      </c>
      <c r="AE82" s="18">
        <f>(I82-'Drilling Spec'!$C$26)/'Drilling Spec'!$C$38</f>
        <v>109.78330140717871</v>
      </c>
      <c r="AF82" s="18">
        <f t="shared" si="33"/>
        <v>0</v>
      </c>
      <c r="AG82" s="34">
        <f t="shared" si="34"/>
        <v>0</v>
      </c>
      <c r="AH82" s="10"/>
      <c r="AI82" s="26">
        <f>IF(C82="Camp Closed",AG82,IF(AG82&lt;'Drilling Spec'!$C$39,,'Drilling Spec'!$C$39))</f>
        <v>0</v>
      </c>
      <c r="AL82" s="16">
        <f t="shared" si="35"/>
        <v>-728.69980844307224</v>
      </c>
      <c r="AM82" s="16">
        <f t="shared" si="36"/>
        <v>-723.46681615545504</v>
      </c>
      <c r="AN82">
        <f>-'Drilling Spec'!$C$29</f>
        <v>-720</v>
      </c>
      <c r="AO82">
        <f>-'Drilling Spec'!$C$27</f>
        <v>-624</v>
      </c>
      <c r="AP82">
        <f>-'Drilling Spec'!$C$28</f>
        <v>-688</v>
      </c>
      <c r="AQ82" t="e">
        <f t="shared" si="37"/>
        <v>#N/A</v>
      </c>
      <c r="AR82" t="e">
        <f>IF(X82=0,NA(),-'Drilling Spec'!$C$29*0.1)</f>
        <v>#N/A</v>
      </c>
      <c r="AS82" t="e">
        <f>IF(Y82=0,NA(),-'Drilling Spec'!$C$29*0.1)</f>
        <v>#N/A</v>
      </c>
      <c r="AT82" t="e">
        <f>IF(AB82=0,NA(),-'Drilling Spec'!$C$29*0.2)</f>
        <v>#N/A</v>
      </c>
      <c r="AU82" t="e">
        <f>IF(AC82=0,NA(),-'Drilling Spec'!$C$29*0.2)</f>
        <v>#N/A</v>
      </c>
      <c r="AV82" t="e">
        <f>IF(AH82=0,NA(),-'Drilling Spec'!$C$29*0.3)</f>
        <v>#N/A</v>
      </c>
      <c r="AW82" t="e">
        <f>IF(AI82=0,NA(),-'Drilling Spec'!$C$29*0.3)</f>
        <v>#N/A</v>
      </c>
      <c r="AX82" s="29">
        <f t="shared" si="38"/>
        <v>4.2669918699186962</v>
      </c>
      <c r="AY82" s="29">
        <f t="shared" si="39"/>
        <v>41.361355073122482</v>
      </c>
      <c r="AZ82" s="29">
        <f t="shared" si="43"/>
        <v>0</v>
      </c>
    </row>
    <row r="83" spans="1:52" x14ac:dyDescent="0.35">
      <c r="A83" s="28">
        <f t="shared" si="44"/>
        <v>46053</v>
      </c>
      <c r="B83" t="str">
        <f t="shared" si="26"/>
        <v>Sat</v>
      </c>
      <c r="C83" s="10"/>
      <c r="D83" s="10"/>
      <c r="E83" s="4">
        <f t="shared" si="27"/>
        <v>0</v>
      </c>
      <c r="F83" s="4">
        <f t="shared" si="28"/>
        <v>824</v>
      </c>
      <c r="G83" s="4">
        <f t="shared" si="29"/>
        <v>0</v>
      </c>
      <c r="H83" s="15">
        <f>(SQRT(4*I82*I82*V*V + 'Drilling Spec'!$C$42*I82 + W*('Drilling Spec'!$C$43 + 2*l*V*(s*W + 2*V*G83/(1+e)) + 'Drilling Spec'!$C$44)) - 'Drilling Spec'!$C$45)/(2*V)</f>
        <v>728.69980844307224</v>
      </c>
      <c r="I83" s="23">
        <f>IF(AND(OR(I82=0,I82=""),F83=0),IF(F84=0,"",'Drilling Spec'!$C$26),H83)</f>
        <v>728.69980844307224</v>
      </c>
      <c r="J83" s="16">
        <f>MAX(0,I83-'Drilling Spec'!$C$30)</f>
        <v>648.69980844307224</v>
      </c>
      <c r="K83" s="18">
        <f>IFERROR(J83/'Drilling Spec'!$C$31,0)</f>
        <v>43.246653896204819</v>
      </c>
      <c r="L83" s="21">
        <f t="shared" si="30"/>
        <v>0</v>
      </c>
      <c r="M83" s="4">
        <f t="shared" si="40"/>
        <v>132</v>
      </c>
      <c r="N83" s="21">
        <f t="shared" si="31"/>
        <v>0</v>
      </c>
      <c r="O83" s="18">
        <f>(SQRT(4*O82*O82*vB*vB + 'Drilling Spec'!$C$48*O82 + WB*('Drilling Spec'!$C$49 + 2*lB*vB*(sB*WB + 2*vB*N83/(1+eB)) + 'Drilling Spec'!$C$50)) - 'Drilling Spec'!$C$51)/(2*vB)</f>
        <v>723.46681615545504</v>
      </c>
      <c r="P83" s="18">
        <f>IFERROR(((S83-'Drilling Spec'!$C$30)/'Drilling Spec'!$C$31)*'Drilling Spec'!$C$32,0)</f>
        <v>38.608008969327301</v>
      </c>
      <c r="Q83" s="18">
        <f t="shared" si="41"/>
        <v>0</v>
      </c>
      <c r="R83" s="18"/>
      <c r="S83" s="26">
        <f>IF(AND(OR(T82=0,T82=""),M83=0),IF(M84=0,"",'Drilling Spec'!$C$30),O83)</f>
        <v>723.46681615545504</v>
      </c>
      <c r="U83" s="15">
        <f>E83*'Drilling Spec'!$C$22 + L83*'Drilling Spec'!$C$23</f>
        <v>0</v>
      </c>
      <c r="V83" s="15">
        <f t="shared" si="42"/>
        <v>19.733008130081299</v>
      </c>
      <c r="W83" s="15">
        <f t="shared" si="32"/>
        <v>4.2669918699186962</v>
      </c>
      <c r="X83" s="10"/>
      <c r="Y83" s="30">
        <f>IF(W83&lt;U84,'Drilling Spec'!$C$35,0)</f>
        <v>0</v>
      </c>
      <c r="AA83" s="4">
        <f t="shared" si="46"/>
        <v>46</v>
      </c>
      <c r="AB83" s="10"/>
      <c r="AC83" s="30">
        <f>IF('04-07-25-Scen3-Good,24-16hr'!K84&gt;'04-07-25-Scen3-Good,24-16hr'!AA83,'Drilling Spec'!$C$36,)</f>
        <v>0</v>
      </c>
      <c r="AE83" s="18">
        <f>(I83-'Drilling Spec'!$C$26)/'Drilling Spec'!$C$38</f>
        <v>109.78330140717871</v>
      </c>
      <c r="AF83" s="18">
        <f t="shared" si="33"/>
        <v>0</v>
      </c>
      <c r="AG83" s="34">
        <f t="shared" si="34"/>
        <v>0</v>
      </c>
      <c r="AH83" s="10"/>
      <c r="AI83" s="26">
        <f>IF(C83="Camp Closed",AG83,IF(AG83&lt;'Drilling Spec'!$C$39,,'Drilling Spec'!$C$39))</f>
        <v>0</v>
      </c>
      <c r="AL83" s="16">
        <f t="shared" si="35"/>
        <v>-728.69980844307224</v>
      </c>
      <c r="AM83" s="16">
        <f t="shared" si="36"/>
        <v>-723.46681615545504</v>
      </c>
      <c r="AN83">
        <f>-'Drilling Spec'!$C$29</f>
        <v>-720</v>
      </c>
      <c r="AO83">
        <f>-'Drilling Spec'!$C$27</f>
        <v>-624</v>
      </c>
      <c r="AP83">
        <f>-'Drilling Spec'!$C$28</f>
        <v>-688</v>
      </c>
      <c r="AQ83" t="e">
        <f t="shared" si="37"/>
        <v>#N/A</v>
      </c>
      <c r="AR83" t="e">
        <f>IF(X83=0,NA(),-'Drilling Spec'!$C$29*0.1)</f>
        <v>#N/A</v>
      </c>
      <c r="AS83" t="e">
        <f>IF(Y83=0,NA(),-'Drilling Spec'!$C$29*0.1)</f>
        <v>#N/A</v>
      </c>
      <c r="AT83" t="e">
        <f>IF(AB83=0,NA(),-'Drilling Spec'!$C$29*0.2)</f>
        <v>#N/A</v>
      </c>
      <c r="AU83" t="e">
        <f>IF(AC83=0,NA(),-'Drilling Spec'!$C$29*0.2)</f>
        <v>#N/A</v>
      </c>
      <c r="AV83" t="e">
        <f>IF(AH83=0,NA(),-'Drilling Spec'!$C$29*0.3)</f>
        <v>#N/A</v>
      </c>
      <c r="AW83" t="e">
        <f>IF(AI83=0,NA(),-'Drilling Spec'!$C$29*0.3)</f>
        <v>#N/A</v>
      </c>
      <c r="AX83" s="29">
        <f t="shared" si="38"/>
        <v>4.2669918699186962</v>
      </c>
      <c r="AY83" s="29">
        <f t="shared" si="39"/>
        <v>41.361355073122482</v>
      </c>
      <c r="AZ83" s="29">
        <f t="shared" si="43"/>
        <v>0</v>
      </c>
    </row>
    <row r="84" spans="1:52" x14ac:dyDescent="0.35">
      <c r="A84" s="28">
        <f t="shared" si="44"/>
        <v>46054</v>
      </c>
      <c r="B84" t="str">
        <f t="shared" si="26"/>
        <v>Sun</v>
      </c>
      <c r="C84" s="10"/>
      <c r="D84" s="10"/>
      <c r="E84" s="4">
        <f t="shared" si="27"/>
        <v>0</v>
      </c>
      <c r="F84" s="4">
        <f t="shared" si="28"/>
        <v>824</v>
      </c>
      <c r="G84" s="4">
        <f t="shared" si="29"/>
        <v>0</v>
      </c>
      <c r="H84" s="15">
        <f>(SQRT(4*I83*I83*V*V + 'Drilling Spec'!$C$42*I83 + W*('Drilling Spec'!$C$43 + 2*l*V*(s*W + 2*V*G84/(1+e)) + 'Drilling Spec'!$C$44)) - 'Drilling Spec'!$C$45)/(2*V)</f>
        <v>728.69980844307224</v>
      </c>
      <c r="I84" s="23">
        <f>IF(AND(OR(I83=0,I83=""),F84=0),IF(F85=0,"",'Drilling Spec'!$C$26),H84)</f>
        <v>728.69980844307224</v>
      </c>
      <c r="J84" s="16">
        <f>MAX(0,I84-'Drilling Spec'!$C$30)</f>
        <v>648.69980844307224</v>
      </c>
      <c r="K84" s="18">
        <f>IFERROR(J84/'Drilling Spec'!$C$31,0)</f>
        <v>43.246653896204819</v>
      </c>
      <c r="L84" s="21">
        <f t="shared" si="30"/>
        <v>0</v>
      </c>
      <c r="M84" s="4">
        <f t="shared" si="40"/>
        <v>132</v>
      </c>
      <c r="N84" s="21">
        <f t="shared" si="31"/>
        <v>0</v>
      </c>
      <c r="O84" s="18">
        <f>(SQRT(4*O83*O83*vB*vB + 'Drilling Spec'!$C$48*O83 + WB*('Drilling Spec'!$C$49 + 2*lB*vB*(sB*WB + 2*vB*N84/(1+eB)) + 'Drilling Spec'!$C$50)) - 'Drilling Spec'!$C$51)/(2*vB)</f>
        <v>723.46681615545504</v>
      </c>
      <c r="P84" s="18">
        <f>IFERROR(((S84-'Drilling Spec'!$C$30)/'Drilling Spec'!$C$31)*'Drilling Spec'!$C$32,0)</f>
        <v>38.608008969327301</v>
      </c>
      <c r="Q84" s="18">
        <f t="shared" si="41"/>
        <v>0</v>
      </c>
      <c r="R84" s="18"/>
      <c r="S84" s="26">
        <f>IF(AND(OR(T83=0,T83=""),M84=0),IF(M85=0,"",'Drilling Spec'!$C$30),O84)</f>
        <v>723.46681615545504</v>
      </c>
      <c r="U84" s="15">
        <f>E84*'Drilling Spec'!$C$22 + L84*'Drilling Spec'!$C$23</f>
        <v>0</v>
      </c>
      <c r="V84" s="15">
        <f t="shared" si="42"/>
        <v>19.733008130081299</v>
      </c>
      <c r="W84" s="15">
        <f t="shared" si="32"/>
        <v>4.2669918699186962</v>
      </c>
      <c r="X84" s="10"/>
      <c r="Y84" s="30">
        <f>IF(W84&lt;U85,'Drilling Spec'!$C$35,0)</f>
        <v>0</v>
      </c>
      <c r="AA84" s="4">
        <f t="shared" si="46"/>
        <v>46</v>
      </c>
      <c r="AB84" s="10"/>
      <c r="AC84" s="30">
        <f>IF('04-07-25-Scen3-Good,24-16hr'!K85&gt;'04-07-25-Scen3-Good,24-16hr'!AA84,'Drilling Spec'!$C$36,)</f>
        <v>0</v>
      </c>
      <c r="AE84" s="18">
        <f>(I84-'Drilling Spec'!$C$26)/'Drilling Spec'!$C$38</f>
        <v>109.78330140717871</v>
      </c>
      <c r="AF84" s="18">
        <f t="shared" si="33"/>
        <v>0</v>
      </c>
      <c r="AG84" s="34">
        <f t="shared" si="34"/>
        <v>0</v>
      </c>
      <c r="AH84" s="10"/>
      <c r="AI84" s="26">
        <f>IF(C84="Camp Closed",AG84,IF(AG84&lt;'Drilling Spec'!$C$39,,'Drilling Spec'!$C$39))</f>
        <v>0</v>
      </c>
      <c r="AL84" s="16">
        <f t="shared" si="35"/>
        <v>-728.69980844307224</v>
      </c>
      <c r="AM84" s="16">
        <f t="shared" si="36"/>
        <v>-723.46681615545504</v>
      </c>
      <c r="AN84">
        <f>-'Drilling Spec'!$C$29</f>
        <v>-720</v>
      </c>
      <c r="AO84">
        <f>-'Drilling Spec'!$C$27</f>
        <v>-624</v>
      </c>
      <c r="AP84">
        <f>-'Drilling Spec'!$C$28</f>
        <v>-688</v>
      </c>
      <c r="AQ84" t="e">
        <f t="shared" si="37"/>
        <v>#N/A</v>
      </c>
      <c r="AR84" t="e">
        <f>IF(X84=0,NA(),-'Drilling Spec'!$C$29*0.1)</f>
        <v>#N/A</v>
      </c>
      <c r="AS84" t="e">
        <f>IF(Y84=0,NA(),-'Drilling Spec'!$C$29*0.1)</f>
        <v>#N/A</v>
      </c>
      <c r="AT84" t="e">
        <f>IF(AB84=0,NA(),-'Drilling Spec'!$C$29*0.2)</f>
        <v>#N/A</v>
      </c>
      <c r="AU84" t="e">
        <f>IF(AC84=0,NA(),-'Drilling Spec'!$C$29*0.2)</f>
        <v>#N/A</v>
      </c>
      <c r="AV84" t="e">
        <f>IF(AH84=0,NA(),-'Drilling Spec'!$C$29*0.3)</f>
        <v>#N/A</v>
      </c>
      <c r="AW84" t="e">
        <f>IF(AI84=0,NA(),-'Drilling Spec'!$C$29*0.3)</f>
        <v>#N/A</v>
      </c>
      <c r="AX84" s="29">
        <f t="shared" si="38"/>
        <v>4.2669918699186962</v>
      </c>
      <c r="AY84" s="29">
        <f t="shared" si="39"/>
        <v>41.361355073122482</v>
      </c>
      <c r="AZ84" s="29">
        <f t="shared" si="43"/>
        <v>0</v>
      </c>
    </row>
    <row r="85" spans="1:52" x14ac:dyDescent="0.35">
      <c r="A85" s="28">
        <f>A84+1</f>
        <v>46055</v>
      </c>
      <c r="B85" t="str">
        <f t="shared" si="26"/>
        <v>Mon</v>
      </c>
      <c r="C85" s="10"/>
      <c r="D85" s="10"/>
      <c r="E85" s="4">
        <f t="shared" si="27"/>
        <v>0</v>
      </c>
      <c r="F85" s="4">
        <f t="shared" si="28"/>
        <v>824</v>
      </c>
      <c r="G85" s="4">
        <f t="shared" si="29"/>
        <v>0</v>
      </c>
      <c r="H85" s="15">
        <f>(SQRT(4*I84*I84*V*V + 'Drilling Spec'!$C$42*I84 + W*('Drilling Spec'!$C$43 + 2*l*V*(s*W + 2*V*G85/(1+e)) + 'Drilling Spec'!$C$44)) - 'Drilling Spec'!$C$45)/(2*V)</f>
        <v>728.69980844307224</v>
      </c>
      <c r="I85" s="23">
        <f>IF(AND(OR(I84=0,I84=""),F85=0),IF(F86=0,"",'Drilling Spec'!$C$26),H85)</f>
        <v>728.69980844307224</v>
      </c>
      <c r="J85" s="16">
        <f>MAX(0,I85-'Drilling Spec'!$C$30)</f>
        <v>648.69980844307224</v>
      </c>
      <c r="K85" s="18">
        <f>IFERROR(J85/'Drilling Spec'!$C$31,0)</f>
        <v>43.246653896204819</v>
      </c>
      <c r="L85" s="21">
        <f t="shared" si="30"/>
        <v>0</v>
      </c>
      <c r="M85" s="4">
        <f t="shared" si="40"/>
        <v>132</v>
      </c>
      <c r="N85" s="21">
        <f t="shared" si="31"/>
        <v>0</v>
      </c>
      <c r="O85" s="18">
        <f>(SQRT(4*O84*O84*vB*vB + 'Drilling Spec'!$C$48*O84 + WB*('Drilling Spec'!$C$49 + 2*lB*vB*(sB*WB + 2*vB*N85/(1+eB)) + 'Drilling Spec'!$C$50)) - 'Drilling Spec'!$C$51)/(2*vB)</f>
        <v>723.46681615545504</v>
      </c>
      <c r="P85" s="18">
        <f>IFERROR(((S85-'Drilling Spec'!$C$30)/'Drilling Spec'!$C$31)*'Drilling Spec'!$C$32,0)</f>
        <v>38.608008969327301</v>
      </c>
      <c r="Q85" s="18">
        <f t="shared" si="41"/>
        <v>0</v>
      </c>
      <c r="R85" s="18"/>
      <c r="S85" s="26">
        <f>IF(AND(OR(T84=0,T84=""),M85=0),IF(M86=0,"",'Drilling Spec'!$C$30),O85)</f>
        <v>723.46681615545504</v>
      </c>
      <c r="U85" s="15">
        <f>E85*'Drilling Spec'!$C$22 + L85*'Drilling Spec'!$C$23</f>
        <v>0</v>
      </c>
      <c r="V85" s="15">
        <f t="shared" si="42"/>
        <v>19.733008130081299</v>
      </c>
      <c r="W85" s="15">
        <f t="shared" si="32"/>
        <v>4.2669918699186962</v>
      </c>
      <c r="X85" s="10"/>
      <c r="Y85" s="30">
        <f>IF(W85&lt;U86,'Drilling Spec'!$C$35,0)</f>
        <v>0</v>
      </c>
      <c r="AA85" s="4">
        <f t="shared" si="46"/>
        <v>46</v>
      </c>
      <c r="AB85" s="10"/>
      <c r="AC85" s="30">
        <f>IF('04-07-25-Scen3-Good,24-16hr'!K86&gt;'04-07-25-Scen3-Good,24-16hr'!AA85,'Drilling Spec'!$C$36,)</f>
        <v>0</v>
      </c>
      <c r="AE85" s="18">
        <f>(I85-'Drilling Spec'!$C$26)/'Drilling Spec'!$C$38</f>
        <v>109.78330140717871</v>
      </c>
      <c r="AF85" s="18">
        <f t="shared" si="33"/>
        <v>0</v>
      </c>
      <c r="AG85" s="34">
        <f t="shared" si="34"/>
        <v>0</v>
      </c>
      <c r="AH85" s="10"/>
      <c r="AI85" s="26">
        <f>IF(C85="Camp Closed",AG85,IF(AG85&lt;'Drilling Spec'!$C$39,,'Drilling Spec'!$C$39))</f>
        <v>0</v>
      </c>
      <c r="AL85" s="16">
        <f t="shared" si="35"/>
        <v>-728.69980844307224</v>
      </c>
      <c r="AM85" s="16">
        <f t="shared" si="36"/>
        <v>-723.46681615545504</v>
      </c>
      <c r="AN85">
        <f>-'Drilling Spec'!$C$29</f>
        <v>-720</v>
      </c>
      <c r="AO85">
        <f>-'Drilling Spec'!$C$27</f>
        <v>-624</v>
      </c>
      <c r="AP85">
        <f>-'Drilling Spec'!$C$28</f>
        <v>-688</v>
      </c>
      <c r="AQ85" t="e">
        <f t="shared" si="37"/>
        <v>#N/A</v>
      </c>
      <c r="AR85" t="e">
        <f>IF(X85=0,NA(),-'Drilling Spec'!$C$29*0.1)</f>
        <v>#N/A</v>
      </c>
      <c r="AS85" t="e">
        <f>IF(Y85=0,NA(),-'Drilling Spec'!$C$29*0.1)</f>
        <v>#N/A</v>
      </c>
      <c r="AT85" t="e">
        <f>IF(AB85=0,NA(),-'Drilling Spec'!$C$29*0.2)</f>
        <v>#N/A</v>
      </c>
      <c r="AU85" t="e">
        <f>IF(AC85=0,NA(),-'Drilling Spec'!$C$29*0.2)</f>
        <v>#N/A</v>
      </c>
      <c r="AV85" t="e">
        <f>IF(AH85=0,NA(),-'Drilling Spec'!$C$29*0.3)</f>
        <v>#N/A</v>
      </c>
      <c r="AW85" t="e">
        <f>IF(AI85=0,NA(),-'Drilling Spec'!$C$29*0.3)</f>
        <v>#N/A</v>
      </c>
      <c r="AX85" s="29">
        <f t="shared" si="38"/>
        <v>4.2669918699186962</v>
      </c>
      <c r="AY85" s="29">
        <f t="shared" si="39"/>
        <v>41.361355073122482</v>
      </c>
      <c r="AZ85" s="29">
        <f t="shared" si="43"/>
        <v>0</v>
      </c>
    </row>
    <row r="86" spans="1:52" x14ac:dyDescent="0.35">
      <c r="A86" s="28">
        <f t="shared" ref="A86" si="47">A85+1</f>
        <v>46056</v>
      </c>
      <c r="B86" t="str">
        <f t="shared" si="26"/>
        <v>Tue</v>
      </c>
      <c r="C86" s="10"/>
      <c r="D86" s="10"/>
      <c r="E86" s="4">
        <f t="shared" si="27"/>
        <v>0</v>
      </c>
      <c r="F86" s="4">
        <f t="shared" si="28"/>
        <v>824</v>
      </c>
      <c r="G86" s="4">
        <f t="shared" si="29"/>
        <v>0</v>
      </c>
      <c r="H86" s="15">
        <f>(SQRT(4*I85*I85*V*V + 'Drilling Spec'!$C$42*I85 + W*('Drilling Spec'!$C$43 + 2*l*V*(s*W + 2*V*G86/(1+e)) + 'Drilling Spec'!$C$44)) - 'Drilling Spec'!$C$45)/(2*V)</f>
        <v>728.69980844307224</v>
      </c>
      <c r="I86" s="23">
        <f>IF(AND(OR(I85=0,I85=""),F86=0),IF(F87=0,"",'Drilling Spec'!$C$26),H86)</f>
        <v>728.69980844307224</v>
      </c>
      <c r="J86" s="16">
        <f>MAX(0,I86-'Drilling Spec'!$C$30)</f>
        <v>648.69980844307224</v>
      </c>
      <c r="K86" s="18">
        <f>IFERROR(J86/'Drilling Spec'!$C$31,0)</f>
        <v>43.246653896204819</v>
      </c>
      <c r="L86" s="21">
        <f t="shared" si="30"/>
        <v>0</v>
      </c>
      <c r="M86" s="4">
        <f t="shared" si="40"/>
        <v>132</v>
      </c>
      <c r="N86" s="21">
        <f t="shared" si="31"/>
        <v>0</v>
      </c>
      <c r="O86" s="18">
        <f>(SQRT(4*O85*O85*vB*vB + 'Drilling Spec'!$C$48*O85 + WB*('Drilling Spec'!$C$49 + 2*lB*vB*(sB*WB + 2*vB*N86/(1+eB)) + 'Drilling Spec'!$C$50)) - 'Drilling Spec'!$C$51)/(2*vB)</f>
        <v>723.46681615545504</v>
      </c>
      <c r="P86" s="18">
        <f>IFERROR(((S86-'Drilling Spec'!$C$30)/'Drilling Spec'!$C$31)*'Drilling Spec'!$C$32,0)</f>
        <v>38.608008969327301</v>
      </c>
      <c r="Q86" s="18">
        <f t="shared" si="41"/>
        <v>0</v>
      </c>
      <c r="R86" s="18"/>
      <c r="S86" s="26">
        <f>IF(AND(OR(T85=0,T85=""),M86=0),IF(M87=0,"",'Drilling Spec'!$C$30),O86)</f>
        <v>723.46681615545504</v>
      </c>
      <c r="U86" s="15">
        <f>E86*'Drilling Spec'!$C$22 + L86*'Drilling Spec'!$C$23</f>
        <v>0</v>
      </c>
      <c r="V86" s="15">
        <f t="shared" si="42"/>
        <v>19.733008130081299</v>
      </c>
      <c r="W86" s="15">
        <f t="shared" si="32"/>
        <v>4.2669918699186962</v>
      </c>
      <c r="X86" s="10"/>
      <c r="Y86" s="30">
        <f>IF(W86&lt;U87,'Drilling Spec'!$C$35,0)</f>
        <v>0</v>
      </c>
      <c r="AA86" s="4">
        <f t="shared" si="46"/>
        <v>46</v>
      </c>
      <c r="AB86" s="10"/>
      <c r="AC86" s="30">
        <f>IF('04-07-25-Scen3-Good,24-16hr'!K87&gt;'04-07-25-Scen3-Good,24-16hr'!AA86,'Drilling Spec'!$C$36,)</f>
        <v>0</v>
      </c>
      <c r="AE86" s="18">
        <f>(I86-'Drilling Spec'!$C$26)/'Drilling Spec'!$C$38</f>
        <v>109.78330140717871</v>
      </c>
      <c r="AF86" s="18">
        <f t="shared" si="33"/>
        <v>0</v>
      </c>
      <c r="AG86" s="34">
        <f t="shared" si="34"/>
        <v>0</v>
      </c>
      <c r="AH86" s="10"/>
      <c r="AI86" s="26">
        <f>IF(C86="Camp Closed",AG86,IF(AG86&lt;'Drilling Spec'!$C$39,,'Drilling Spec'!$C$39))</f>
        <v>0</v>
      </c>
      <c r="AL86" s="16">
        <f t="shared" si="35"/>
        <v>-728.69980844307224</v>
      </c>
      <c r="AM86" s="16">
        <f t="shared" si="36"/>
        <v>-723.46681615545504</v>
      </c>
      <c r="AN86">
        <f>-'Drilling Spec'!$C$29</f>
        <v>-720</v>
      </c>
      <c r="AO86">
        <f>-'Drilling Spec'!$C$27</f>
        <v>-624</v>
      </c>
      <c r="AP86">
        <f>-'Drilling Spec'!$C$28</f>
        <v>-688</v>
      </c>
      <c r="AQ86" t="e">
        <f t="shared" si="37"/>
        <v>#N/A</v>
      </c>
      <c r="AR86" t="e">
        <f>IF(X86=0,NA(),-'Drilling Spec'!$C$29*0.1)</f>
        <v>#N/A</v>
      </c>
      <c r="AS86" t="e">
        <f>IF(Y86=0,NA(),-'Drilling Spec'!$C$29*0.1)</f>
        <v>#N/A</v>
      </c>
      <c r="AT86" t="e">
        <f>IF(AB86=0,NA(),-'Drilling Spec'!$C$29*0.2)</f>
        <v>#N/A</v>
      </c>
      <c r="AU86" t="e">
        <f>IF(AC86=0,NA(),-'Drilling Spec'!$C$29*0.2)</f>
        <v>#N/A</v>
      </c>
      <c r="AV86" t="e">
        <f>IF(AH86=0,NA(),-'Drilling Spec'!$C$29*0.3)</f>
        <v>#N/A</v>
      </c>
      <c r="AW86" t="e">
        <f>IF(AI86=0,NA(),-'Drilling Spec'!$C$29*0.3)</f>
        <v>#N/A</v>
      </c>
      <c r="AX86" s="29">
        <f t="shared" si="38"/>
        <v>4.2669918699186962</v>
      </c>
      <c r="AY86" s="29">
        <f t="shared" si="39"/>
        <v>41.361355073122482</v>
      </c>
      <c r="AZ86" s="29">
        <f t="shared" si="43"/>
        <v>0</v>
      </c>
    </row>
    <row r="87" spans="1:52" x14ac:dyDescent="0.35">
      <c r="A87" s="28">
        <f>A86+1</f>
        <v>46057</v>
      </c>
      <c r="B87" t="str">
        <f t="shared" si="26"/>
        <v>Wed</v>
      </c>
      <c r="C87" s="10"/>
      <c r="D87" s="10"/>
      <c r="E87" s="4">
        <f t="shared" si="27"/>
        <v>0</v>
      </c>
      <c r="F87" s="4">
        <f t="shared" si="28"/>
        <v>824</v>
      </c>
      <c r="G87" s="4">
        <f t="shared" si="29"/>
        <v>0</v>
      </c>
      <c r="H87" s="15">
        <f>(SQRT(4*I86*I86*V*V + 'Drilling Spec'!$C$42*I86 + W*('Drilling Spec'!$C$43 + 2*l*V*(s*W + 2*V*G87/(1+e)) + 'Drilling Spec'!$C$44)) - 'Drilling Spec'!$C$45)/(2*V)</f>
        <v>728.69980844307224</v>
      </c>
      <c r="I87" s="23">
        <f>IF(AND(OR(I86=0,I86=""),F87=0),IF(F88=0,"",'Drilling Spec'!$C$26),H87)</f>
        <v>728.69980844307224</v>
      </c>
      <c r="J87" s="16">
        <f>MAX(0,I87-'Drilling Spec'!$C$30)</f>
        <v>648.69980844307224</v>
      </c>
      <c r="K87" s="18">
        <f>IFERROR(J87/'Drilling Spec'!$C$31,0)</f>
        <v>43.246653896204819</v>
      </c>
      <c r="L87" s="21">
        <f t="shared" si="30"/>
        <v>0</v>
      </c>
      <c r="M87" s="4">
        <f t="shared" si="40"/>
        <v>132</v>
      </c>
      <c r="N87" s="21">
        <f t="shared" si="31"/>
        <v>0</v>
      </c>
      <c r="O87" s="18">
        <f>(SQRT(4*O86*O86*vB*vB + 'Drilling Spec'!$C$48*O86 + WB*('Drilling Spec'!$C$49 + 2*lB*vB*(sB*WB + 2*vB*N87/(1+eB)) + 'Drilling Spec'!$C$50)) - 'Drilling Spec'!$C$51)/(2*vB)</f>
        <v>723.46681615545504</v>
      </c>
      <c r="P87" s="18">
        <f>IFERROR(((S87-'Drilling Spec'!$C$30)/'Drilling Spec'!$C$31)*'Drilling Spec'!$C$32,0)</f>
        <v>38.608008969327301</v>
      </c>
      <c r="Q87" s="18">
        <f t="shared" si="41"/>
        <v>0</v>
      </c>
      <c r="R87" s="18"/>
      <c r="S87" s="26">
        <f>IF(AND(OR(T86=0,T86=""),M87=0),IF(M88=0,"",'Drilling Spec'!$C$30),O87)</f>
        <v>723.46681615545504</v>
      </c>
      <c r="U87" s="15">
        <f>E87*'Drilling Spec'!$C$22 + L87*'Drilling Spec'!$C$23</f>
        <v>0</v>
      </c>
      <c r="V87" s="15">
        <f t="shared" si="42"/>
        <v>19.733008130081299</v>
      </c>
      <c r="W87" s="15">
        <f t="shared" si="32"/>
        <v>4.2669918699186962</v>
      </c>
      <c r="X87" s="10"/>
      <c r="Y87" s="30">
        <f>IF(W87&lt;U88,'Drilling Spec'!$C$35,0)</f>
        <v>0</v>
      </c>
      <c r="AA87" s="4">
        <f t="shared" si="46"/>
        <v>46</v>
      </c>
      <c r="AB87" s="10"/>
      <c r="AC87" s="30">
        <f>IF('04-07-25-Scen3-Good,24-16hr'!K88&gt;'04-07-25-Scen3-Good,24-16hr'!AA87,'Drilling Spec'!$C$36,)</f>
        <v>0</v>
      </c>
      <c r="AE87" s="18">
        <f>(I87-'Drilling Spec'!$C$26)/'Drilling Spec'!$C$38</f>
        <v>109.78330140717871</v>
      </c>
      <c r="AF87" s="18">
        <f t="shared" si="33"/>
        <v>0</v>
      </c>
      <c r="AG87" s="34">
        <f t="shared" si="34"/>
        <v>0</v>
      </c>
      <c r="AH87" s="10"/>
      <c r="AI87" s="26">
        <f>IF(C87="Camp Closed",AG87,IF(AG87&lt;'Drilling Spec'!$C$39,,'Drilling Spec'!$C$39))</f>
        <v>0</v>
      </c>
      <c r="AL87" s="16">
        <f t="shared" si="35"/>
        <v>-728.69980844307224</v>
      </c>
      <c r="AM87" s="16">
        <f t="shared" si="36"/>
        <v>-723.46681615545504</v>
      </c>
      <c r="AN87">
        <f>-'Drilling Spec'!$C$29</f>
        <v>-720</v>
      </c>
      <c r="AO87">
        <f>-'Drilling Spec'!$C$27</f>
        <v>-624</v>
      </c>
      <c r="AP87">
        <f>-'Drilling Spec'!$C$28</f>
        <v>-688</v>
      </c>
      <c r="AQ87" t="e">
        <f t="shared" si="37"/>
        <v>#N/A</v>
      </c>
      <c r="AR87" t="e">
        <f>IF(X87=0,NA(),-'Drilling Spec'!$C$29*0.1)</f>
        <v>#N/A</v>
      </c>
      <c r="AS87" t="e">
        <f>IF(Y87=0,NA(),-'Drilling Spec'!$C$29*0.1)</f>
        <v>#N/A</v>
      </c>
      <c r="AT87" t="e">
        <f>IF(AB87=0,NA(),-'Drilling Spec'!$C$29*0.2)</f>
        <v>#N/A</v>
      </c>
      <c r="AU87" t="e">
        <f>IF(AC87=0,NA(),-'Drilling Spec'!$C$29*0.2)</f>
        <v>#N/A</v>
      </c>
      <c r="AV87" t="e">
        <f>IF(AH87=0,NA(),-'Drilling Spec'!$C$29*0.3)</f>
        <v>#N/A</v>
      </c>
      <c r="AW87" t="e">
        <f>IF(AI87=0,NA(),-'Drilling Spec'!$C$29*0.3)</f>
        <v>#N/A</v>
      </c>
      <c r="AX87" s="29">
        <f t="shared" si="38"/>
        <v>4.2669918699186962</v>
      </c>
      <c r="AY87" s="29">
        <f t="shared" si="39"/>
        <v>41.361355073122482</v>
      </c>
      <c r="AZ87" s="29">
        <f t="shared" si="43"/>
        <v>0</v>
      </c>
    </row>
    <row r="88" spans="1:52" x14ac:dyDescent="0.35">
      <c r="A88" s="28">
        <f t="shared" ref="A88:A112" si="48">A87+1</f>
        <v>46058</v>
      </c>
      <c r="B88" t="str">
        <f t="shared" si="26"/>
        <v>Thu</v>
      </c>
      <c r="C88" s="10"/>
      <c r="D88" s="10"/>
      <c r="E88" s="4">
        <f t="shared" si="27"/>
        <v>0</v>
      </c>
      <c r="F88" s="4">
        <f t="shared" ref="F88:F112" si="49">(F87+E88)</f>
        <v>824</v>
      </c>
      <c r="G88" s="4">
        <f t="shared" si="29"/>
        <v>0</v>
      </c>
      <c r="H88" s="15">
        <f>(SQRT(4*I87*I87*V*V + 'Drilling Spec'!$C$42*I87 + W*('Drilling Spec'!$C$43 + 2*l*V*(s*W + 2*V*G88/(1+e)) + 'Drilling Spec'!$C$44)) - 'Drilling Spec'!$C$45)/(2*V)</f>
        <v>728.69980844307224</v>
      </c>
      <c r="I88" s="23">
        <f>IF(AND(OR(I87=0,I87=""),F88=0),IF(F89=0,"",'Drilling Spec'!$C$26),H88)</f>
        <v>728.69980844307224</v>
      </c>
      <c r="J88" s="16">
        <f>MAX(0,I88-'Drilling Spec'!$C$30)</f>
        <v>648.69980844307224</v>
      </c>
      <c r="K88" s="18">
        <f>IFERROR(J88/'Drilling Spec'!$C$31,0)</f>
        <v>43.246653896204819</v>
      </c>
      <c r="L88" s="21">
        <f t="shared" ref="L88:L112" si="50">IF(C88="Bailing",D88,0)</f>
        <v>0</v>
      </c>
      <c r="M88" s="4">
        <f t="shared" si="40"/>
        <v>132</v>
      </c>
      <c r="N88" s="21">
        <f t="shared" si="31"/>
        <v>0</v>
      </c>
      <c r="O88" s="18">
        <f>(SQRT(4*O87*O87*vB*vB + 'Drilling Spec'!$C$48*O87 + WB*('Drilling Spec'!$C$49 + 2*lB*vB*(sB*WB + 2*vB*N88/(1+eB)) + 'Drilling Spec'!$C$50)) - 'Drilling Spec'!$C$51)/(2*vB)</f>
        <v>723.46681615545504</v>
      </c>
      <c r="P88" s="18">
        <f>IFERROR(((S88-'Drilling Spec'!$C$30)/'Drilling Spec'!$C$31)*'Drilling Spec'!$C$32,0)</f>
        <v>38.608008969327301</v>
      </c>
      <c r="Q88" s="18">
        <f t="shared" si="41"/>
        <v>0</v>
      </c>
      <c r="R88" s="18"/>
      <c r="S88" s="26">
        <f>IF(AND(OR(T87=0,T87=""),M88=0),IF(M89=0,"",'Drilling Spec'!$C$30),O88)</f>
        <v>723.46681615545504</v>
      </c>
      <c r="U88" s="15">
        <f>E88*'Drilling Spec'!$C$22 + L88*'Drilling Spec'!$C$23</f>
        <v>0</v>
      </c>
      <c r="V88" s="15">
        <f t="shared" si="42"/>
        <v>19.733008130081299</v>
      </c>
      <c r="W88" s="15">
        <f t="shared" si="32"/>
        <v>4.2669918699186962</v>
      </c>
      <c r="X88" s="10"/>
      <c r="Y88" s="30">
        <f>IF(W88&lt;U89,'Drilling Spec'!$C$35,0)</f>
        <v>0</v>
      </c>
      <c r="AA88" s="4">
        <f t="shared" si="46"/>
        <v>46</v>
      </c>
      <c r="AB88" s="10"/>
      <c r="AC88" s="30">
        <f>IF('04-07-25-Scen3-Good,24-16hr'!K89&gt;'04-07-25-Scen3-Good,24-16hr'!AA88,'Drilling Spec'!$C$36,)</f>
        <v>0</v>
      </c>
      <c r="AE88" s="18">
        <f>(I88-'Drilling Spec'!$C$26)/'Drilling Spec'!$C$38</f>
        <v>109.78330140717871</v>
      </c>
      <c r="AF88" s="18">
        <f t="shared" si="33"/>
        <v>0</v>
      </c>
      <c r="AG88" s="34">
        <f t="shared" si="34"/>
        <v>0</v>
      </c>
      <c r="AH88" s="10"/>
      <c r="AI88" s="26">
        <f>IF(C88="Camp Closed",AG88,IF(AG88&lt;'Drilling Spec'!$C$39,,'Drilling Spec'!$C$39))</f>
        <v>0</v>
      </c>
      <c r="AL88" s="16">
        <f t="shared" ref="AL88:AL112" si="51">IFERROR(-I88,NA())</f>
        <v>-728.69980844307224</v>
      </c>
      <c r="AM88" s="16">
        <f t="shared" si="36"/>
        <v>-723.46681615545504</v>
      </c>
      <c r="AN88">
        <f>-'Drilling Spec'!$C$29</f>
        <v>-720</v>
      </c>
      <c r="AO88">
        <f>-'Drilling Spec'!$C$27</f>
        <v>-624</v>
      </c>
      <c r="AP88">
        <f>-'Drilling Spec'!$C$28</f>
        <v>-688</v>
      </c>
      <c r="AQ88" t="e">
        <f t="shared" si="37"/>
        <v>#N/A</v>
      </c>
      <c r="AR88" t="e">
        <f>IF(X88=0,NA(),-'Drilling Spec'!$C$29*0.1)</f>
        <v>#N/A</v>
      </c>
      <c r="AS88" t="e">
        <f>IF(Y88=0,NA(),-'Drilling Spec'!$C$29*0.1)</f>
        <v>#N/A</v>
      </c>
      <c r="AT88" t="e">
        <f>IF(AB88=0,NA(),-'Drilling Spec'!$C$29*0.2)</f>
        <v>#N/A</v>
      </c>
      <c r="AU88" t="e">
        <f>IF(AC88=0,NA(),-'Drilling Spec'!$C$29*0.2)</f>
        <v>#N/A</v>
      </c>
      <c r="AV88" t="e">
        <f>IF(AH88=0,NA(),-'Drilling Spec'!$C$29*0.3)</f>
        <v>#N/A</v>
      </c>
      <c r="AW88" t="e">
        <f>IF(AI88=0,NA(),-'Drilling Spec'!$C$29*0.3)</f>
        <v>#N/A</v>
      </c>
      <c r="AX88" s="29">
        <f t="shared" si="38"/>
        <v>4.2669918699186962</v>
      </c>
      <c r="AY88" s="29">
        <f t="shared" si="39"/>
        <v>41.361355073122482</v>
      </c>
      <c r="AZ88" s="29">
        <f t="shared" si="43"/>
        <v>0</v>
      </c>
    </row>
    <row r="89" spans="1:52" x14ac:dyDescent="0.35">
      <c r="A89" s="28">
        <f t="shared" si="48"/>
        <v>46059</v>
      </c>
      <c r="B89" t="str">
        <f t="shared" si="26"/>
        <v>Fri</v>
      </c>
      <c r="C89" s="10"/>
      <c r="D89" s="10"/>
      <c r="E89" s="4">
        <f t="shared" si="27"/>
        <v>0</v>
      </c>
      <c r="F89" s="4">
        <f t="shared" si="49"/>
        <v>824</v>
      </c>
      <c r="G89" s="4">
        <f t="shared" si="29"/>
        <v>0</v>
      </c>
      <c r="H89" s="15">
        <f>(SQRT(4*I88*I88*V*V + 'Drilling Spec'!$C$42*I88 + W*('Drilling Spec'!$C$43 + 2*l*V*(s*W + 2*V*G89/(1+e)) + 'Drilling Spec'!$C$44)) - 'Drilling Spec'!$C$45)/(2*V)</f>
        <v>728.69980844307224</v>
      </c>
      <c r="I89" s="23">
        <f>IF(AND(OR(I88=0,I88=""),F89=0),IF(F90=0,"",'Drilling Spec'!$C$26),H89)</f>
        <v>728.69980844307224</v>
      </c>
      <c r="J89" s="16">
        <f>MAX(0,I89-'Drilling Spec'!$C$30)</f>
        <v>648.69980844307224</v>
      </c>
      <c r="K89" s="18">
        <f>IFERROR(J89/'Drilling Spec'!$C$31,0)</f>
        <v>43.246653896204819</v>
      </c>
      <c r="L89" s="21">
        <f t="shared" si="50"/>
        <v>0</v>
      </c>
      <c r="M89" s="4">
        <f t="shared" si="40"/>
        <v>132</v>
      </c>
      <c r="N89" s="21">
        <f t="shared" si="31"/>
        <v>0</v>
      </c>
      <c r="O89" s="18">
        <f>(SQRT(4*O88*O88*vB*vB + 'Drilling Spec'!$C$48*O88 + WB*('Drilling Spec'!$C$49 + 2*lB*vB*(sB*WB + 2*vB*N89/(1+eB)) + 'Drilling Spec'!$C$50)) - 'Drilling Spec'!$C$51)/(2*vB)</f>
        <v>723.46681615545504</v>
      </c>
      <c r="P89" s="18">
        <f>IFERROR(((S89-'Drilling Spec'!$C$30)/'Drilling Spec'!$C$31)*'Drilling Spec'!$C$32,0)</f>
        <v>38.608008969327301</v>
      </c>
      <c r="Q89" s="18">
        <f t="shared" si="41"/>
        <v>0</v>
      </c>
      <c r="R89" s="18"/>
      <c r="S89" s="26">
        <f>IF(AND(OR(T88=0,T88=""),M89=0),IF(M90=0,"",'Drilling Spec'!$C$30),O89)</f>
        <v>723.46681615545504</v>
      </c>
      <c r="U89" s="15">
        <f>E89*'Drilling Spec'!$C$22 + L89*'Drilling Spec'!$C$23</f>
        <v>0</v>
      </c>
      <c r="V89" s="15">
        <f t="shared" si="42"/>
        <v>19.733008130081299</v>
      </c>
      <c r="W89" s="15">
        <f t="shared" si="32"/>
        <v>4.2669918699186962</v>
      </c>
      <c r="X89" s="10"/>
      <c r="Y89" s="30">
        <f>IF(W89&lt;U90,'Drilling Spec'!$C$35,0)</f>
        <v>0</v>
      </c>
      <c r="AA89" s="4">
        <f t="shared" si="46"/>
        <v>46</v>
      </c>
      <c r="AB89" s="10"/>
      <c r="AC89" s="30">
        <f>IF('04-07-25-Scen3-Good,24-16hr'!K90&gt;'04-07-25-Scen3-Good,24-16hr'!AA89,'Drilling Spec'!$C$36,)</f>
        <v>0</v>
      </c>
      <c r="AE89" s="18">
        <f>(I89-'Drilling Spec'!$C$26)/'Drilling Spec'!$C$38</f>
        <v>109.78330140717871</v>
      </c>
      <c r="AF89" s="18">
        <f t="shared" si="33"/>
        <v>0</v>
      </c>
      <c r="AG89" s="34">
        <f t="shared" si="34"/>
        <v>0</v>
      </c>
      <c r="AH89" s="10"/>
      <c r="AI89" s="26">
        <f>IF(C89="Camp Closed",AG89,IF(AG89&lt;'Drilling Spec'!$C$39,,'Drilling Spec'!$C$39))</f>
        <v>0</v>
      </c>
      <c r="AL89" s="16">
        <f t="shared" si="51"/>
        <v>-728.69980844307224</v>
      </c>
      <c r="AM89" s="16">
        <f t="shared" si="36"/>
        <v>-723.46681615545504</v>
      </c>
      <c r="AN89">
        <f>-'Drilling Spec'!$C$29</f>
        <v>-720</v>
      </c>
      <c r="AO89">
        <f>-'Drilling Spec'!$C$27</f>
        <v>-624</v>
      </c>
      <c r="AP89">
        <f>-'Drilling Spec'!$C$28</f>
        <v>-688</v>
      </c>
      <c r="AQ89" t="e">
        <f t="shared" si="37"/>
        <v>#N/A</v>
      </c>
      <c r="AR89" t="e">
        <f>IF(X89=0,NA(),-'Drilling Spec'!$C$29*0.1)</f>
        <v>#N/A</v>
      </c>
      <c r="AS89" t="e">
        <f>IF(Y89=0,NA(),-'Drilling Spec'!$C$29*0.1)</f>
        <v>#N/A</v>
      </c>
      <c r="AT89" t="e">
        <f>IF(AB89=0,NA(),-'Drilling Spec'!$C$29*0.2)</f>
        <v>#N/A</v>
      </c>
      <c r="AU89" t="e">
        <f>IF(AC89=0,NA(),-'Drilling Spec'!$C$29*0.2)</f>
        <v>#N/A</v>
      </c>
      <c r="AV89" t="e">
        <f>IF(AH89=0,NA(),-'Drilling Spec'!$C$29*0.3)</f>
        <v>#N/A</v>
      </c>
      <c r="AW89" t="e">
        <f>IF(AI89=0,NA(),-'Drilling Spec'!$C$29*0.3)</f>
        <v>#N/A</v>
      </c>
      <c r="AX89" s="29">
        <f t="shared" si="38"/>
        <v>4.2669918699186962</v>
      </c>
      <c r="AY89" s="29">
        <f t="shared" si="39"/>
        <v>41.361355073122482</v>
      </c>
      <c r="AZ89" s="29">
        <f t="shared" si="43"/>
        <v>0</v>
      </c>
    </row>
    <row r="90" spans="1:52" x14ac:dyDescent="0.35">
      <c r="A90" s="28">
        <f t="shared" si="48"/>
        <v>46060</v>
      </c>
      <c r="B90" t="str">
        <f t="shared" si="26"/>
        <v>Sat</v>
      </c>
      <c r="C90" s="10"/>
      <c r="D90" s="10"/>
      <c r="E90" s="4">
        <f t="shared" si="27"/>
        <v>0</v>
      </c>
      <c r="F90" s="4">
        <f t="shared" si="49"/>
        <v>824</v>
      </c>
      <c r="G90" s="4">
        <f t="shared" si="29"/>
        <v>0</v>
      </c>
      <c r="H90" s="15">
        <f>(SQRT(4*I89*I89*V*V + 'Drilling Spec'!$C$42*I89 + W*('Drilling Spec'!$C$43 + 2*l*V*(s*W + 2*V*G90/(1+e)) + 'Drilling Spec'!$C$44)) - 'Drilling Spec'!$C$45)/(2*V)</f>
        <v>728.69980844307224</v>
      </c>
      <c r="I90" s="23">
        <f>IF(AND(OR(I89=0,I89=""),F90=0),IF(F91=0,"",'Drilling Spec'!$C$26),H90)</f>
        <v>728.69980844307224</v>
      </c>
      <c r="J90" s="16">
        <f>MAX(0,I90-'Drilling Spec'!$C$30)</f>
        <v>648.69980844307224</v>
      </c>
      <c r="K90" s="18">
        <f>IFERROR(J90/'Drilling Spec'!$C$31,0)</f>
        <v>43.246653896204819</v>
      </c>
      <c r="L90" s="21">
        <f t="shared" si="50"/>
        <v>0</v>
      </c>
      <c r="M90" s="4">
        <f t="shared" si="40"/>
        <v>132</v>
      </c>
      <c r="N90" s="21">
        <f t="shared" si="31"/>
        <v>0</v>
      </c>
      <c r="O90" s="18">
        <f>(SQRT(4*O89*O89*vB*vB + 'Drilling Spec'!$C$48*O89 + WB*('Drilling Spec'!$C$49 + 2*lB*vB*(sB*WB + 2*vB*N90/(1+eB)) + 'Drilling Spec'!$C$50)) - 'Drilling Spec'!$C$51)/(2*vB)</f>
        <v>723.46681615545504</v>
      </c>
      <c r="P90" s="18">
        <f>IFERROR(((S90-'Drilling Spec'!$C$30)/'Drilling Spec'!$C$31)*'Drilling Spec'!$C$32,0)</f>
        <v>38.608008969327301</v>
      </c>
      <c r="Q90" s="18">
        <f t="shared" si="41"/>
        <v>0</v>
      </c>
      <c r="R90" s="18"/>
      <c r="S90" s="26">
        <f>IF(AND(OR(T89=0,T89=""),M90=0),IF(M91=0,"",'Drilling Spec'!$C$30),O90)</f>
        <v>723.46681615545504</v>
      </c>
      <c r="U90" s="15">
        <f>E90*'Drilling Spec'!$C$22 + L90*'Drilling Spec'!$C$23</f>
        <v>0</v>
      </c>
      <c r="V90" s="15">
        <f t="shared" si="42"/>
        <v>19.733008130081299</v>
      </c>
      <c r="W90" s="15">
        <f t="shared" si="32"/>
        <v>4.2669918699186962</v>
      </c>
      <c r="X90" s="10"/>
      <c r="Y90" s="30">
        <f>IF(W90&lt;U91,'Drilling Spec'!$C$35,0)</f>
        <v>0</v>
      </c>
      <c r="AA90" s="4">
        <f t="shared" si="46"/>
        <v>46</v>
      </c>
      <c r="AB90" s="10"/>
      <c r="AC90" s="30">
        <f>IF('04-07-25-Scen3-Good,24-16hr'!K91&gt;'04-07-25-Scen3-Good,24-16hr'!AA90,'Drilling Spec'!$C$36,)</f>
        <v>0</v>
      </c>
      <c r="AE90" s="18">
        <f>(I90-'Drilling Spec'!$C$26)/'Drilling Spec'!$C$38</f>
        <v>109.78330140717871</v>
      </c>
      <c r="AF90" s="18">
        <f t="shared" si="33"/>
        <v>0</v>
      </c>
      <c r="AG90" s="34">
        <f t="shared" si="34"/>
        <v>0</v>
      </c>
      <c r="AH90" s="10"/>
      <c r="AI90" s="26">
        <f>IF(C90="Camp Closed",AG90,IF(AG90&lt;'Drilling Spec'!$C$39,,'Drilling Spec'!$C$39))</f>
        <v>0</v>
      </c>
      <c r="AL90" s="16">
        <f t="shared" si="51"/>
        <v>-728.69980844307224</v>
      </c>
      <c r="AM90" s="16">
        <f t="shared" si="36"/>
        <v>-723.46681615545504</v>
      </c>
      <c r="AN90">
        <f>-'Drilling Spec'!$C$29</f>
        <v>-720</v>
      </c>
      <c r="AO90">
        <f>-'Drilling Spec'!$C$27</f>
        <v>-624</v>
      </c>
      <c r="AP90">
        <f>-'Drilling Spec'!$C$28</f>
        <v>-688</v>
      </c>
      <c r="AQ90" t="e">
        <f t="shared" si="37"/>
        <v>#N/A</v>
      </c>
      <c r="AR90" t="e">
        <f>IF(X90=0,NA(),-'Drilling Spec'!$C$29*0.1)</f>
        <v>#N/A</v>
      </c>
      <c r="AS90" t="e">
        <f>IF(Y90=0,NA(),-'Drilling Spec'!$C$29*0.1)</f>
        <v>#N/A</v>
      </c>
      <c r="AT90" t="e">
        <f>IF(AB90=0,NA(),-'Drilling Spec'!$C$29*0.2)</f>
        <v>#N/A</v>
      </c>
      <c r="AU90" t="e">
        <f>IF(AC90=0,NA(),-'Drilling Spec'!$C$29*0.2)</f>
        <v>#N/A</v>
      </c>
      <c r="AV90" t="e">
        <f>IF(AH90=0,NA(),-'Drilling Spec'!$C$29*0.3)</f>
        <v>#N/A</v>
      </c>
      <c r="AW90" t="e">
        <f>IF(AI90=0,NA(),-'Drilling Spec'!$C$29*0.3)</f>
        <v>#N/A</v>
      </c>
      <c r="AX90" s="29">
        <f t="shared" si="38"/>
        <v>4.2669918699186962</v>
      </c>
      <c r="AY90" s="29">
        <f t="shared" si="39"/>
        <v>41.361355073122482</v>
      </c>
      <c r="AZ90" s="29">
        <f t="shared" si="43"/>
        <v>0</v>
      </c>
    </row>
    <row r="91" spans="1:52" x14ac:dyDescent="0.35">
      <c r="A91" s="28">
        <f t="shared" si="48"/>
        <v>46061</v>
      </c>
      <c r="B91" t="str">
        <f t="shared" si="26"/>
        <v>Sun</v>
      </c>
      <c r="C91" s="10"/>
      <c r="D91" s="10"/>
      <c r="E91" s="4">
        <f t="shared" si="27"/>
        <v>0</v>
      </c>
      <c r="F91" s="4">
        <f t="shared" si="49"/>
        <v>824</v>
      </c>
      <c r="G91" s="4">
        <f t="shared" si="29"/>
        <v>0</v>
      </c>
      <c r="H91" s="15">
        <f>(SQRT(4*I90*I90*V*V + 'Drilling Spec'!$C$42*I90 + W*('Drilling Spec'!$C$43 + 2*l*V*(s*W + 2*V*G91/(1+e)) + 'Drilling Spec'!$C$44)) - 'Drilling Spec'!$C$45)/(2*V)</f>
        <v>728.69980844307224</v>
      </c>
      <c r="I91" s="23">
        <f>IF(AND(OR(I90=0,I90=""),F91=0),IF(F92=0,"",'Drilling Spec'!$C$26),H91)</f>
        <v>728.69980844307224</v>
      </c>
      <c r="J91" s="16">
        <f>MAX(0,I91-'Drilling Spec'!$C$30)</f>
        <v>648.69980844307224</v>
      </c>
      <c r="K91" s="18">
        <f>IFERROR(J91/'Drilling Spec'!$C$31,0)</f>
        <v>43.246653896204819</v>
      </c>
      <c r="L91" s="21">
        <f t="shared" si="50"/>
        <v>0</v>
      </c>
      <c r="M91" s="4">
        <f t="shared" si="40"/>
        <v>132</v>
      </c>
      <c r="N91" s="21">
        <f t="shared" si="31"/>
        <v>0</v>
      </c>
      <c r="O91" s="18">
        <f>(SQRT(4*O90*O90*vB*vB + 'Drilling Spec'!$C$48*O90 + WB*('Drilling Spec'!$C$49 + 2*lB*vB*(sB*WB + 2*vB*N91/(1+eB)) + 'Drilling Spec'!$C$50)) - 'Drilling Spec'!$C$51)/(2*vB)</f>
        <v>723.46681615545504</v>
      </c>
      <c r="P91" s="18">
        <f>IFERROR(((S91-'Drilling Spec'!$C$30)/'Drilling Spec'!$C$31)*'Drilling Spec'!$C$32,0)</f>
        <v>38.608008969327301</v>
      </c>
      <c r="Q91" s="18">
        <f t="shared" si="41"/>
        <v>0</v>
      </c>
      <c r="R91" s="18"/>
      <c r="S91" s="26">
        <f>IF(AND(OR(T90=0,T90=""),M91=0),IF(M92=0,"",'Drilling Spec'!$C$30),O91)</f>
        <v>723.46681615545504</v>
      </c>
      <c r="U91" s="15">
        <f>E91*'Drilling Spec'!$C$22 + L91*'Drilling Spec'!$C$23</f>
        <v>0</v>
      </c>
      <c r="V91" s="15">
        <f t="shared" si="42"/>
        <v>19.733008130081299</v>
      </c>
      <c r="W91" s="15">
        <f t="shared" si="32"/>
        <v>4.2669918699186962</v>
      </c>
      <c r="X91" s="10"/>
      <c r="Y91" s="30">
        <f>IF(W91&lt;U92,'Drilling Spec'!$C$35,0)</f>
        <v>0</v>
      </c>
      <c r="AA91" s="4">
        <f t="shared" si="46"/>
        <v>46</v>
      </c>
      <c r="AB91" s="10"/>
      <c r="AC91" s="30">
        <f>IF('04-07-25-Scen3-Good,24-16hr'!K92&gt;'04-07-25-Scen3-Good,24-16hr'!AA91,'Drilling Spec'!$C$36,)</f>
        <v>0</v>
      </c>
      <c r="AE91" s="18">
        <f>(I91-'Drilling Spec'!$C$26)/'Drilling Spec'!$C$38</f>
        <v>109.78330140717871</v>
      </c>
      <c r="AF91" s="18">
        <f t="shared" si="33"/>
        <v>0</v>
      </c>
      <c r="AG91" s="34">
        <f t="shared" si="34"/>
        <v>0</v>
      </c>
      <c r="AH91" s="10"/>
      <c r="AI91" s="26">
        <f>IF(C91="Camp Closed",AG91,IF(AG91&lt;'Drilling Spec'!$C$39,,'Drilling Spec'!$C$39))</f>
        <v>0</v>
      </c>
      <c r="AL91" s="16">
        <f t="shared" si="51"/>
        <v>-728.69980844307224</v>
      </c>
      <c r="AM91" s="16">
        <f t="shared" si="36"/>
        <v>-723.46681615545504</v>
      </c>
      <c r="AN91">
        <f>-'Drilling Spec'!$C$29</f>
        <v>-720</v>
      </c>
      <c r="AO91">
        <f>-'Drilling Spec'!$C$27</f>
        <v>-624</v>
      </c>
      <c r="AP91">
        <f>-'Drilling Spec'!$C$28</f>
        <v>-688</v>
      </c>
      <c r="AQ91" t="e">
        <f t="shared" si="37"/>
        <v>#N/A</v>
      </c>
      <c r="AR91" t="e">
        <f>IF(X91=0,NA(),-'Drilling Spec'!$C$29*0.1)</f>
        <v>#N/A</v>
      </c>
      <c r="AS91" t="e">
        <f>IF(Y91=0,NA(),-'Drilling Spec'!$C$29*0.1)</f>
        <v>#N/A</v>
      </c>
      <c r="AT91" t="e">
        <f>IF(AB91=0,NA(),-'Drilling Spec'!$C$29*0.2)</f>
        <v>#N/A</v>
      </c>
      <c r="AU91" t="e">
        <f>IF(AC91=0,NA(),-'Drilling Spec'!$C$29*0.2)</f>
        <v>#N/A</v>
      </c>
      <c r="AV91" t="e">
        <f>IF(AH91=0,NA(),-'Drilling Spec'!$C$29*0.3)</f>
        <v>#N/A</v>
      </c>
      <c r="AW91" t="e">
        <f>IF(AI91=0,NA(),-'Drilling Spec'!$C$29*0.3)</f>
        <v>#N/A</v>
      </c>
      <c r="AX91" s="29">
        <f t="shared" si="38"/>
        <v>4.2669918699186962</v>
      </c>
      <c r="AY91" s="29">
        <f t="shared" si="39"/>
        <v>41.361355073122482</v>
      </c>
      <c r="AZ91" s="29">
        <f t="shared" si="43"/>
        <v>0</v>
      </c>
    </row>
    <row r="92" spans="1:52" x14ac:dyDescent="0.35">
      <c r="A92" s="28">
        <f t="shared" si="48"/>
        <v>46062</v>
      </c>
      <c r="B92" t="str">
        <f t="shared" si="26"/>
        <v>Mon</v>
      </c>
      <c r="C92" s="10"/>
      <c r="D92" s="10"/>
      <c r="E92" s="4">
        <f t="shared" si="27"/>
        <v>0</v>
      </c>
      <c r="F92" s="4">
        <f t="shared" si="49"/>
        <v>824</v>
      </c>
      <c r="G92" s="4">
        <f t="shared" si="29"/>
        <v>0</v>
      </c>
      <c r="H92" s="15">
        <f>(SQRT(4*I91*I91*V*V + 'Drilling Spec'!$C$42*I91 + W*('Drilling Spec'!$C$43 + 2*l*V*(s*W + 2*V*G92/(1+e)) + 'Drilling Spec'!$C$44)) - 'Drilling Spec'!$C$45)/(2*V)</f>
        <v>728.69980844307224</v>
      </c>
      <c r="I92" s="23">
        <f>IF(AND(OR(I91=0,I91=""),F92=0),IF(F93=0,"",'Drilling Spec'!$C$26),H92)</f>
        <v>728.69980844307224</v>
      </c>
      <c r="J92" s="16">
        <f>MAX(0,I92-'Drilling Spec'!$C$30)</f>
        <v>648.69980844307224</v>
      </c>
      <c r="K92" s="18">
        <f>IFERROR(J92/'Drilling Spec'!$C$31,0)</f>
        <v>43.246653896204819</v>
      </c>
      <c r="L92" s="21">
        <f t="shared" si="50"/>
        <v>0</v>
      </c>
      <c r="M92" s="4">
        <f t="shared" si="40"/>
        <v>132</v>
      </c>
      <c r="N92" s="21">
        <f t="shared" si="31"/>
        <v>0</v>
      </c>
      <c r="O92" s="18">
        <f>(SQRT(4*O91*O91*vB*vB + 'Drilling Spec'!$C$48*O91 + WB*('Drilling Spec'!$C$49 + 2*lB*vB*(sB*WB + 2*vB*N92/(1+eB)) + 'Drilling Spec'!$C$50)) - 'Drilling Spec'!$C$51)/(2*vB)</f>
        <v>723.46681615545504</v>
      </c>
      <c r="P92" s="18">
        <f>IFERROR(((S92-'Drilling Spec'!$C$30)/'Drilling Spec'!$C$31)*'Drilling Spec'!$C$32,0)</f>
        <v>38.608008969327301</v>
      </c>
      <c r="Q92" s="18">
        <f t="shared" si="41"/>
        <v>0</v>
      </c>
      <c r="R92" s="18"/>
      <c r="S92" s="26">
        <f>IF(AND(OR(T91=0,T91=""),M92=0),IF(M93=0,"",'Drilling Spec'!$C$30),O92)</f>
        <v>723.46681615545504</v>
      </c>
      <c r="U92" s="15">
        <f>E92*'Drilling Spec'!$C$22 + L92*'Drilling Spec'!$C$23</f>
        <v>0</v>
      </c>
      <c r="V92" s="15">
        <f t="shared" si="42"/>
        <v>19.733008130081299</v>
      </c>
      <c r="W92" s="15">
        <f t="shared" si="32"/>
        <v>4.2669918699186962</v>
      </c>
      <c r="X92" s="10"/>
      <c r="Y92" s="30">
        <f>IF(W92&lt;U93,'Drilling Spec'!$C$35,0)</f>
        <v>0</v>
      </c>
      <c r="AA92" s="4">
        <f t="shared" si="46"/>
        <v>46</v>
      </c>
      <c r="AB92" s="10"/>
      <c r="AC92" s="30">
        <f>IF('04-07-25-Scen3-Good,24-16hr'!K93&gt;'04-07-25-Scen3-Good,24-16hr'!AA92,'Drilling Spec'!$C$36,)</f>
        <v>0</v>
      </c>
      <c r="AE92" s="18">
        <f>(I92-'Drilling Spec'!$C$26)/'Drilling Spec'!$C$38</f>
        <v>109.78330140717871</v>
      </c>
      <c r="AF92" s="18">
        <f t="shared" si="33"/>
        <v>0</v>
      </c>
      <c r="AG92" s="34">
        <f t="shared" si="34"/>
        <v>0</v>
      </c>
      <c r="AH92" s="10"/>
      <c r="AI92" s="26">
        <f>IF(C92="Camp Closed",AG92,IF(AG92&lt;'Drilling Spec'!$C$39,,'Drilling Spec'!$C$39))</f>
        <v>0</v>
      </c>
      <c r="AL92" s="16">
        <f t="shared" si="51"/>
        <v>-728.69980844307224</v>
      </c>
      <c r="AM92" s="16">
        <f t="shared" si="36"/>
        <v>-723.46681615545504</v>
      </c>
      <c r="AN92">
        <f>-'Drilling Spec'!$C$29</f>
        <v>-720</v>
      </c>
      <c r="AO92">
        <f>-'Drilling Spec'!$C$27</f>
        <v>-624</v>
      </c>
      <c r="AP92">
        <f>-'Drilling Spec'!$C$28</f>
        <v>-688</v>
      </c>
      <c r="AQ92" t="e">
        <f t="shared" si="37"/>
        <v>#N/A</v>
      </c>
      <c r="AR92" t="e">
        <f>IF(X92=0,NA(),-'Drilling Spec'!$C$29*0.1)</f>
        <v>#N/A</v>
      </c>
      <c r="AS92" t="e">
        <f>IF(Y92=0,NA(),-'Drilling Spec'!$C$29*0.1)</f>
        <v>#N/A</v>
      </c>
      <c r="AT92" t="e">
        <f>IF(AB92=0,NA(),-'Drilling Spec'!$C$29*0.2)</f>
        <v>#N/A</v>
      </c>
      <c r="AU92" t="e">
        <f>IF(AC92=0,NA(),-'Drilling Spec'!$C$29*0.2)</f>
        <v>#N/A</v>
      </c>
      <c r="AV92" t="e">
        <f>IF(AH92=0,NA(),-'Drilling Spec'!$C$29*0.3)</f>
        <v>#N/A</v>
      </c>
      <c r="AW92" t="e">
        <f>IF(AI92=0,NA(),-'Drilling Spec'!$C$29*0.3)</f>
        <v>#N/A</v>
      </c>
      <c r="AX92" s="29">
        <f t="shared" si="38"/>
        <v>4.2669918699186962</v>
      </c>
      <c r="AY92" s="29">
        <f t="shared" si="39"/>
        <v>41.361355073122482</v>
      </c>
      <c r="AZ92" s="29">
        <f t="shared" si="43"/>
        <v>0</v>
      </c>
    </row>
    <row r="93" spans="1:52" x14ac:dyDescent="0.35">
      <c r="A93" s="28">
        <f t="shared" si="48"/>
        <v>46063</v>
      </c>
      <c r="B93" t="str">
        <f t="shared" si="26"/>
        <v>Tue</v>
      </c>
      <c r="C93" s="10"/>
      <c r="D93" s="10"/>
      <c r="E93" s="4">
        <f t="shared" si="27"/>
        <v>0</v>
      </c>
      <c r="F93" s="4">
        <f t="shared" si="49"/>
        <v>824</v>
      </c>
      <c r="G93" s="4">
        <f t="shared" si="29"/>
        <v>0</v>
      </c>
      <c r="H93" s="15">
        <f>(SQRT(4*I92*I92*V*V + 'Drilling Spec'!$C$42*I92 + W*('Drilling Spec'!$C$43 + 2*l*V*(s*W + 2*V*G93/(1+e)) + 'Drilling Spec'!$C$44)) - 'Drilling Spec'!$C$45)/(2*V)</f>
        <v>728.69980844307224</v>
      </c>
      <c r="I93" s="23">
        <f>IF(AND(OR(I92=0,I92=""),F93=0),IF(F94=0,"",'Drilling Spec'!$C$26),H93)</f>
        <v>728.69980844307224</v>
      </c>
      <c r="J93" s="16">
        <f>MAX(0,I93-'Drilling Spec'!$C$30)</f>
        <v>648.69980844307224</v>
      </c>
      <c r="K93" s="18">
        <f>IFERROR(J93/'Drilling Spec'!$C$31,0)</f>
        <v>43.246653896204819</v>
      </c>
      <c r="L93" s="21">
        <f t="shared" si="50"/>
        <v>0</v>
      </c>
      <c r="M93" s="4">
        <f t="shared" si="40"/>
        <v>132</v>
      </c>
      <c r="N93" s="21">
        <f t="shared" si="31"/>
        <v>0</v>
      </c>
      <c r="O93" s="18">
        <f>(SQRT(4*O92*O92*vB*vB + 'Drilling Spec'!$C$48*O92 + WB*('Drilling Spec'!$C$49 + 2*lB*vB*(sB*WB + 2*vB*N93/(1+eB)) + 'Drilling Spec'!$C$50)) - 'Drilling Spec'!$C$51)/(2*vB)</f>
        <v>723.46681615545504</v>
      </c>
      <c r="P93" s="18">
        <f>IFERROR(((S93-'Drilling Spec'!$C$30)/'Drilling Spec'!$C$31)*'Drilling Spec'!$C$32,0)</f>
        <v>38.608008969327301</v>
      </c>
      <c r="Q93" s="18">
        <f t="shared" si="41"/>
        <v>0</v>
      </c>
      <c r="R93" s="18"/>
      <c r="S93" s="26">
        <f>IF(AND(OR(T92=0,T92=""),M93=0),IF(M94=0,"",'Drilling Spec'!$C$30),O93)</f>
        <v>723.46681615545504</v>
      </c>
      <c r="U93" s="15">
        <f>E93*'Drilling Spec'!$C$22 + L93*'Drilling Spec'!$C$23</f>
        <v>0</v>
      </c>
      <c r="V93" s="15">
        <f t="shared" si="42"/>
        <v>19.733008130081299</v>
      </c>
      <c r="W93" s="15">
        <f t="shared" si="32"/>
        <v>4.2669918699186962</v>
      </c>
      <c r="X93" s="10"/>
      <c r="Y93" s="30">
        <f>IF(W93&lt;U94,'Drilling Spec'!$C$35,0)</f>
        <v>0</v>
      </c>
      <c r="AA93" s="4">
        <f t="shared" si="46"/>
        <v>46</v>
      </c>
      <c r="AB93" s="10"/>
      <c r="AC93" s="30">
        <f>IF('04-07-25-Scen3-Good,24-16hr'!K94&gt;'04-07-25-Scen3-Good,24-16hr'!AA93,'Drilling Spec'!$C$36,)</f>
        <v>0</v>
      </c>
      <c r="AE93" s="18">
        <f>(I93-'Drilling Spec'!$C$26)/'Drilling Spec'!$C$38</f>
        <v>109.78330140717871</v>
      </c>
      <c r="AF93" s="18">
        <f t="shared" si="33"/>
        <v>0</v>
      </c>
      <c r="AG93" s="34">
        <f t="shared" si="34"/>
        <v>0</v>
      </c>
      <c r="AH93" s="10"/>
      <c r="AI93" s="26">
        <f>IF(C93="Camp Closed",AG93,IF(AG93&lt;'Drilling Spec'!$C$39,,'Drilling Spec'!$C$39))</f>
        <v>0</v>
      </c>
      <c r="AL93" s="16">
        <f t="shared" si="51"/>
        <v>-728.69980844307224</v>
      </c>
      <c r="AM93" s="16">
        <f t="shared" si="36"/>
        <v>-723.46681615545504</v>
      </c>
      <c r="AN93">
        <f>-'Drilling Spec'!$C$29</f>
        <v>-720</v>
      </c>
      <c r="AO93">
        <f>-'Drilling Spec'!$C$27</f>
        <v>-624</v>
      </c>
      <c r="AP93">
        <f>-'Drilling Spec'!$C$28</f>
        <v>-688</v>
      </c>
      <c r="AQ93" t="e">
        <f t="shared" si="37"/>
        <v>#N/A</v>
      </c>
      <c r="AR93" t="e">
        <f>IF(X93=0,NA(),-'Drilling Spec'!$C$29*0.1)</f>
        <v>#N/A</v>
      </c>
      <c r="AS93" t="e">
        <f>IF(Y93=0,NA(),-'Drilling Spec'!$C$29*0.1)</f>
        <v>#N/A</v>
      </c>
      <c r="AT93" t="e">
        <f>IF(AB93=0,NA(),-'Drilling Spec'!$C$29*0.2)</f>
        <v>#N/A</v>
      </c>
      <c r="AU93" t="e">
        <f>IF(AC93=0,NA(),-'Drilling Spec'!$C$29*0.2)</f>
        <v>#N/A</v>
      </c>
      <c r="AV93" t="e">
        <f>IF(AH93=0,NA(),-'Drilling Spec'!$C$29*0.3)</f>
        <v>#N/A</v>
      </c>
      <c r="AW93" t="e">
        <f>IF(AI93=0,NA(),-'Drilling Spec'!$C$29*0.3)</f>
        <v>#N/A</v>
      </c>
      <c r="AX93" s="29">
        <f t="shared" si="38"/>
        <v>4.2669918699186962</v>
      </c>
      <c r="AY93" s="29">
        <f t="shared" si="39"/>
        <v>41.361355073122482</v>
      </c>
      <c r="AZ93" s="29">
        <f t="shared" si="43"/>
        <v>0</v>
      </c>
    </row>
    <row r="94" spans="1:52" x14ac:dyDescent="0.35">
      <c r="A94" s="28">
        <f t="shared" si="48"/>
        <v>46064</v>
      </c>
      <c r="B94" t="str">
        <f t="shared" si="26"/>
        <v>Wed</v>
      </c>
      <c r="C94" s="10"/>
      <c r="D94" s="10"/>
      <c r="E94" s="4">
        <f t="shared" si="27"/>
        <v>0</v>
      </c>
      <c r="F94" s="4">
        <f t="shared" si="49"/>
        <v>824</v>
      </c>
      <c r="G94" s="4">
        <f t="shared" si="29"/>
        <v>0</v>
      </c>
      <c r="H94" s="15">
        <f>(SQRT(4*I93*I93*V*V + 'Drilling Spec'!$C$42*I93 + W*('Drilling Spec'!$C$43 + 2*l*V*(s*W + 2*V*G94/(1+e)) + 'Drilling Spec'!$C$44)) - 'Drilling Spec'!$C$45)/(2*V)</f>
        <v>728.69980844307224</v>
      </c>
      <c r="I94" s="23">
        <f>IF(AND(OR(I93=0,I93=""),F94=0),IF(F95=0,"",'Drilling Spec'!$C$26),H94)</f>
        <v>728.69980844307224</v>
      </c>
      <c r="J94" s="16">
        <f>MAX(0,I94-'Drilling Spec'!$C$30)</f>
        <v>648.69980844307224</v>
      </c>
      <c r="K94" s="18">
        <f>IFERROR(J94/'Drilling Spec'!$C$31,0)</f>
        <v>43.246653896204819</v>
      </c>
      <c r="L94" s="21">
        <f t="shared" si="50"/>
        <v>0</v>
      </c>
      <c r="M94" s="4">
        <f t="shared" si="40"/>
        <v>132</v>
      </c>
      <c r="N94" s="21">
        <f t="shared" si="31"/>
        <v>0</v>
      </c>
      <c r="O94" s="18">
        <f>(SQRT(4*O93*O93*vB*vB + 'Drilling Spec'!$C$48*O93 + WB*('Drilling Spec'!$C$49 + 2*lB*vB*(sB*WB + 2*vB*N94/(1+eB)) + 'Drilling Spec'!$C$50)) - 'Drilling Spec'!$C$51)/(2*vB)</f>
        <v>723.46681615545504</v>
      </c>
      <c r="P94" s="18">
        <f>IFERROR(((S94-'Drilling Spec'!$C$30)/'Drilling Spec'!$C$31)*'Drilling Spec'!$C$32,0)</f>
        <v>38.608008969327301</v>
      </c>
      <c r="Q94" s="18">
        <f t="shared" si="41"/>
        <v>0</v>
      </c>
      <c r="R94" s="18"/>
      <c r="S94" s="26">
        <f>IF(AND(OR(T93=0,T93=""),M94=0),IF(M95=0,"",'Drilling Spec'!$C$30),O94)</f>
        <v>723.46681615545504</v>
      </c>
      <c r="U94" s="15">
        <f>E94*'Drilling Spec'!$C$22 + L94*'Drilling Spec'!$C$23</f>
        <v>0</v>
      </c>
      <c r="V94" s="15">
        <f t="shared" si="42"/>
        <v>19.733008130081299</v>
      </c>
      <c r="W94" s="15">
        <f t="shared" si="32"/>
        <v>4.2669918699186962</v>
      </c>
      <c r="X94" s="10"/>
      <c r="Y94" s="30">
        <f>IF(W94&lt;U95,'Drilling Spec'!$C$35,0)</f>
        <v>0</v>
      </c>
      <c r="AA94" s="4">
        <f t="shared" si="46"/>
        <v>46</v>
      </c>
      <c r="AB94" s="10"/>
      <c r="AC94" s="30">
        <f>IF('04-07-25-Scen3-Good,24-16hr'!K95&gt;'04-07-25-Scen3-Good,24-16hr'!AA94,'Drilling Spec'!$C$36,)</f>
        <v>0</v>
      </c>
      <c r="AE94" s="18">
        <f>(I94-'Drilling Spec'!$C$26)/'Drilling Spec'!$C$38</f>
        <v>109.78330140717871</v>
      </c>
      <c r="AF94" s="18">
        <f t="shared" si="33"/>
        <v>0</v>
      </c>
      <c r="AG94" s="34">
        <f t="shared" si="34"/>
        <v>0</v>
      </c>
      <c r="AH94" s="10"/>
      <c r="AI94" s="26">
        <f>IF(C94="Camp Closed",AG94,IF(AG94&lt;'Drilling Spec'!$C$39,,'Drilling Spec'!$C$39))</f>
        <v>0</v>
      </c>
      <c r="AL94" s="16">
        <f t="shared" si="51"/>
        <v>-728.69980844307224</v>
      </c>
      <c r="AM94" s="16">
        <f t="shared" si="36"/>
        <v>-723.46681615545504</v>
      </c>
      <c r="AN94">
        <f>-'Drilling Spec'!$C$29</f>
        <v>-720</v>
      </c>
      <c r="AO94">
        <f>-'Drilling Spec'!$C$27</f>
        <v>-624</v>
      </c>
      <c r="AP94">
        <f>-'Drilling Spec'!$C$28</f>
        <v>-688</v>
      </c>
      <c r="AQ94" t="e">
        <f t="shared" si="37"/>
        <v>#N/A</v>
      </c>
      <c r="AR94" t="e">
        <f>IF(X94=0,NA(),-'Drilling Spec'!$C$29*0.1)</f>
        <v>#N/A</v>
      </c>
      <c r="AS94" t="e">
        <f>IF(Y94=0,NA(),-'Drilling Spec'!$C$29*0.1)</f>
        <v>#N/A</v>
      </c>
      <c r="AT94" t="e">
        <f>IF(AB94=0,NA(),-'Drilling Spec'!$C$29*0.2)</f>
        <v>#N/A</v>
      </c>
      <c r="AU94" t="e">
        <f>IF(AC94=0,NA(),-'Drilling Spec'!$C$29*0.2)</f>
        <v>#N/A</v>
      </c>
      <c r="AV94" t="e">
        <f>IF(AH94=0,NA(),-'Drilling Spec'!$C$29*0.3)</f>
        <v>#N/A</v>
      </c>
      <c r="AW94" t="e">
        <f>IF(AI94=0,NA(),-'Drilling Spec'!$C$29*0.3)</f>
        <v>#N/A</v>
      </c>
      <c r="AX94" s="29">
        <f t="shared" si="38"/>
        <v>4.2669918699186962</v>
      </c>
      <c r="AY94" s="29">
        <f t="shared" si="39"/>
        <v>41.361355073122482</v>
      </c>
      <c r="AZ94" s="29">
        <f t="shared" si="43"/>
        <v>0</v>
      </c>
    </row>
    <row r="95" spans="1:52" x14ac:dyDescent="0.35">
      <c r="A95" s="28">
        <f t="shared" si="48"/>
        <v>46065</v>
      </c>
      <c r="B95" t="str">
        <f t="shared" si="26"/>
        <v>Thu</v>
      </c>
      <c r="C95" s="10"/>
      <c r="D95" s="10"/>
      <c r="E95" s="4">
        <f t="shared" si="27"/>
        <v>0</v>
      </c>
      <c r="F95" s="4">
        <f t="shared" si="49"/>
        <v>824</v>
      </c>
      <c r="G95" s="4">
        <f t="shared" si="29"/>
        <v>0</v>
      </c>
      <c r="H95" s="15">
        <f>(SQRT(4*I94*I94*V*V + 'Drilling Spec'!$C$42*I94 + W*('Drilling Spec'!$C$43 + 2*l*V*(s*W + 2*V*G95/(1+e)) + 'Drilling Spec'!$C$44)) - 'Drilling Spec'!$C$45)/(2*V)</f>
        <v>728.69980844307224</v>
      </c>
      <c r="I95" s="23">
        <f>IF(AND(OR(I94=0,I94=""),F95=0),IF(F96=0,"",'Drilling Spec'!$C$26),H95)</f>
        <v>728.69980844307224</v>
      </c>
      <c r="J95" s="16">
        <f>MAX(0,I95-'Drilling Spec'!$C$30)</f>
        <v>648.69980844307224</v>
      </c>
      <c r="K95" s="18">
        <f>IFERROR(J95/'Drilling Spec'!$C$31,0)</f>
        <v>43.246653896204819</v>
      </c>
      <c r="L95" s="21">
        <f t="shared" si="50"/>
        <v>0</v>
      </c>
      <c r="M95" s="4">
        <f t="shared" si="40"/>
        <v>132</v>
      </c>
      <c r="N95" s="21">
        <f t="shared" si="31"/>
        <v>0</v>
      </c>
      <c r="O95" s="18">
        <f>(SQRT(4*O94*O94*vB*vB + 'Drilling Spec'!$C$48*O94 + WB*('Drilling Spec'!$C$49 + 2*lB*vB*(sB*WB + 2*vB*N95/(1+eB)) + 'Drilling Spec'!$C$50)) - 'Drilling Spec'!$C$51)/(2*vB)</f>
        <v>723.46681615545504</v>
      </c>
      <c r="P95" s="18">
        <f>IFERROR(((S95-'Drilling Spec'!$C$30)/'Drilling Spec'!$C$31)*'Drilling Spec'!$C$32,0)</f>
        <v>38.608008969327301</v>
      </c>
      <c r="Q95" s="18">
        <f t="shared" si="41"/>
        <v>0</v>
      </c>
      <c r="R95" s="18"/>
      <c r="S95" s="26">
        <f>IF(AND(OR(T94=0,T94=""),M95=0),IF(M96=0,"",'Drilling Spec'!$C$30),O95)</f>
        <v>723.46681615545504</v>
      </c>
      <c r="U95" s="15">
        <f>E95*'Drilling Spec'!$C$22 + L95*'Drilling Spec'!$C$23</f>
        <v>0</v>
      </c>
      <c r="V95" s="15">
        <f t="shared" si="42"/>
        <v>19.733008130081299</v>
      </c>
      <c r="W95" s="15">
        <f t="shared" si="32"/>
        <v>4.2669918699186962</v>
      </c>
      <c r="X95" s="10"/>
      <c r="Y95" s="30">
        <f>IF(W95&lt;U96,'Drilling Spec'!$C$35,0)</f>
        <v>0</v>
      </c>
      <c r="AA95" s="4">
        <f t="shared" si="46"/>
        <v>46</v>
      </c>
      <c r="AB95" s="10"/>
      <c r="AC95" s="30">
        <f>IF('04-07-25-Scen3-Good,24-16hr'!K96&gt;'04-07-25-Scen3-Good,24-16hr'!AA95,'Drilling Spec'!$C$36,)</f>
        <v>0</v>
      </c>
      <c r="AE95" s="18">
        <f>(I95-'Drilling Spec'!$C$26)/'Drilling Spec'!$C$38</f>
        <v>109.78330140717871</v>
      </c>
      <c r="AF95" s="18">
        <f t="shared" si="33"/>
        <v>0</v>
      </c>
      <c r="AG95" s="34">
        <f t="shared" si="34"/>
        <v>0</v>
      </c>
      <c r="AH95" s="10"/>
      <c r="AI95" s="26">
        <f>IF(C95="Camp Closed",AG95,IF(AG95&lt;'Drilling Spec'!$C$39,,'Drilling Spec'!$C$39))</f>
        <v>0</v>
      </c>
      <c r="AL95" s="16">
        <f t="shared" si="51"/>
        <v>-728.69980844307224</v>
      </c>
      <c r="AM95" s="16">
        <f t="shared" si="36"/>
        <v>-723.46681615545504</v>
      </c>
      <c r="AN95">
        <f>-'Drilling Spec'!$C$29</f>
        <v>-720</v>
      </c>
      <c r="AO95">
        <f>-'Drilling Spec'!$C$27</f>
        <v>-624</v>
      </c>
      <c r="AP95">
        <f>-'Drilling Spec'!$C$28</f>
        <v>-688</v>
      </c>
      <c r="AQ95" t="e">
        <f t="shared" si="37"/>
        <v>#N/A</v>
      </c>
      <c r="AR95" t="e">
        <f>IF(X95=0,NA(),-'Drilling Spec'!$C$29*0.1)</f>
        <v>#N/A</v>
      </c>
      <c r="AS95" t="e">
        <f>IF(Y95=0,NA(),-'Drilling Spec'!$C$29*0.1)</f>
        <v>#N/A</v>
      </c>
      <c r="AT95" t="e">
        <f>IF(AB95=0,NA(),-'Drilling Spec'!$C$29*0.2)</f>
        <v>#N/A</v>
      </c>
      <c r="AU95" t="e">
        <f>IF(AC95=0,NA(),-'Drilling Spec'!$C$29*0.2)</f>
        <v>#N/A</v>
      </c>
      <c r="AV95" t="e">
        <f>IF(AH95=0,NA(),-'Drilling Spec'!$C$29*0.3)</f>
        <v>#N/A</v>
      </c>
      <c r="AW95" t="e">
        <f>IF(AI95=0,NA(),-'Drilling Spec'!$C$29*0.3)</f>
        <v>#N/A</v>
      </c>
      <c r="AX95" s="29">
        <f t="shared" si="38"/>
        <v>4.2669918699186962</v>
      </c>
      <c r="AY95" s="29">
        <f t="shared" si="39"/>
        <v>41.361355073122482</v>
      </c>
      <c r="AZ95" s="29">
        <f t="shared" si="43"/>
        <v>0</v>
      </c>
    </row>
    <row r="96" spans="1:52" x14ac:dyDescent="0.35">
      <c r="A96" s="28">
        <f t="shared" si="48"/>
        <v>46066</v>
      </c>
      <c r="B96" t="str">
        <f t="shared" si="26"/>
        <v>Fri</v>
      </c>
      <c r="C96" s="10"/>
      <c r="D96" s="10"/>
      <c r="E96" s="4">
        <f t="shared" si="27"/>
        <v>0</v>
      </c>
      <c r="F96" s="4">
        <f t="shared" si="49"/>
        <v>824</v>
      </c>
      <c r="G96" s="4">
        <f t="shared" si="29"/>
        <v>0</v>
      </c>
      <c r="H96" s="15">
        <f>(SQRT(4*I95*I95*V*V + 'Drilling Spec'!$C$42*I95 + W*('Drilling Spec'!$C$43 + 2*l*V*(s*W + 2*V*G96/(1+e)) + 'Drilling Spec'!$C$44)) - 'Drilling Spec'!$C$45)/(2*V)</f>
        <v>728.69980844307224</v>
      </c>
      <c r="I96" s="23">
        <f>IF(AND(OR(I95=0,I95=""),F96=0),IF(F97=0,"",'Drilling Spec'!$C$26),H96)</f>
        <v>728.69980844307224</v>
      </c>
      <c r="J96" s="16">
        <f>MAX(0,I96-'Drilling Spec'!$C$30)</f>
        <v>648.69980844307224</v>
      </c>
      <c r="K96" s="18">
        <f>IFERROR(J96/'Drilling Spec'!$C$31,0)</f>
        <v>43.246653896204819</v>
      </c>
      <c r="L96" s="21">
        <f t="shared" si="50"/>
        <v>0</v>
      </c>
      <c r="M96" s="4">
        <f t="shared" si="40"/>
        <v>132</v>
      </c>
      <c r="N96" s="21">
        <f t="shared" si="31"/>
        <v>0</v>
      </c>
      <c r="O96" s="18">
        <f>(SQRT(4*O95*O95*vB*vB + 'Drilling Spec'!$C$48*O95 + WB*('Drilling Spec'!$C$49 + 2*lB*vB*(sB*WB + 2*vB*N96/(1+eB)) + 'Drilling Spec'!$C$50)) - 'Drilling Spec'!$C$51)/(2*vB)</f>
        <v>723.46681615545504</v>
      </c>
      <c r="P96" s="18">
        <f>IFERROR(((S96-'Drilling Spec'!$C$30)/'Drilling Spec'!$C$31)*'Drilling Spec'!$C$32,0)</f>
        <v>38.608008969327301</v>
      </c>
      <c r="Q96" s="18">
        <f t="shared" si="41"/>
        <v>0</v>
      </c>
      <c r="R96" s="18"/>
      <c r="S96" s="26">
        <f>IF(AND(OR(T95=0,T95=""),M96=0),IF(M97=0,"",'Drilling Spec'!$C$30),O96)</f>
        <v>723.46681615545504</v>
      </c>
      <c r="U96" s="15">
        <f>E96*'Drilling Spec'!$C$22 + L96*'Drilling Spec'!$C$23</f>
        <v>0</v>
      </c>
      <c r="V96" s="15">
        <f t="shared" si="42"/>
        <v>19.733008130081299</v>
      </c>
      <c r="W96" s="15">
        <f t="shared" si="32"/>
        <v>4.2669918699186962</v>
      </c>
      <c r="X96" s="10"/>
      <c r="Y96" s="30">
        <f>IF(W96&lt;U97,'Drilling Spec'!$C$35,0)</f>
        <v>0</v>
      </c>
      <c r="AA96" s="4">
        <f t="shared" si="46"/>
        <v>46</v>
      </c>
      <c r="AB96" s="10"/>
      <c r="AC96" s="30">
        <f>IF('04-07-25-Scen3-Good,24-16hr'!K97&gt;'04-07-25-Scen3-Good,24-16hr'!AA96,'Drilling Spec'!$C$36,)</f>
        <v>0</v>
      </c>
      <c r="AE96" s="18">
        <f>(I96-'Drilling Spec'!$C$26)/'Drilling Spec'!$C$38</f>
        <v>109.78330140717871</v>
      </c>
      <c r="AF96" s="18">
        <f t="shared" si="33"/>
        <v>0</v>
      </c>
      <c r="AG96" s="34">
        <f t="shared" si="34"/>
        <v>0</v>
      </c>
      <c r="AH96" s="10"/>
      <c r="AI96" s="26">
        <f>IF(C96="Camp Closed",AG96,IF(AG96&lt;'Drilling Spec'!$C$39,,'Drilling Spec'!$C$39))</f>
        <v>0</v>
      </c>
      <c r="AL96" s="16">
        <f t="shared" si="51"/>
        <v>-728.69980844307224</v>
      </c>
      <c r="AM96" s="16">
        <f t="shared" si="36"/>
        <v>-723.46681615545504</v>
      </c>
      <c r="AN96">
        <f>-'Drilling Spec'!$C$29</f>
        <v>-720</v>
      </c>
      <c r="AO96">
        <f>-'Drilling Spec'!$C$27</f>
        <v>-624</v>
      </c>
      <c r="AP96">
        <f>-'Drilling Spec'!$C$28</f>
        <v>-688</v>
      </c>
      <c r="AQ96" t="e">
        <f t="shared" si="37"/>
        <v>#N/A</v>
      </c>
      <c r="AR96" t="e">
        <f>IF(X96=0,NA(),-'Drilling Spec'!$C$29*0.1)</f>
        <v>#N/A</v>
      </c>
      <c r="AS96" t="e">
        <f>IF(Y96=0,NA(),-'Drilling Spec'!$C$29*0.1)</f>
        <v>#N/A</v>
      </c>
      <c r="AT96" t="e">
        <f>IF(AB96=0,NA(),-'Drilling Spec'!$C$29*0.2)</f>
        <v>#N/A</v>
      </c>
      <c r="AU96" t="e">
        <f>IF(AC96=0,NA(),-'Drilling Spec'!$C$29*0.2)</f>
        <v>#N/A</v>
      </c>
      <c r="AV96" t="e">
        <f>IF(AH96=0,NA(),-'Drilling Spec'!$C$29*0.3)</f>
        <v>#N/A</v>
      </c>
      <c r="AW96" t="e">
        <f>IF(AI96=0,NA(),-'Drilling Spec'!$C$29*0.3)</f>
        <v>#N/A</v>
      </c>
      <c r="AX96" s="29">
        <f t="shared" si="38"/>
        <v>4.2669918699186962</v>
      </c>
      <c r="AY96" s="29">
        <f t="shared" si="39"/>
        <v>41.361355073122482</v>
      </c>
      <c r="AZ96" s="29">
        <f t="shared" si="43"/>
        <v>0</v>
      </c>
    </row>
    <row r="97" spans="1:52" x14ac:dyDescent="0.35">
      <c r="A97" s="28">
        <f t="shared" si="48"/>
        <v>46067</v>
      </c>
      <c r="B97" t="str">
        <f t="shared" si="26"/>
        <v>Sat</v>
      </c>
      <c r="C97" s="10"/>
      <c r="D97" s="10"/>
      <c r="E97" s="4">
        <f t="shared" si="27"/>
        <v>0</v>
      </c>
      <c r="F97" s="4">
        <f t="shared" si="49"/>
        <v>824</v>
      </c>
      <c r="G97" s="4">
        <f t="shared" si="29"/>
        <v>0</v>
      </c>
      <c r="H97" s="15">
        <f>(SQRT(4*I96*I96*V*V + 'Drilling Spec'!$C$42*I96 + W*('Drilling Spec'!$C$43 + 2*l*V*(s*W + 2*V*G97/(1+e)) + 'Drilling Spec'!$C$44)) - 'Drilling Spec'!$C$45)/(2*V)</f>
        <v>728.69980844307224</v>
      </c>
      <c r="I97" s="23">
        <f>IF(AND(OR(I96=0,I96=""),F97=0),IF(F98=0,"",'Drilling Spec'!$C$26),H97)</f>
        <v>728.69980844307224</v>
      </c>
      <c r="J97" s="16">
        <f>MAX(0,I97-'Drilling Spec'!$C$30)</f>
        <v>648.69980844307224</v>
      </c>
      <c r="K97" s="18">
        <f>IFERROR(J97/'Drilling Spec'!$C$31,0)</f>
        <v>43.246653896204819</v>
      </c>
      <c r="L97" s="21">
        <f t="shared" si="50"/>
        <v>0</v>
      </c>
      <c r="M97" s="4">
        <f t="shared" si="40"/>
        <v>132</v>
      </c>
      <c r="N97" s="21">
        <f t="shared" si="31"/>
        <v>0</v>
      </c>
      <c r="O97" s="18">
        <f>(SQRT(4*O96*O96*vB*vB + 'Drilling Spec'!$C$48*O96 + WB*('Drilling Spec'!$C$49 + 2*lB*vB*(sB*WB + 2*vB*N97/(1+eB)) + 'Drilling Spec'!$C$50)) - 'Drilling Spec'!$C$51)/(2*vB)</f>
        <v>723.46681615545504</v>
      </c>
      <c r="P97" s="18">
        <f>IFERROR(((S97-'Drilling Spec'!$C$30)/'Drilling Spec'!$C$31)*'Drilling Spec'!$C$32,0)</f>
        <v>38.608008969327301</v>
      </c>
      <c r="Q97" s="18">
        <f t="shared" si="41"/>
        <v>0</v>
      </c>
      <c r="R97" s="18"/>
      <c r="S97" s="26">
        <f>IF(AND(OR(T96=0,T96=""),M97=0),IF(M98=0,"",'Drilling Spec'!$C$30),O97)</f>
        <v>723.46681615545504</v>
      </c>
      <c r="U97" s="15">
        <f>E97*'Drilling Spec'!$C$22 + L97*'Drilling Spec'!$C$23</f>
        <v>0</v>
      </c>
      <c r="V97" s="15">
        <f t="shared" si="42"/>
        <v>19.733008130081299</v>
      </c>
      <c r="W97" s="15">
        <f t="shared" si="32"/>
        <v>4.2669918699186962</v>
      </c>
      <c r="X97" s="10"/>
      <c r="Y97" s="30">
        <f>IF(W97&lt;U98,'Drilling Spec'!$C$35,0)</f>
        <v>0</v>
      </c>
      <c r="AA97" s="4">
        <f t="shared" si="46"/>
        <v>46</v>
      </c>
      <c r="AB97" s="10"/>
      <c r="AC97" s="30">
        <f>IF('04-07-25-Scen3-Good,24-16hr'!K98&gt;'04-07-25-Scen3-Good,24-16hr'!AA97,'Drilling Spec'!$C$36,)</f>
        <v>0</v>
      </c>
      <c r="AE97" s="18">
        <f>(I97-'Drilling Spec'!$C$26)/'Drilling Spec'!$C$38</f>
        <v>109.78330140717871</v>
      </c>
      <c r="AF97" s="18">
        <f t="shared" si="33"/>
        <v>0</v>
      </c>
      <c r="AG97" s="34">
        <f t="shared" si="34"/>
        <v>0</v>
      </c>
      <c r="AH97" s="10"/>
      <c r="AI97" s="26">
        <f>IF(C97="Camp Closed",AG97,IF(AG97&lt;'Drilling Spec'!$C$39,,'Drilling Spec'!$C$39))</f>
        <v>0</v>
      </c>
      <c r="AL97" s="16">
        <f t="shared" si="51"/>
        <v>-728.69980844307224</v>
      </c>
      <c r="AM97" s="16">
        <f t="shared" si="36"/>
        <v>-723.46681615545504</v>
      </c>
      <c r="AN97">
        <f>-'Drilling Spec'!$C$29</f>
        <v>-720</v>
      </c>
      <c r="AO97">
        <f>-'Drilling Spec'!$C$27</f>
        <v>-624</v>
      </c>
      <c r="AP97">
        <f>-'Drilling Spec'!$C$28</f>
        <v>-688</v>
      </c>
      <c r="AQ97" t="e">
        <f t="shared" si="37"/>
        <v>#N/A</v>
      </c>
      <c r="AR97" t="e">
        <f>IF(X97=0,NA(),-'Drilling Spec'!$C$29*0.1)</f>
        <v>#N/A</v>
      </c>
      <c r="AS97" t="e">
        <f>IF(Y97=0,NA(),-'Drilling Spec'!$C$29*0.1)</f>
        <v>#N/A</v>
      </c>
      <c r="AT97" t="e">
        <f>IF(AB97=0,NA(),-'Drilling Spec'!$C$29*0.2)</f>
        <v>#N/A</v>
      </c>
      <c r="AU97" t="e">
        <f>IF(AC97=0,NA(),-'Drilling Spec'!$C$29*0.2)</f>
        <v>#N/A</v>
      </c>
      <c r="AV97" t="e">
        <f>IF(AH97=0,NA(),-'Drilling Spec'!$C$29*0.3)</f>
        <v>#N/A</v>
      </c>
      <c r="AW97" t="e">
        <f>IF(AI97=0,NA(),-'Drilling Spec'!$C$29*0.3)</f>
        <v>#N/A</v>
      </c>
      <c r="AX97" s="29">
        <f t="shared" si="38"/>
        <v>4.2669918699186962</v>
      </c>
      <c r="AY97" s="29">
        <f t="shared" si="39"/>
        <v>41.361355073122482</v>
      </c>
      <c r="AZ97" s="29">
        <f t="shared" si="43"/>
        <v>0</v>
      </c>
    </row>
    <row r="98" spans="1:52" x14ac:dyDescent="0.35">
      <c r="A98" s="28">
        <f t="shared" si="48"/>
        <v>46068</v>
      </c>
      <c r="B98" t="str">
        <f t="shared" si="26"/>
        <v>Sun</v>
      </c>
      <c r="C98" s="10"/>
      <c r="D98" s="10"/>
      <c r="E98" s="4">
        <f t="shared" si="27"/>
        <v>0</v>
      </c>
      <c r="F98" s="4">
        <f t="shared" si="49"/>
        <v>824</v>
      </c>
      <c r="G98" s="4">
        <f t="shared" si="29"/>
        <v>0</v>
      </c>
      <c r="H98" s="15">
        <f>(SQRT(4*I97*I97*V*V + 'Drilling Spec'!$C$42*I97 + W*('Drilling Spec'!$C$43 + 2*l*V*(s*W + 2*V*G98/(1+e)) + 'Drilling Spec'!$C$44)) - 'Drilling Spec'!$C$45)/(2*V)</f>
        <v>728.69980844307224</v>
      </c>
      <c r="I98" s="23">
        <f>IF(AND(OR(I97=0,I97=""),F98=0),IF(F99=0,"",'Drilling Spec'!$C$26),H98)</f>
        <v>728.69980844307224</v>
      </c>
      <c r="J98" s="16">
        <f>MAX(0,I98-'Drilling Spec'!$C$30)</f>
        <v>648.69980844307224</v>
      </c>
      <c r="K98" s="18">
        <f>IFERROR(J98/'Drilling Spec'!$C$31,0)</f>
        <v>43.246653896204819</v>
      </c>
      <c r="L98" s="21">
        <f t="shared" si="50"/>
        <v>0</v>
      </c>
      <c r="M98" s="4">
        <f t="shared" si="40"/>
        <v>132</v>
      </c>
      <c r="N98" s="21">
        <f t="shared" si="31"/>
        <v>0</v>
      </c>
      <c r="O98" s="18">
        <f>(SQRT(4*O97*O97*vB*vB + 'Drilling Spec'!$C$48*O97 + WB*('Drilling Spec'!$C$49 + 2*lB*vB*(sB*WB + 2*vB*N98/(1+eB)) + 'Drilling Spec'!$C$50)) - 'Drilling Spec'!$C$51)/(2*vB)</f>
        <v>723.46681615545504</v>
      </c>
      <c r="P98" s="18">
        <f>IFERROR(((S98-'Drilling Spec'!$C$30)/'Drilling Spec'!$C$31)*'Drilling Spec'!$C$32,0)</f>
        <v>38.608008969327301</v>
      </c>
      <c r="Q98" s="18">
        <f t="shared" si="41"/>
        <v>0</v>
      </c>
      <c r="R98" s="18"/>
      <c r="S98" s="26">
        <f>IF(AND(OR(T97=0,T97=""),M98=0),IF(M99=0,"",'Drilling Spec'!$C$30),O98)</f>
        <v>723.46681615545504</v>
      </c>
      <c r="U98" s="15">
        <f>E98*'Drilling Spec'!$C$22 + L98*'Drilling Spec'!$C$23</f>
        <v>0</v>
      </c>
      <c r="V98" s="15">
        <f t="shared" si="42"/>
        <v>19.733008130081299</v>
      </c>
      <c r="W98" s="15">
        <f t="shared" si="32"/>
        <v>4.2669918699186962</v>
      </c>
      <c r="X98" s="10"/>
      <c r="Y98" s="30">
        <f>IF(W98&lt;U99,'Drilling Spec'!$C$35,0)</f>
        <v>0</v>
      </c>
      <c r="AA98" s="4">
        <f t="shared" si="46"/>
        <v>46</v>
      </c>
      <c r="AB98" s="10"/>
      <c r="AC98" s="30">
        <f>IF('04-07-25-Scen3-Good,24-16hr'!K99&gt;'04-07-25-Scen3-Good,24-16hr'!AA98,'Drilling Spec'!$C$36,)</f>
        <v>0</v>
      </c>
      <c r="AE98" s="18">
        <f>(I98-'Drilling Spec'!$C$26)/'Drilling Spec'!$C$38</f>
        <v>109.78330140717871</v>
      </c>
      <c r="AF98" s="18">
        <f t="shared" si="33"/>
        <v>0</v>
      </c>
      <c r="AG98" s="34">
        <f t="shared" si="34"/>
        <v>0</v>
      </c>
      <c r="AH98" s="10"/>
      <c r="AI98" s="26">
        <f>IF(C98="Camp Closed",AG98,IF(AG98&lt;'Drilling Spec'!$C$39,,'Drilling Spec'!$C$39))</f>
        <v>0</v>
      </c>
      <c r="AL98" s="16">
        <f t="shared" si="51"/>
        <v>-728.69980844307224</v>
      </c>
      <c r="AM98" s="16">
        <f t="shared" si="36"/>
        <v>-723.46681615545504</v>
      </c>
      <c r="AN98">
        <f>-'Drilling Spec'!$C$29</f>
        <v>-720</v>
      </c>
      <c r="AO98">
        <f>-'Drilling Spec'!$C$27</f>
        <v>-624</v>
      </c>
      <c r="AP98">
        <f>-'Drilling Spec'!$C$28</f>
        <v>-688</v>
      </c>
      <c r="AQ98" t="e">
        <f t="shared" si="37"/>
        <v>#N/A</v>
      </c>
      <c r="AR98" t="e">
        <f>IF(X98=0,NA(),-'Drilling Spec'!$C$29*0.1)</f>
        <v>#N/A</v>
      </c>
      <c r="AS98" t="e">
        <f>IF(Y98=0,NA(),-'Drilling Spec'!$C$29*0.1)</f>
        <v>#N/A</v>
      </c>
      <c r="AT98" t="e">
        <f>IF(AB98=0,NA(),-'Drilling Spec'!$C$29*0.2)</f>
        <v>#N/A</v>
      </c>
      <c r="AU98" t="e">
        <f>IF(AC98=0,NA(),-'Drilling Spec'!$C$29*0.2)</f>
        <v>#N/A</v>
      </c>
      <c r="AV98" t="e">
        <f>IF(AH98=0,NA(),-'Drilling Spec'!$C$29*0.3)</f>
        <v>#N/A</v>
      </c>
      <c r="AW98" t="e">
        <f>IF(AI98=0,NA(),-'Drilling Spec'!$C$29*0.3)</f>
        <v>#N/A</v>
      </c>
      <c r="AX98" s="29">
        <f t="shared" si="38"/>
        <v>4.2669918699186962</v>
      </c>
      <c r="AY98" s="29">
        <f t="shared" si="39"/>
        <v>41.361355073122482</v>
      </c>
      <c r="AZ98" s="29">
        <f t="shared" si="43"/>
        <v>0</v>
      </c>
    </row>
    <row r="99" spans="1:52" x14ac:dyDescent="0.35">
      <c r="A99" s="28">
        <f t="shared" si="48"/>
        <v>46069</v>
      </c>
      <c r="B99" t="str">
        <f t="shared" si="26"/>
        <v>Mon</v>
      </c>
      <c r="C99" s="10"/>
      <c r="D99" s="10"/>
      <c r="E99" s="4">
        <f t="shared" si="27"/>
        <v>0</v>
      </c>
      <c r="F99" s="4">
        <f t="shared" si="49"/>
        <v>824</v>
      </c>
      <c r="G99" s="4">
        <f t="shared" si="29"/>
        <v>0</v>
      </c>
      <c r="H99" s="15">
        <f>(SQRT(4*I98*I98*V*V + 'Drilling Spec'!$C$42*I98 + W*('Drilling Spec'!$C$43 + 2*l*V*(s*W + 2*V*G99/(1+e)) + 'Drilling Spec'!$C$44)) - 'Drilling Spec'!$C$45)/(2*V)</f>
        <v>728.69980844307224</v>
      </c>
      <c r="I99" s="23">
        <f>IF(AND(OR(I98=0,I98=""),F99=0),IF(F100=0,"",'Drilling Spec'!$C$26),H99)</f>
        <v>728.69980844307224</v>
      </c>
      <c r="J99" s="16">
        <f>MAX(0,I99-'Drilling Spec'!$C$30)</f>
        <v>648.69980844307224</v>
      </c>
      <c r="K99" s="18">
        <f>IFERROR(J99/'Drilling Spec'!$C$31,0)</f>
        <v>43.246653896204819</v>
      </c>
      <c r="L99" s="21">
        <f t="shared" si="50"/>
        <v>0</v>
      </c>
      <c r="M99" s="4">
        <f t="shared" si="40"/>
        <v>132</v>
      </c>
      <c r="N99" s="21">
        <f t="shared" si="31"/>
        <v>0</v>
      </c>
      <c r="O99" s="18">
        <f>(SQRT(4*O98*O98*vB*vB + 'Drilling Spec'!$C$48*O98 + WB*('Drilling Spec'!$C$49 + 2*lB*vB*(sB*WB + 2*vB*N99/(1+eB)) + 'Drilling Spec'!$C$50)) - 'Drilling Spec'!$C$51)/(2*vB)</f>
        <v>723.46681615545504</v>
      </c>
      <c r="P99" s="18">
        <f>IFERROR(((S99-'Drilling Spec'!$C$30)/'Drilling Spec'!$C$31)*'Drilling Spec'!$C$32,0)</f>
        <v>38.608008969327301</v>
      </c>
      <c r="Q99" s="18">
        <f t="shared" si="41"/>
        <v>0</v>
      </c>
      <c r="R99" s="18"/>
      <c r="S99" s="26">
        <f>IF(AND(OR(T98=0,T98=""),M99=0),IF(M100=0,"",'Drilling Spec'!$C$30),O99)</f>
        <v>723.46681615545504</v>
      </c>
      <c r="U99" s="15">
        <f>E99*'Drilling Spec'!$C$22 + L99*'Drilling Spec'!$C$23</f>
        <v>0</v>
      </c>
      <c r="V99" s="15">
        <f t="shared" si="42"/>
        <v>19.733008130081299</v>
      </c>
      <c r="W99" s="15">
        <f t="shared" si="32"/>
        <v>4.2669918699186962</v>
      </c>
      <c r="X99" s="10"/>
      <c r="Y99" s="30">
        <f>IF(W99&lt;U100,'Drilling Spec'!$C$35,0)</f>
        <v>0</v>
      </c>
      <c r="AA99" s="4">
        <f t="shared" si="46"/>
        <v>46</v>
      </c>
      <c r="AB99" s="10"/>
      <c r="AC99" s="30">
        <f>IF('04-07-25-Scen3-Good,24-16hr'!K100&gt;'04-07-25-Scen3-Good,24-16hr'!AA99,'Drilling Spec'!$C$36,)</f>
        <v>0</v>
      </c>
      <c r="AE99" s="18">
        <f>(I99-'Drilling Spec'!$C$26)/'Drilling Spec'!$C$38</f>
        <v>109.78330140717871</v>
      </c>
      <c r="AF99" s="18">
        <f t="shared" si="33"/>
        <v>0</v>
      </c>
      <c r="AG99" s="34">
        <f t="shared" ref="AG99:AG112" si="52">AG98+AF99-AH99-AI98</f>
        <v>0</v>
      </c>
      <c r="AH99" s="10"/>
      <c r="AI99" s="26">
        <f>IF(C99="Camp Closed",AG99,IF(AG99&lt;'Drilling Spec'!$C$39,,'Drilling Spec'!$C$39))</f>
        <v>0</v>
      </c>
      <c r="AL99" s="16">
        <f t="shared" si="51"/>
        <v>-728.69980844307224</v>
      </c>
      <c r="AM99" s="16">
        <f t="shared" si="36"/>
        <v>-723.46681615545504</v>
      </c>
      <c r="AN99">
        <f>-'Drilling Spec'!$C$29</f>
        <v>-720</v>
      </c>
      <c r="AO99">
        <f>-'Drilling Spec'!$C$27</f>
        <v>-624</v>
      </c>
      <c r="AP99">
        <f>-'Drilling Spec'!$C$28</f>
        <v>-688</v>
      </c>
      <c r="AQ99" t="e">
        <f t="shared" si="37"/>
        <v>#N/A</v>
      </c>
      <c r="AR99" t="e">
        <f>IF(X99=0,NA(),-'Drilling Spec'!$C$29*0.1)</f>
        <v>#N/A</v>
      </c>
      <c r="AS99" t="e">
        <f>IF(Y99=0,NA(),-'Drilling Spec'!$C$29*0.1)</f>
        <v>#N/A</v>
      </c>
      <c r="AT99" t="e">
        <f>IF(AB99=0,NA(),-'Drilling Spec'!$C$29*0.2)</f>
        <v>#N/A</v>
      </c>
      <c r="AU99" t="e">
        <f>IF(AC99=0,NA(),-'Drilling Spec'!$C$29*0.2)</f>
        <v>#N/A</v>
      </c>
      <c r="AV99" t="e">
        <f>IF(AH99=0,NA(),-'Drilling Spec'!$C$29*0.3)</f>
        <v>#N/A</v>
      </c>
      <c r="AW99" t="e">
        <f>IF(AI99=0,NA(),-'Drilling Spec'!$C$29*0.3)</f>
        <v>#N/A</v>
      </c>
      <c r="AX99" s="29">
        <f t="shared" ref="AX99:AX112" si="53">W99</f>
        <v>4.2669918699186962</v>
      </c>
      <c r="AY99" s="29">
        <f t="shared" ref="AY99:AY112" si="54">AA99-K99+P99</f>
        <v>41.361355073122482</v>
      </c>
      <c r="AZ99" s="29">
        <f t="shared" si="43"/>
        <v>0</v>
      </c>
    </row>
    <row r="100" spans="1:52" x14ac:dyDescent="0.35">
      <c r="A100" s="28">
        <f t="shared" si="48"/>
        <v>46070</v>
      </c>
      <c r="B100" t="str">
        <f t="shared" si="26"/>
        <v>Tue</v>
      </c>
      <c r="C100" s="10"/>
      <c r="D100" s="10"/>
      <c r="E100" s="4">
        <f t="shared" si="27"/>
        <v>0</v>
      </c>
      <c r="F100" s="4">
        <f t="shared" si="49"/>
        <v>824</v>
      </c>
      <c r="G100" s="4">
        <f t="shared" si="29"/>
        <v>0</v>
      </c>
      <c r="H100" s="15">
        <f>(SQRT(4*I99*I99*V*V + 'Drilling Spec'!$C$42*I99 + W*('Drilling Spec'!$C$43 + 2*l*V*(s*W + 2*V*G100/(1+e)) + 'Drilling Spec'!$C$44)) - 'Drilling Spec'!$C$45)/(2*V)</f>
        <v>728.69980844307224</v>
      </c>
      <c r="I100" s="23">
        <f>IF(AND(OR(I99=0,I99=""),F100=0),IF(F101=0,"",'Drilling Spec'!$C$26),H100)</f>
        <v>728.69980844307224</v>
      </c>
      <c r="J100" s="16">
        <f>MAX(0,I100-'Drilling Spec'!$C$30)</f>
        <v>648.69980844307224</v>
      </c>
      <c r="K100" s="18">
        <f>IFERROR(J100/'Drilling Spec'!$C$31,0)</f>
        <v>43.246653896204819</v>
      </c>
      <c r="L100" s="21">
        <f t="shared" si="50"/>
        <v>0</v>
      </c>
      <c r="M100" s="4">
        <f t="shared" si="40"/>
        <v>132</v>
      </c>
      <c r="N100" s="21">
        <f t="shared" si="31"/>
        <v>0</v>
      </c>
      <c r="O100" s="18">
        <f>(SQRT(4*O99*O99*vB*vB + 'Drilling Spec'!$C$48*O99 + WB*('Drilling Spec'!$C$49 + 2*lB*vB*(sB*WB + 2*vB*N100/(1+eB)) + 'Drilling Spec'!$C$50)) - 'Drilling Spec'!$C$51)/(2*vB)</f>
        <v>723.46681615545504</v>
      </c>
      <c r="P100" s="18">
        <f>IFERROR(((S100-'Drilling Spec'!$C$30)/'Drilling Spec'!$C$31)*'Drilling Spec'!$C$32,0)</f>
        <v>38.608008969327301</v>
      </c>
      <c r="Q100" s="18">
        <f t="shared" si="41"/>
        <v>0</v>
      </c>
      <c r="R100" s="18"/>
      <c r="S100" s="26">
        <f>IF(AND(OR(T99=0,T99=""),M100=0),IF(M101=0,"",'Drilling Spec'!$C$30),O100)</f>
        <v>723.46681615545504</v>
      </c>
      <c r="U100" s="15">
        <f>E100*'Drilling Spec'!$C$22 + L100*'Drilling Spec'!$C$23</f>
        <v>0</v>
      </c>
      <c r="V100" s="15">
        <f t="shared" si="42"/>
        <v>19.733008130081299</v>
      </c>
      <c r="W100" s="15">
        <f t="shared" si="32"/>
        <v>4.2669918699186962</v>
      </c>
      <c r="X100" s="10"/>
      <c r="Y100" s="30">
        <f>IF(W100&lt;U101,'Drilling Spec'!$C$35,0)</f>
        <v>0</v>
      </c>
      <c r="AA100" s="4">
        <f t="shared" si="46"/>
        <v>46</v>
      </c>
      <c r="AB100" s="10"/>
      <c r="AC100" s="30">
        <f>IF('04-07-25-Scen3-Good,24-16hr'!K101&gt;'04-07-25-Scen3-Good,24-16hr'!AA100,'Drilling Spec'!$C$36,)</f>
        <v>0</v>
      </c>
      <c r="AE100" s="18">
        <f>(I100-'Drilling Spec'!$C$26)/'Drilling Spec'!$C$38</f>
        <v>109.78330140717871</v>
      </c>
      <c r="AF100" s="18">
        <f t="shared" si="33"/>
        <v>0</v>
      </c>
      <c r="AG100" s="34">
        <f t="shared" si="52"/>
        <v>0</v>
      </c>
      <c r="AH100" s="10"/>
      <c r="AI100" s="26">
        <f>IF(C100="Camp Closed",AG100,IF(AG100&lt;'Drilling Spec'!$C$39,,'Drilling Spec'!$C$39))</f>
        <v>0</v>
      </c>
      <c r="AL100" s="16">
        <f t="shared" si="51"/>
        <v>-728.69980844307224</v>
      </c>
      <c r="AM100" s="16">
        <f t="shared" si="36"/>
        <v>-723.46681615545504</v>
      </c>
      <c r="AN100">
        <f>-'Drilling Spec'!$C$29</f>
        <v>-720</v>
      </c>
      <c r="AO100">
        <f>-'Drilling Spec'!$C$27</f>
        <v>-624</v>
      </c>
      <c r="AP100">
        <f>-'Drilling Spec'!$C$28</f>
        <v>-688</v>
      </c>
      <c r="AQ100" t="e">
        <f t="shared" si="37"/>
        <v>#N/A</v>
      </c>
      <c r="AR100" t="e">
        <f>IF(X100=0,NA(),-'Drilling Spec'!$C$29*0.1)</f>
        <v>#N/A</v>
      </c>
      <c r="AS100" t="e">
        <f>IF(Y100=0,NA(),-'Drilling Spec'!$C$29*0.1)</f>
        <v>#N/A</v>
      </c>
      <c r="AT100" t="e">
        <f>IF(AB100=0,NA(),-'Drilling Spec'!$C$29*0.2)</f>
        <v>#N/A</v>
      </c>
      <c r="AU100" t="e">
        <f>IF(AC100=0,NA(),-'Drilling Spec'!$C$29*0.2)</f>
        <v>#N/A</v>
      </c>
      <c r="AV100" t="e">
        <f>IF(AH100=0,NA(),-'Drilling Spec'!$C$29*0.3)</f>
        <v>#N/A</v>
      </c>
      <c r="AW100" t="e">
        <f>IF(AI100=0,NA(),-'Drilling Spec'!$C$29*0.3)</f>
        <v>#N/A</v>
      </c>
      <c r="AX100" s="29">
        <f t="shared" si="53"/>
        <v>4.2669918699186962</v>
      </c>
      <c r="AY100" s="29">
        <f t="shared" si="54"/>
        <v>41.361355073122482</v>
      </c>
      <c r="AZ100" s="29">
        <f t="shared" si="43"/>
        <v>0</v>
      </c>
    </row>
    <row r="101" spans="1:52" x14ac:dyDescent="0.35">
      <c r="A101" s="28">
        <f t="shared" si="48"/>
        <v>46071</v>
      </c>
      <c r="B101" t="str">
        <f t="shared" si="26"/>
        <v>Wed</v>
      </c>
      <c r="C101" s="10"/>
      <c r="D101" s="10"/>
      <c r="E101" s="4">
        <f t="shared" si="27"/>
        <v>0</v>
      </c>
      <c r="F101" s="4">
        <f t="shared" si="49"/>
        <v>824</v>
      </c>
      <c r="G101" s="4">
        <f t="shared" si="29"/>
        <v>0</v>
      </c>
      <c r="H101" s="15">
        <f>(SQRT(4*I100*I100*V*V + 'Drilling Spec'!$C$42*I100 + W*('Drilling Spec'!$C$43 + 2*l*V*(s*W + 2*V*G101/(1+e)) + 'Drilling Spec'!$C$44)) - 'Drilling Spec'!$C$45)/(2*V)</f>
        <v>728.69980844307224</v>
      </c>
      <c r="I101" s="23">
        <f>IF(AND(OR(I100=0,I100=""),F101=0),IF(F102=0,"",'Drilling Spec'!$C$26),H101)</f>
        <v>728.69980844307224</v>
      </c>
      <c r="J101" s="16">
        <f>MAX(0,I101-'Drilling Spec'!$C$30)</f>
        <v>648.69980844307224</v>
      </c>
      <c r="K101" s="18">
        <f>IFERROR(J101/'Drilling Spec'!$C$31,0)</f>
        <v>43.246653896204819</v>
      </c>
      <c r="L101" s="21">
        <f t="shared" si="50"/>
        <v>0</v>
      </c>
      <c r="M101" s="4">
        <f t="shared" si="40"/>
        <v>132</v>
      </c>
      <c r="N101" s="21">
        <f t="shared" si="31"/>
        <v>0</v>
      </c>
      <c r="O101" s="18">
        <f>(SQRT(4*O100*O100*vB*vB + 'Drilling Spec'!$C$48*O100 + WB*('Drilling Spec'!$C$49 + 2*lB*vB*(sB*WB + 2*vB*N101/(1+eB)) + 'Drilling Spec'!$C$50)) - 'Drilling Spec'!$C$51)/(2*vB)</f>
        <v>723.46681615545504</v>
      </c>
      <c r="P101" s="18">
        <f>IFERROR(((S101-'Drilling Spec'!$C$30)/'Drilling Spec'!$C$31)*'Drilling Spec'!$C$32,0)</f>
        <v>38.608008969327301</v>
      </c>
      <c r="Q101" s="18">
        <f t="shared" si="41"/>
        <v>0</v>
      </c>
      <c r="R101" s="18"/>
      <c r="S101" s="26">
        <f>IF(AND(OR(T100=0,T100=""),M101=0),IF(M102=0,"",'Drilling Spec'!$C$30),O101)</f>
        <v>723.46681615545504</v>
      </c>
      <c r="U101" s="15">
        <f>E101*'Drilling Spec'!$C$22 + L101*'Drilling Spec'!$C$23</f>
        <v>0</v>
      </c>
      <c r="V101" s="15">
        <f t="shared" si="42"/>
        <v>19.733008130081299</v>
      </c>
      <c r="W101" s="15">
        <f t="shared" si="32"/>
        <v>4.2669918699186962</v>
      </c>
      <c r="X101" s="10"/>
      <c r="Y101" s="30">
        <f>IF(W101&lt;U102,'Drilling Spec'!$C$35,0)</f>
        <v>0</v>
      </c>
      <c r="AA101" s="4">
        <f t="shared" si="46"/>
        <v>46</v>
      </c>
      <c r="AB101" s="10"/>
      <c r="AC101" s="30">
        <f>IF('04-07-25-Scen3-Good,24-16hr'!K102&gt;'04-07-25-Scen3-Good,24-16hr'!AA101,'Drilling Spec'!$C$36,)</f>
        <v>0</v>
      </c>
      <c r="AE101" s="18">
        <f>(I101-'Drilling Spec'!$C$26)/'Drilling Spec'!$C$38</f>
        <v>109.78330140717871</v>
      </c>
      <c r="AF101" s="18">
        <f t="shared" si="33"/>
        <v>0</v>
      </c>
      <c r="AG101" s="34">
        <f t="shared" si="52"/>
        <v>0</v>
      </c>
      <c r="AH101" s="10"/>
      <c r="AI101" s="26">
        <f>IF(C101="Camp Closed",AG101,IF(AG101&lt;'Drilling Spec'!$C$39,,'Drilling Spec'!$C$39))</f>
        <v>0</v>
      </c>
      <c r="AL101" s="16">
        <f t="shared" si="51"/>
        <v>-728.69980844307224</v>
      </c>
      <c r="AM101" s="16">
        <f t="shared" si="36"/>
        <v>-723.46681615545504</v>
      </c>
      <c r="AN101">
        <f>-'Drilling Spec'!$C$29</f>
        <v>-720</v>
      </c>
      <c r="AO101">
        <f>-'Drilling Spec'!$C$27</f>
        <v>-624</v>
      </c>
      <c r="AP101">
        <f>-'Drilling Spec'!$C$28</f>
        <v>-688</v>
      </c>
      <c r="AQ101" t="e">
        <f t="shared" si="37"/>
        <v>#N/A</v>
      </c>
      <c r="AR101" t="e">
        <f>IF(X101=0,NA(),-'Drilling Spec'!$C$29*0.1)</f>
        <v>#N/A</v>
      </c>
      <c r="AS101" t="e">
        <f>IF(Y101=0,NA(),-'Drilling Spec'!$C$29*0.1)</f>
        <v>#N/A</v>
      </c>
      <c r="AT101" t="e">
        <f>IF(AB101=0,NA(),-'Drilling Spec'!$C$29*0.2)</f>
        <v>#N/A</v>
      </c>
      <c r="AU101" t="e">
        <f>IF(AC101=0,NA(),-'Drilling Spec'!$C$29*0.2)</f>
        <v>#N/A</v>
      </c>
      <c r="AV101" t="e">
        <f>IF(AH101=0,NA(),-'Drilling Spec'!$C$29*0.3)</f>
        <v>#N/A</v>
      </c>
      <c r="AW101" t="e">
        <f>IF(AI101=0,NA(),-'Drilling Spec'!$C$29*0.3)</f>
        <v>#N/A</v>
      </c>
      <c r="AX101" s="29">
        <f t="shared" si="53"/>
        <v>4.2669918699186962</v>
      </c>
      <c r="AY101" s="29">
        <f t="shared" si="54"/>
        <v>41.361355073122482</v>
      </c>
      <c r="AZ101" s="29">
        <f t="shared" si="43"/>
        <v>0</v>
      </c>
    </row>
    <row r="102" spans="1:52" x14ac:dyDescent="0.35">
      <c r="A102" s="28">
        <f t="shared" si="48"/>
        <v>46072</v>
      </c>
      <c r="B102" t="str">
        <f t="shared" si="26"/>
        <v>Thu</v>
      </c>
      <c r="C102" s="10"/>
      <c r="D102" s="10"/>
      <c r="E102" s="4">
        <f t="shared" si="27"/>
        <v>0</v>
      </c>
      <c r="F102" s="4">
        <f t="shared" si="49"/>
        <v>824</v>
      </c>
      <c r="G102" s="4">
        <f t="shared" si="29"/>
        <v>0</v>
      </c>
      <c r="H102" s="15">
        <f>(SQRT(4*I101*I101*V*V + 'Drilling Spec'!$C$42*I101 + W*('Drilling Spec'!$C$43 + 2*l*V*(s*W + 2*V*G102/(1+e)) + 'Drilling Spec'!$C$44)) - 'Drilling Spec'!$C$45)/(2*V)</f>
        <v>728.69980844307224</v>
      </c>
      <c r="I102" s="23">
        <f>IF(AND(OR(I101=0,I101=""),F102=0),IF(F103=0,"",'Drilling Spec'!$C$26),H102)</f>
        <v>728.69980844307224</v>
      </c>
      <c r="J102" s="16">
        <f>MAX(0,I102-'Drilling Spec'!$C$30)</f>
        <v>648.69980844307224</v>
      </c>
      <c r="K102" s="18">
        <f>IFERROR(J102/'Drilling Spec'!$C$31,0)</f>
        <v>43.246653896204819</v>
      </c>
      <c r="L102" s="21">
        <f t="shared" si="50"/>
        <v>0</v>
      </c>
      <c r="M102" s="4">
        <f t="shared" si="40"/>
        <v>132</v>
      </c>
      <c r="N102" s="21">
        <f t="shared" si="31"/>
        <v>0</v>
      </c>
      <c r="O102" s="18">
        <f>(SQRT(4*O101*O101*vB*vB + 'Drilling Spec'!$C$48*O101 + WB*('Drilling Spec'!$C$49 + 2*lB*vB*(sB*WB + 2*vB*N102/(1+eB)) + 'Drilling Spec'!$C$50)) - 'Drilling Spec'!$C$51)/(2*vB)</f>
        <v>723.46681615545504</v>
      </c>
      <c r="P102" s="18">
        <f>IFERROR(((S102-'Drilling Spec'!$C$30)/'Drilling Spec'!$C$31)*'Drilling Spec'!$C$32,0)</f>
        <v>38.608008969327301</v>
      </c>
      <c r="Q102" s="18">
        <f t="shared" si="41"/>
        <v>0</v>
      </c>
      <c r="R102" s="18"/>
      <c r="S102" s="26">
        <f>IF(AND(OR(T101=0,T101=""),M102=0),IF(M103=0,"",'Drilling Spec'!$C$30),O102)</f>
        <v>723.46681615545504</v>
      </c>
      <c r="U102" s="15">
        <f>E102*'Drilling Spec'!$C$22 + L102*'Drilling Spec'!$C$23</f>
        <v>0</v>
      </c>
      <c r="V102" s="15">
        <f t="shared" si="42"/>
        <v>19.733008130081299</v>
      </c>
      <c r="W102" s="15">
        <f t="shared" si="32"/>
        <v>4.2669918699186962</v>
      </c>
      <c r="X102" s="10"/>
      <c r="Y102" s="30">
        <f>IF(W102&lt;U103,'Drilling Spec'!$C$35,0)</f>
        <v>0</v>
      </c>
      <c r="AA102" s="4">
        <f t="shared" si="46"/>
        <v>46</v>
      </c>
      <c r="AB102" s="10"/>
      <c r="AC102" s="30">
        <f>IF('04-07-25-Scen3-Good,24-16hr'!K103&gt;'04-07-25-Scen3-Good,24-16hr'!AA102,'Drilling Spec'!$C$36,)</f>
        <v>0</v>
      </c>
      <c r="AE102" s="18">
        <f>(I102-'Drilling Spec'!$C$26)/'Drilling Spec'!$C$38</f>
        <v>109.78330140717871</v>
      </c>
      <c r="AF102" s="18">
        <f t="shared" si="33"/>
        <v>0</v>
      </c>
      <c r="AG102" s="34">
        <f t="shared" si="52"/>
        <v>0</v>
      </c>
      <c r="AH102" s="10"/>
      <c r="AI102" s="26">
        <f>IF(C102="Camp Closed",AG102,IF(AG102&lt;'Drilling Spec'!$C$39,,'Drilling Spec'!$C$39))</f>
        <v>0</v>
      </c>
      <c r="AL102" s="16">
        <f t="shared" si="51"/>
        <v>-728.69980844307224</v>
      </c>
      <c r="AM102" s="16">
        <f t="shared" si="36"/>
        <v>-723.46681615545504</v>
      </c>
      <c r="AN102">
        <f>-'Drilling Spec'!$C$29</f>
        <v>-720</v>
      </c>
      <c r="AO102">
        <f>-'Drilling Spec'!$C$27</f>
        <v>-624</v>
      </c>
      <c r="AP102">
        <f>-'Drilling Spec'!$C$28</f>
        <v>-688</v>
      </c>
      <c r="AQ102" t="e">
        <f t="shared" si="37"/>
        <v>#N/A</v>
      </c>
      <c r="AR102" t="e">
        <f>IF(X102=0,NA(),-'Drilling Spec'!$C$29*0.1)</f>
        <v>#N/A</v>
      </c>
      <c r="AS102" t="e">
        <f>IF(Y102=0,NA(),-'Drilling Spec'!$C$29*0.1)</f>
        <v>#N/A</v>
      </c>
      <c r="AT102" t="e">
        <f>IF(AB102=0,NA(),-'Drilling Spec'!$C$29*0.2)</f>
        <v>#N/A</v>
      </c>
      <c r="AU102" t="e">
        <f>IF(AC102=0,NA(),-'Drilling Spec'!$C$29*0.2)</f>
        <v>#N/A</v>
      </c>
      <c r="AV102" t="e">
        <f>IF(AH102=0,NA(),-'Drilling Spec'!$C$29*0.3)</f>
        <v>#N/A</v>
      </c>
      <c r="AW102" t="e">
        <f>IF(AI102=0,NA(),-'Drilling Spec'!$C$29*0.3)</f>
        <v>#N/A</v>
      </c>
      <c r="AX102" s="29">
        <f t="shared" si="53"/>
        <v>4.2669918699186962</v>
      </c>
      <c r="AY102" s="29">
        <f t="shared" si="54"/>
        <v>41.361355073122482</v>
      </c>
      <c r="AZ102" s="29">
        <f t="shared" si="43"/>
        <v>0</v>
      </c>
    </row>
    <row r="103" spans="1:52" x14ac:dyDescent="0.35">
      <c r="A103" s="28">
        <f t="shared" si="48"/>
        <v>46073</v>
      </c>
      <c r="B103" t="str">
        <f t="shared" si="26"/>
        <v>Fri</v>
      </c>
      <c r="C103" s="10"/>
      <c r="D103" s="10"/>
      <c r="E103" s="4">
        <f t="shared" si="27"/>
        <v>0</v>
      </c>
      <c r="F103" s="4">
        <f t="shared" si="49"/>
        <v>824</v>
      </c>
      <c r="G103" s="4">
        <f t="shared" si="29"/>
        <v>0</v>
      </c>
      <c r="H103" s="15">
        <f>(SQRT(4*I102*I102*V*V + 'Drilling Spec'!$C$42*I102 + W*('Drilling Spec'!$C$43 + 2*l*V*(s*W + 2*V*G103/(1+e)) + 'Drilling Spec'!$C$44)) - 'Drilling Spec'!$C$45)/(2*V)</f>
        <v>728.69980844307224</v>
      </c>
      <c r="I103" s="23">
        <f>IF(AND(OR(I102=0,I102=""),F103=0),IF(F104=0,"",'Drilling Spec'!$C$26),H103)</f>
        <v>728.69980844307224</v>
      </c>
      <c r="J103" s="16">
        <f>MAX(0,I103-'Drilling Spec'!$C$30)</f>
        <v>648.69980844307224</v>
      </c>
      <c r="K103" s="18">
        <f>IFERROR(J103/'Drilling Spec'!$C$31,0)</f>
        <v>43.246653896204819</v>
      </c>
      <c r="L103" s="21">
        <f t="shared" si="50"/>
        <v>0</v>
      </c>
      <c r="M103" s="4">
        <f t="shared" si="40"/>
        <v>132</v>
      </c>
      <c r="N103" s="21">
        <f t="shared" si="31"/>
        <v>0</v>
      </c>
      <c r="O103" s="18">
        <f>(SQRT(4*O102*O102*vB*vB + 'Drilling Spec'!$C$48*O102 + WB*('Drilling Spec'!$C$49 + 2*lB*vB*(sB*WB + 2*vB*N103/(1+eB)) + 'Drilling Spec'!$C$50)) - 'Drilling Spec'!$C$51)/(2*vB)</f>
        <v>723.46681615545504</v>
      </c>
      <c r="P103" s="18">
        <f>IFERROR(((S103-'Drilling Spec'!$C$30)/'Drilling Spec'!$C$31)*'Drilling Spec'!$C$32,0)</f>
        <v>38.608008969327301</v>
      </c>
      <c r="Q103" s="18">
        <f t="shared" si="41"/>
        <v>0</v>
      </c>
      <c r="R103" s="18"/>
      <c r="S103" s="26">
        <f>IF(AND(OR(T102=0,T102=""),M103=0),IF(M104=0,"",'Drilling Spec'!$C$30),O103)</f>
        <v>723.46681615545504</v>
      </c>
      <c r="U103" s="15">
        <f>E103*'Drilling Spec'!$C$22 + L103*'Drilling Spec'!$C$23</f>
        <v>0</v>
      </c>
      <c r="V103" s="15">
        <f t="shared" si="42"/>
        <v>19.733008130081299</v>
      </c>
      <c r="W103" s="15">
        <f t="shared" si="32"/>
        <v>4.2669918699186962</v>
      </c>
      <c r="X103" s="10"/>
      <c r="Y103" s="30">
        <f>IF(W103&lt;U104,'Drilling Spec'!$C$35,0)</f>
        <v>0</v>
      </c>
      <c r="AA103" s="4">
        <f t="shared" si="46"/>
        <v>46</v>
      </c>
      <c r="AB103" s="10"/>
      <c r="AC103" s="30">
        <f>IF('04-07-25-Scen3-Good,24-16hr'!K104&gt;'04-07-25-Scen3-Good,24-16hr'!AA103,'Drilling Spec'!$C$36,)</f>
        <v>0</v>
      </c>
      <c r="AE103" s="18">
        <f>(I103-'Drilling Spec'!$C$26)/'Drilling Spec'!$C$38</f>
        <v>109.78330140717871</v>
      </c>
      <c r="AF103" s="18">
        <f t="shared" si="33"/>
        <v>0</v>
      </c>
      <c r="AG103" s="34">
        <f t="shared" si="52"/>
        <v>0</v>
      </c>
      <c r="AH103" s="10"/>
      <c r="AI103" s="26">
        <f>IF(C103="Camp Closed",AG103,IF(AG103&lt;'Drilling Spec'!$C$39,,'Drilling Spec'!$C$39))</f>
        <v>0</v>
      </c>
      <c r="AL103" s="16">
        <f t="shared" si="51"/>
        <v>-728.69980844307224</v>
      </c>
      <c r="AM103" s="16">
        <f t="shared" si="36"/>
        <v>-723.46681615545504</v>
      </c>
      <c r="AN103">
        <f>-'Drilling Spec'!$C$29</f>
        <v>-720</v>
      </c>
      <c r="AO103">
        <f>-'Drilling Spec'!$C$27</f>
        <v>-624</v>
      </c>
      <c r="AP103">
        <f>-'Drilling Spec'!$C$28</f>
        <v>-688</v>
      </c>
      <c r="AQ103" t="e">
        <f t="shared" si="37"/>
        <v>#N/A</v>
      </c>
      <c r="AR103" t="e">
        <f>IF(X103=0,NA(),-'Drilling Spec'!$C$29*0.1)</f>
        <v>#N/A</v>
      </c>
      <c r="AS103" t="e">
        <f>IF(Y103=0,NA(),-'Drilling Spec'!$C$29*0.1)</f>
        <v>#N/A</v>
      </c>
      <c r="AT103" t="e">
        <f>IF(AB103=0,NA(),-'Drilling Spec'!$C$29*0.2)</f>
        <v>#N/A</v>
      </c>
      <c r="AU103" t="e">
        <f>IF(AC103=0,NA(),-'Drilling Spec'!$C$29*0.2)</f>
        <v>#N/A</v>
      </c>
      <c r="AV103" t="e">
        <f>IF(AH103=0,NA(),-'Drilling Spec'!$C$29*0.3)</f>
        <v>#N/A</v>
      </c>
      <c r="AW103" t="e">
        <f>IF(AI103=0,NA(),-'Drilling Spec'!$C$29*0.3)</f>
        <v>#N/A</v>
      </c>
      <c r="AX103" s="29">
        <f t="shared" si="53"/>
        <v>4.2669918699186962</v>
      </c>
      <c r="AY103" s="29">
        <f t="shared" si="54"/>
        <v>41.361355073122482</v>
      </c>
      <c r="AZ103" s="29">
        <f t="shared" si="43"/>
        <v>0</v>
      </c>
    </row>
    <row r="104" spans="1:52" x14ac:dyDescent="0.35">
      <c r="A104" s="28">
        <f t="shared" si="48"/>
        <v>46074</v>
      </c>
      <c r="B104" t="str">
        <f t="shared" si="26"/>
        <v>Sat</v>
      </c>
      <c r="C104" s="10"/>
      <c r="D104" s="10"/>
      <c r="E104" s="4">
        <f t="shared" si="27"/>
        <v>0</v>
      </c>
      <c r="F104" s="4">
        <f t="shared" si="49"/>
        <v>824</v>
      </c>
      <c r="G104" s="4">
        <f t="shared" si="29"/>
        <v>0</v>
      </c>
      <c r="H104" s="15">
        <f>(SQRT(4*I103*I103*V*V + 'Drilling Spec'!$C$42*I103 + W*('Drilling Spec'!$C$43 + 2*l*V*(s*W + 2*V*G104/(1+e)) + 'Drilling Spec'!$C$44)) - 'Drilling Spec'!$C$45)/(2*V)</f>
        <v>728.69980844307224</v>
      </c>
      <c r="I104" s="23">
        <f>IF(AND(OR(I103=0,I103=""),F104=0),IF(F105=0,"",'Drilling Spec'!$C$26),H104)</f>
        <v>728.69980844307224</v>
      </c>
      <c r="J104" s="16">
        <f>MAX(0,I104-'Drilling Spec'!$C$30)</f>
        <v>648.69980844307224</v>
      </c>
      <c r="K104" s="18">
        <f>IFERROR(J104/'Drilling Spec'!$C$31,0)</f>
        <v>43.246653896204819</v>
      </c>
      <c r="L104" s="21">
        <f t="shared" si="50"/>
        <v>0</v>
      </c>
      <c r="M104" s="4">
        <f t="shared" si="40"/>
        <v>132</v>
      </c>
      <c r="N104" s="21">
        <f t="shared" si="31"/>
        <v>0</v>
      </c>
      <c r="O104" s="18">
        <f>(SQRT(4*O103*O103*vB*vB + 'Drilling Spec'!$C$48*O103 + WB*('Drilling Spec'!$C$49 + 2*lB*vB*(sB*WB + 2*vB*N104/(1+eB)) + 'Drilling Spec'!$C$50)) - 'Drilling Spec'!$C$51)/(2*vB)</f>
        <v>723.46681615545504</v>
      </c>
      <c r="P104" s="18">
        <f>IFERROR(((S104-'Drilling Spec'!$C$30)/'Drilling Spec'!$C$31)*'Drilling Spec'!$C$32,0)</f>
        <v>38.608008969327301</v>
      </c>
      <c r="Q104" s="18">
        <f t="shared" si="41"/>
        <v>0</v>
      </c>
      <c r="R104" s="18"/>
      <c r="S104" s="26">
        <f>IF(AND(OR(T103=0,T103=""),M104=0),IF(M105=0,"",'Drilling Spec'!$C$30),O104)</f>
        <v>723.46681615545504</v>
      </c>
      <c r="U104" s="15">
        <f>E104*'Drilling Spec'!$C$22 + L104*'Drilling Spec'!$C$23</f>
        <v>0</v>
      </c>
      <c r="V104" s="15">
        <f t="shared" si="42"/>
        <v>19.733008130081299</v>
      </c>
      <c r="W104" s="15">
        <f t="shared" si="32"/>
        <v>4.2669918699186962</v>
      </c>
      <c r="X104" s="10"/>
      <c r="Y104" s="30">
        <f>IF(W104&lt;U105,'Drilling Spec'!$C$35,0)</f>
        <v>0</v>
      </c>
      <c r="AA104" s="4">
        <f t="shared" si="46"/>
        <v>46</v>
      </c>
      <c r="AB104" s="10"/>
      <c r="AC104" s="30">
        <f>IF('04-07-25-Scen3-Good,24-16hr'!K105&gt;'04-07-25-Scen3-Good,24-16hr'!AA104,'Drilling Spec'!$C$36,)</f>
        <v>0</v>
      </c>
      <c r="AE104" s="18">
        <f>(I104-'Drilling Spec'!$C$26)/'Drilling Spec'!$C$38</f>
        <v>109.78330140717871</v>
      </c>
      <c r="AF104" s="18">
        <f t="shared" si="33"/>
        <v>0</v>
      </c>
      <c r="AG104" s="34">
        <f t="shared" si="52"/>
        <v>0</v>
      </c>
      <c r="AH104" s="10"/>
      <c r="AI104" s="26">
        <f>IF(C104="Camp Closed",AG104,IF(AG104&lt;'Drilling Spec'!$C$39,,'Drilling Spec'!$C$39))</f>
        <v>0</v>
      </c>
      <c r="AL104" s="16">
        <f t="shared" si="51"/>
        <v>-728.69980844307224</v>
      </c>
      <c r="AM104" s="16">
        <f t="shared" si="36"/>
        <v>-723.46681615545504</v>
      </c>
      <c r="AN104">
        <f>-'Drilling Spec'!$C$29</f>
        <v>-720</v>
      </c>
      <c r="AO104">
        <f>-'Drilling Spec'!$C$27</f>
        <v>-624</v>
      </c>
      <c r="AP104">
        <f>-'Drilling Spec'!$C$28</f>
        <v>-688</v>
      </c>
      <c r="AQ104" t="e">
        <f t="shared" si="37"/>
        <v>#N/A</v>
      </c>
      <c r="AR104" t="e">
        <f>IF(X104=0,NA(),-'Drilling Spec'!$C$29*0.1)</f>
        <v>#N/A</v>
      </c>
      <c r="AS104" t="e">
        <f>IF(Y104=0,NA(),-'Drilling Spec'!$C$29*0.1)</f>
        <v>#N/A</v>
      </c>
      <c r="AT104" t="e">
        <f>IF(AB104=0,NA(),-'Drilling Spec'!$C$29*0.2)</f>
        <v>#N/A</v>
      </c>
      <c r="AU104" t="e">
        <f>IF(AC104=0,NA(),-'Drilling Spec'!$C$29*0.2)</f>
        <v>#N/A</v>
      </c>
      <c r="AV104" t="e">
        <f>IF(AH104=0,NA(),-'Drilling Spec'!$C$29*0.3)</f>
        <v>#N/A</v>
      </c>
      <c r="AW104" t="e">
        <f>IF(AI104=0,NA(),-'Drilling Spec'!$C$29*0.3)</f>
        <v>#N/A</v>
      </c>
      <c r="AX104" s="29">
        <f t="shared" si="53"/>
        <v>4.2669918699186962</v>
      </c>
      <c r="AY104" s="29">
        <f t="shared" si="54"/>
        <v>41.361355073122482</v>
      </c>
      <c r="AZ104" s="29">
        <f t="shared" si="43"/>
        <v>0</v>
      </c>
    </row>
    <row r="105" spans="1:52" x14ac:dyDescent="0.35">
      <c r="A105" s="28">
        <f t="shared" si="48"/>
        <v>46075</v>
      </c>
      <c r="B105" t="str">
        <f t="shared" si="26"/>
        <v>Sun</v>
      </c>
      <c r="C105" s="10"/>
      <c r="D105" s="10"/>
      <c r="E105" s="4">
        <f t="shared" si="27"/>
        <v>0</v>
      </c>
      <c r="F105" s="4">
        <f t="shared" si="49"/>
        <v>824</v>
      </c>
      <c r="G105" s="4">
        <f t="shared" si="29"/>
        <v>0</v>
      </c>
      <c r="H105" s="15">
        <f>(SQRT(4*I104*I104*V*V + 'Drilling Spec'!$C$42*I104 + W*('Drilling Spec'!$C$43 + 2*l*V*(s*W + 2*V*G105/(1+e)) + 'Drilling Spec'!$C$44)) - 'Drilling Spec'!$C$45)/(2*V)</f>
        <v>728.69980844307224</v>
      </c>
      <c r="I105" s="23">
        <f>IF(AND(OR(I104=0,I104=""),F105=0),IF(F106=0,"",'Drilling Spec'!$C$26),H105)</f>
        <v>728.69980844307224</v>
      </c>
      <c r="J105" s="16">
        <f>MAX(0,I105-'Drilling Spec'!$C$30)</f>
        <v>648.69980844307224</v>
      </c>
      <c r="K105" s="18">
        <f>IFERROR(J105/'Drilling Spec'!$C$31,0)</f>
        <v>43.246653896204819</v>
      </c>
      <c r="L105" s="21">
        <f t="shared" si="50"/>
        <v>0</v>
      </c>
      <c r="M105" s="4">
        <f t="shared" si="40"/>
        <v>132</v>
      </c>
      <c r="N105" s="21">
        <f t="shared" si="31"/>
        <v>0</v>
      </c>
      <c r="O105" s="18">
        <f>(SQRT(4*O104*O104*vB*vB + 'Drilling Spec'!$C$48*O104 + WB*('Drilling Spec'!$C$49 + 2*lB*vB*(sB*WB + 2*vB*N105/(1+eB)) + 'Drilling Spec'!$C$50)) - 'Drilling Spec'!$C$51)/(2*vB)</f>
        <v>723.46681615545504</v>
      </c>
      <c r="P105" s="18">
        <f>IFERROR(((S105-'Drilling Spec'!$C$30)/'Drilling Spec'!$C$31)*'Drilling Spec'!$C$32,0)</f>
        <v>38.608008969327301</v>
      </c>
      <c r="Q105" s="18">
        <f t="shared" si="41"/>
        <v>0</v>
      </c>
      <c r="R105" s="18"/>
      <c r="S105" s="26">
        <f>IF(AND(OR(T104=0,T104=""),M105=0),IF(M106=0,"",'Drilling Spec'!$C$30),O105)</f>
        <v>723.46681615545504</v>
      </c>
      <c r="U105" s="15">
        <f>E105*'Drilling Spec'!$C$22 + L105*'Drilling Spec'!$C$23</f>
        <v>0</v>
      </c>
      <c r="V105" s="15">
        <f t="shared" si="42"/>
        <v>19.733008130081299</v>
      </c>
      <c r="W105" s="15">
        <f t="shared" si="32"/>
        <v>4.2669918699186962</v>
      </c>
      <c r="X105" s="10"/>
      <c r="Y105" s="30">
        <f>IF(W105&lt;U106,'Drilling Spec'!$C$35,0)</f>
        <v>0</v>
      </c>
      <c r="AA105" s="4">
        <f t="shared" si="46"/>
        <v>46</v>
      </c>
      <c r="AB105" s="10"/>
      <c r="AC105" s="30">
        <f>IF('04-07-25-Scen3-Good,24-16hr'!K106&gt;'04-07-25-Scen3-Good,24-16hr'!AA105,'Drilling Spec'!$C$36,)</f>
        <v>0</v>
      </c>
      <c r="AE105" s="18">
        <f>(I105-'Drilling Spec'!$C$26)/'Drilling Spec'!$C$38</f>
        <v>109.78330140717871</v>
      </c>
      <c r="AF105" s="18">
        <f t="shared" si="33"/>
        <v>0</v>
      </c>
      <c r="AG105" s="34">
        <f t="shared" si="52"/>
        <v>0</v>
      </c>
      <c r="AH105" s="10"/>
      <c r="AI105" s="26">
        <f>IF(C105="Camp Closed",AG105,IF(AG105&lt;'Drilling Spec'!$C$39,,'Drilling Spec'!$C$39))</f>
        <v>0</v>
      </c>
      <c r="AL105" s="16">
        <f t="shared" si="51"/>
        <v>-728.69980844307224</v>
      </c>
      <c r="AM105" s="16">
        <f t="shared" si="36"/>
        <v>-723.46681615545504</v>
      </c>
      <c r="AN105">
        <f>-'Drilling Spec'!$C$29</f>
        <v>-720</v>
      </c>
      <c r="AO105">
        <f>-'Drilling Spec'!$C$27</f>
        <v>-624</v>
      </c>
      <c r="AP105">
        <f>-'Drilling Spec'!$C$28</f>
        <v>-688</v>
      </c>
      <c r="AQ105" t="e">
        <f t="shared" si="37"/>
        <v>#N/A</v>
      </c>
      <c r="AR105" t="e">
        <f>IF(X105=0,NA(),-'Drilling Spec'!$C$29*0.1)</f>
        <v>#N/A</v>
      </c>
      <c r="AS105" t="e">
        <f>IF(Y105=0,NA(),-'Drilling Spec'!$C$29*0.1)</f>
        <v>#N/A</v>
      </c>
      <c r="AT105" t="e">
        <f>IF(AB105=0,NA(),-'Drilling Spec'!$C$29*0.2)</f>
        <v>#N/A</v>
      </c>
      <c r="AU105" t="e">
        <f>IF(AC105=0,NA(),-'Drilling Spec'!$C$29*0.2)</f>
        <v>#N/A</v>
      </c>
      <c r="AV105" t="e">
        <f>IF(AH105=0,NA(),-'Drilling Spec'!$C$29*0.3)</f>
        <v>#N/A</v>
      </c>
      <c r="AW105" t="e">
        <f>IF(AI105=0,NA(),-'Drilling Spec'!$C$29*0.3)</f>
        <v>#N/A</v>
      </c>
      <c r="AX105" s="29">
        <f t="shared" si="53"/>
        <v>4.2669918699186962</v>
      </c>
      <c r="AY105" s="29">
        <f t="shared" si="54"/>
        <v>41.361355073122482</v>
      </c>
      <c r="AZ105" s="29">
        <f t="shared" si="43"/>
        <v>0</v>
      </c>
    </row>
    <row r="106" spans="1:52" x14ac:dyDescent="0.35">
      <c r="A106" s="28">
        <f t="shared" si="48"/>
        <v>46076</v>
      </c>
      <c r="B106" t="str">
        <f t="shared" si="26"/>
        <v>Mon</v>
      </c>
      <c r="C106" s="10"/>
      <c r="D106" s="10"/>
      <c r="E106" s="4">
        <f t="shared" si="27"/>
        <v>0</v>
      </c>
      <c r="F106" s="4">
        <f t="shared" si="49"/>
        <v>824</v>
      </c>
      <c r="G106" s="4">
        <f t="shared" si="29"/>
        <v>0</v>
      </c>
      <c r="H106" s="15">
        <f>(SQRT(4*I105*I105*V*V + 'Drilling Spec'!$C$42*I105 + W*('Drilling Spec'!$C$43 + 2*l*V*(s*W + 2*V*G106/(1+e)) + 'Drilling Spec'!$C$44)) - 'Drilling Spec'!$C$45)/(2*V)</f>
        <v>728.69980844307224</v>
      </c>
      <c r="I106" s="23">
        <f>IF(AND(OR(I105=0,I105=""),F106=0),IF(F107=0,"",'Drilling Spec'!$C$26),H106)</f>
        <v>728.69980844307224</v>
      </c>
      <c r="J106" s="16">
        <f>MAX(0,I106-'Drilling Spec'!$C$30)</f>
        <v>648.69980844307224</v>
      </c>
      <c r="K106" s="18">
        <f>IFERROR(J106/'Drilling Spec'!$C$31,0)</f>
        <v>43.246653896204819</v>
      </c>
      <c r="L106" s="21">
        <f t="shared" si="50"/>
        <v>0</v>
      </c>
      <c r="M106" s="4">
        <f t="shared" si="40"/>
        <v>132</v>
      </c>
      <c r="N106" s="21">
        <f t="shared" si="31"/>
        <v>0</v>
      </c>
      <c r="O106" s="18">
        <f>(SQRT(4*O105*O105*vB*vB + 'Drilling Spec'!$C$48*O105 + WB*('Drilling Spec'!$C$49 + 2*lB*vB*(sB*WB + 2*vB*N106/(1+eB)) + 'Drilling Spec'!$C$50)) - 'Drilling Spec'!$C$51)/(2*vB)</f>
        <v>723.46681615545504</v>
      </c>
      <c r="P106" s="18">
        <f>IFERROR(((S106-'Drilling Spec'!$C$30)/'Drilling Spec'!$C$31)*'Drilling Spec'!$C$32,0)</f>
        <v>38.608008969327301</v>
      </c>
      <c r="Q106" s="18">
        <f t="shared" si="41"/>
        <v>0</v>
      </c>
      <c r="R106" s="18"/>
      <c r="S106" s="26">
        <f>IF(AND(OR(T105=0,T105=""),M106=0),IF(M107=0,"",'Drilling Spec'!$C$30),O106)</f>
        <v>723.46681615545504</v>
      </c>
      <c r="U106" s="15">
        <f>E106*'Drilling Spec'!$C$22 + L106*'Drilling Spec'!$C$23</f>
        <v>0</v>
      </c>
      <c r="V106" s="15">
        <f t="shared" si="42"/>
        <v>19.733008130081299</v>
      </c>
      <c r="W106" s="15">
        <f t="shared" si="32"/>
        <v>4.2669918699186962</v>
      </c>
      <c r="X106" s="10"/>
      <c r="Y106" s="30">
        <f>IF(W106&lt;U107,'Drilling Spec'!$C$35,0)</f>
        <v>0</v>
      </c>
      <c r="AA106" s="4">
        <f t="shared" si="46"/>
        <v>46</v>
      </c>
      <c r="AB106" s="10"/>
      <c r="AC106" s="30">
        <f>IF('04-07-25-Scen3-Good,24-16hr'!K107&gt;'04-07-25-Scen3-Good,24-16hr'!AA106,'Drilling Spec'!$C$36,)</f>
        <v>0</v>
      </c>
      <c r="AE106" s="18">
        <f>(I106-'Drilling Spec'!$C$26)/'Drilling Spec'!$C$38</f>
        <v>109.78330140717871</v>
      </c>
      <c r="AF106" s="18">
        <f t="shared" si="33"/>
        <v>0</v>
      </c>
      <c r="AG106" s="34">
        <f t="shared" si="52"/>
        <v>0</v>
      </c>
      <c r="AH106" s="10"/>
      <c r="AI106" s="26">
        <f>IF(C106="Camp Closed",AG106,IF(AG106&lt;'Drilling Spec'!$C$39,,'Drilling Spec'!$C$39))</f>
        <v>0</v>
      </c>
      <c r="AL106" s="16">
        <f t="shared" si="51"/>
        <v>-728.69980844307224</v>
      </c>
      <c r="AM106" s="16">
        <f t="shared" si="36"/>
        <v>-723.46681615545504</v>
      </c>
      <c r="AN106">
        <f>-'Drilling Spec'!$C$29</f>
        <v>-720</v>
      </c>
      <c r="AO106">
        <f>-'Drilling Spec'!$C$27</f>
        <v>-624</v>
      </c>
      <c r="AP106">
        <f>-'Drilling Spec'!$C$28</f>
        <v>-688</v>
      </c>
      <c r="AQ106" t="e">
        <f t="shared" si="37"/>
        <v>#N/A</v>
      </c>
      <c r="AR106" t="e">
        <f>IF(X106=0,NA(),-'Drilling Spec'!$C$29*0.1)</f>
        <v>#N/A</v>
      </c>
      <c r="AS106" t="e">
        <f>IF(Y106=0,NA(),-'Drilling Spec'!$C$29*0.1)</f>
        <v>#N/A</v>
      </c>
      <c r="AT106" t="e">
        <f>IF(AB106=0,NA(),-'Drilling Spec'!$C$29*0.2)</f>
        <v>#N/A</v>
      </c>
      <c r="AU106" t="e">
        <f>IF(AC106=0,NA(),-'Drilling Spec'!$C$29*0.2)</f>
        <v>#N/A</v>
      </c>
      <c r="AV106" t="e">
        <f>IF(AH106=0,NA(),-'Drilling Spec'!$C$29*0.3)</f>
        <v>#N/A</v>
      </c>
      <c r="AW106" t="e">
        <f>IF(AI106=0,NA(),-'Drilling Spec'!$C$29*0.3)</f>
        <v>#N/A</v>
      </c>
      <c r="AX106" s="29">
        <f t="shared" si="53"/>
        <v>4.2669918699186962</v>
      </c>
      <c r="AY106" s="29">
        <f t="shared" si="54"/>
        <v>41.361355073122482</v>
      </c>
      <c r="AZ106" s="29">
        <f t="shared" si="43"/>
        <v>0</v>
      </c>
    </row>
    <row r="107" spans="1:52" x14ac:dyDescent="0.35">
      <c r="A107" s="28">
        <f t="shared" si="48"/>
        <v>46077</v>
      </c>
      <c r="B107" t="str">
        <f t="shared" si="26"/>
        <v>Tue</v>
      </c>
      <c r="C107" s="10"/>
      <c r="D107" s="10"/>
      <c r="E107" s="4">
        <f t="shared" si="27"/>
        <v>0</v>
      </c>
      <c r="F107" s="4">
        <f t="shared" si="49"/>
        <v>824</v>
      </c>
      <c r="G107" s="4">
        <f t="shared" si="29"/>
        <v>0</v>
      </c>
      <c r="H107" s="15">
        <f>(SQRT(4*I106*I106*V*V + 'Drilling Spec'!$C$42*I106 + W*('Drilling Spec'!$C$43 + 2*l*V*(s*W + 2*V*G107/(1+e)) + 'Drilling Spec'!$C$44)) - 'Drilling Spec'!$C$45)/(2*V)</f>
        <v>728.69980844307224</v>
      </c>
      <c r="I107" s="23">
        <f>IF(AND(OR(I106=0,I106=""),F107=0),IF(F108=0,"",'Drilling Spec'!$C$26),H107)</f>
        <v>728.69980844307224</v>
      </c>
      <c r="J107" s="16">
        <f>MAX(0,I107-'Drilling Spec'!$C$30)</f>
        <v>648.69980844307224</v>
      </c>
      <c r="K107" s="18">
        <f>IFERROR(J107/'Drilling Spec'!$C$31,0)</f>
        <v>43.246653896204819</v>
      </c>
      <c r="L107" s="21">
        <f t="shared" si="50"/>
        <v>0</v>
      </c>
      <c r="M107" s="4">
        <f t="shared" si="40"/>
        <v>132</v>
      </c>
      <c r="N107" s="21">
        <f t="shared" si="31"/>
        <v>0</v>
      </c>
      <c r="O107" s="18">
        <f>(SQRT(4*O106*O106*vB*vB + 'Drilling Spec'!$C$48*O106 + WB*('Drilling Spec'!$C$49 + 2*lB*vB*(sB*WB + 2*vB*N107/(1+eB)) + 'Drilling Spec'!$C$50)) - 'Drilling Spec'!$C$51)/(2*vB)</f>
        <v>723.46681615545504</v>
      </c>
      <c r="P107" s="18">
        <f>IFERROR(((S107-'Drilling Spec'!$C$30)/'Drilling Spec'!$C$31)*'Drilling Spec'!$C$32,0)</f>
        <v>38.608008969327301</v>
      </c>
      <c r="Q107" s="18">
        <f t="shared" si="41"/>
        <v>0</v>
      </c>
      <c r="R107" s="18"/>
      <c r="S107" s="26">
        <f>IF(AND(OR(T106=0,T106=""),M107=0),IF(M108=0,"",'Drilling Spec'!$C$30),O107)</f>
        <v>723.46681615545504</v>
      </c>
      <c r="U107" s="15">
        <f>E107*'Drilling Spec'!$C$22 + L107*'Drilling Spec'!$C$23</f>
        <v>0</v>
      </c>
      <c r="V107" s="15">
        <f t="shared" si="42"/>
        <v>19.733008130081299</v>
      </c>
      <c r="W107" s="15">
        <f t="shared" si="32"/>
        <v>4.2669918699186962</v>
      </c>
      <c r="X107" s="10"/>
      <c r="Y107" s="30">
        <f>IF(W107&lt;U108,'Drilling Spec'!$C$35,0)</f>
        <v>0</v>
      </c>
      <c r="AA107" s="4">
        <f t="shared" si="46"/>
        <v>46</v>
      </c>
      <c r="AB107" s="10"/>
      <c r="AC107" s="30">
        <f>IF('04-07-25-Scen3-Good,24-16hr'!K108&gt;'04-07-25-Scen3-Good,24-16hr'!AA107,'Drilling Spec'!$C$36,)</f>
        <v>0</v>
      </c>
      <c r="AE107" s="18">
        <f>(I107-'Drilling Spec'!$C$26)/'Drilling Spec'!$C$38</f>
        <v>109.78330140717871</v>
      </c>
      <c r="AF107" s="18">
        <f t="shared" si="33"/>
        <v>0</v>
      </c>
      <c r="AG107" s="34">
        <f t="shared" si="52"/>
        <v>0</v>
      </c>
      <c r="AH107" s="10"/>
      <c r="AI107" s="26">
        <f>IF(C107="Camp Closed",AG107,IF(AG107&lt;'Drilling Spec'!$C$39,,'Drilling Spec'!$C$39))</f>
        <v>0</v>
      </c>
      <c r="AL107" s="16">
        <f t="shared" si="51"/>
        <v>-728.69980844307224</v>
      </c>
      <c r="AM107" s="16">
        <f t="shared" si="36"/>
        <v>-723.46681615545504</v>
      </c>
      <c r="AN107">
        <f>-'Drilling Spec'!$C$29</f>
        <v>-720</v>
      </c>
      <c r="AO107">
        <f>-'Drilling Spec'!$C$27</f>
        <v>-624</v>
      </c>
      <c r="AP107">
        <f>-'Drilling Spec'!$C$28</f>
        <v>-688</v>
      </c>
      <c r="AQ107" t="e">
        <f t="shared" si="37"/>
        <v>#N/A</v>
      </c>
      <c r="AR107" t="e">
        <f>IF(X107=0,NA(),-'Drilling Spec'!$C$29*0.1)</f>
        <v>#N/A</v>
      </c>
      <c r="AS107" t="e">
        <f>IF(Y107=0,NA(),-'Drilling Spec'!$C$29*0.1)</f>
        <v>#N/A</v>
      </c>
      <c r="AT107" t="e">
        <f>IF(AB107=0,NA(),-'Drilling Spec'!$C$29*0.2)</f>
        <v>#N/A</v>
      </c>
      <c r="AU107" t="e">
        <f>IF(AC107=0,NA(),-'Drilling Spec'!$C$29*0.2)</f>
        <v>#N/A</v>
      </c>
      <c r="AV107" t="e">
        <f>IF(AH107=0,NA(),-'Drilling Spec'!$C$29*0.3)</f>
        <v>#N/A</v>
      </c>
      <c r="AW107" t="e">
        <f>IF(AI107=0,NA(),-'Drilling Spec'!$C$29*0.3)</f>
        <v>#N/A</v>
      </c>
      <c r="AX107" s="29">
        <f t="shared" si="53"/>
        <v>4.2669918699186962</v>
      </c>
      <c r="AY107" s="29">
        <f t="shared" si="54"/>
        <v>41.361355073122482</v>
      </c>
      <c r="AZ107" s="29">
        <f t="shared" si="43"/>
        <v>0</v>
      </c>
    </row>
    <row r="108" spans="1:52" x14ac:dyDescent="0.35">
      <c r="A108" s="28">
        <f t="shared" si="48"/>
        <v>46078</v>
      </c>
      <c r="B108" t="str">
        <f t="shared" si="26"/>
        <v>Wed</v>
      </c>
      <c r="C108" s="10"/>
      <c r="D108" s="10"/>
      <c r="E108" s="4">
        <f t="shared" si="27"/>
        <v>0</v>
      </c>
      <c r="F108" s="4">
        <f t="shared" si="49"/>
        <v>824</v>
      </c>
      <c r="G108" s="4">
        <f t="shared" si="29"/>
        <v>0</v>
      </c>
      <c r="H108" s="15">
        <f>(SQRT(4*I107*I107*V*V + 'Drilling Spec'!$C$42*I107 + W*('Drilling Spec'!$C$43 + 2*l*V*(s*W + 2*V*G108/(1+e)) + 'Drilling Spec'!$C$44)) - 'Drilling Spec'!$C$45)/(2*V)</f>
        <v>728.69980844307224</v>
      </c>
      <c r="I108" s="23">
        <f>IF(AND(OR(I107=0,I107=""),F108=0),IF(F109=0,"",'Drilling Spec'!$C$26),H108)</f>
        <v>728.69980844307224</v>
      </c>
      <c r="J108" s="16">
        <f>MAX(0,I108-'Drilling Spec'!$C$30)</f>
        <v>648.69980844307224</v>
      </c>
      <c r="K108" s="18">
        <f>IFERROR(J108/'Drilling Spec'!$C$31,0)</f>
        <v>43.246653896204819</v>
      </c>
      <c r="L108" s="21">
        <f t="shared" si="50"/>
        <v>0</v>
      </c>
      <c r="M108" s="4">
        <f t="shared" si="40"/>
        <v>132</v>
      </c>
      <c r="N108" s="21">
        <f t="shared" si="31"/>
        <v>0</v>
      </c>
      <c r="O108" s="18">
        <f>(SQRT(4*O107*O107*vB*vB + 'Drilling Spec'!$C$48*O107 + WB*('Drilling Spec'!$C$49 + 2*lB*vB*(sB*WB + 2*vB*N108/(1+eB)) + 'Drilling Spec'!$C$50)) - 'Drilling Spec'!$C$51)/(2*vB)</f>
        <v>723.46681615545504</v>
      </c>
      <c r="P108" s="18">
        <f>IFERROR(((S108-'Drilling Spec'!$C$30)/'Drilling Spec'!$C$31)*'Drilling Spec'!$C$32,0)</f>
        <v>38.608008969327301</v>
      </c>
      <c r="Q108" s="18">
        <f t="shared" si="41"/>
        <v>0</v>
      </c>
      <c r="R108" s="18"/>
      <c r="S108" s="26">
        <f>IF(AND(OR(T107=0,T107=""),M108=0),IF(M109=0,"",'Drilling Spec'!$C$30),O108)</f>
        <v>723.46681615545504</v>
      </c>
      <c r="U108" s="15">
        <f>E108*'Drilling Spec'!$C$22 + L108*'Drilling Spec'!$C$23</f>
        <v>0</v>
      </c>
      <c r="V108" s="15">
        <f t="shared" si="42"/>
        <v>19.733008130081299</v>
      </c>
      <c r="W108" s="15">
        <f t="shared" si="32"/>
        <v>4.2669918699186962</v>
      </c>
      <c r="X108" s="10"/>
      <c r="Y108" s="30">
        <f>IF(W108&lt;U109,'Drilling Spec'!$C$35,0)</f>
        <v>0</v>
      </c>
      <c r="AA108" s="4">
        <f t="shared" si="46"/>
        <v>46</v>
      </c>
      <c r="AB108" s="10"/>
      <c r="AC108" s="30">
        <f>IF('04-07-25-Scen3-Good,24-16hr'!K109&gt;'04-07-25-Scen3-Good,24-16hr'!AA108,'Drilling Spec'!$C$36,)</f>
        <v>0</v>
      </c>
      <c r="AE108" s="18">
        <f>(I108-'Drilling Spec'!$C$26)/'Drilling Spec'!$C$38</f>
        <v>109.78330140717871</v>
      </c>
      <c r="AF108" s="18">
        <f t="shared" si="33"/>
        <v>0</v>
      </c>
      <c r="AG108" s="34">
        <f t="shared" si="52"/>
        <v>0</v>
      </c>
      <c r="AH108" s="10"/>
      <c r="AI108" s="26">
        <f>IF(C108="Camp Closed",AG108,IF(AG108&lt;'Drilling Spec'!$C$39,,'Drilling Spec'!$C$39))</f>
        <v>0</v>
      </c>
      <c r="AL108" s="16">
        <f t="shared" si="51"/>
        <v>-728.69980844307224</v>
      </c>
      <c r="AM108" s="16">
        <f t="shared" si="36"/>
        <v>-723.46681615545504</v>
      </c>
      <c r="AN108">
        <f>-'Drilling Spec'!$C$29</f>
        <v>-720</v>
      </c>
      <c r="AO108">
        <f>-'Drilling Spec'!$C$27</f>
        <v>-624</v>
      </c>
      <c r="AP108">
        <f>-'Drilling Spec'!$C$28</f>
        <v>-688</v>
      </c>
      <c r="AQ108" t="e">
        <f t="shared" si="37"/>
        <v>#N/A</v>
      </c>
      <c r="AR108" t="e">
        <f>IF(X108=0,NA(),-'Drilling Spec'!$C$29*0.1)</f>
        <v>#N/A</v>
      </c>
      <c r="AS108" t="e">
        <f>IF(Y108=0,NA(),-'Drilling Spec'!$C$29*0.1)</f>
        <v>#N/A</v>
      </c>
      <c r="AT108" t="e">
        <f>IF(AB108=0,NA(),-'Drilling Spec'!$C$29*0.2)</f>
        <v>#N/A</v>
      </c>
      <c r="AU108" t="e">
        <f>IF(AC108=0,NA(),-'Drilling Spec'!$C$29*0.2)</f>
        <v>#N/A</v>
      </c>
      <c r="AV108" t="e">
        <f>IF(AH108=0,NA(),-'Drilling Spec'!$C$29*0.3)</f>
        <v>#N/A</v>
      </c>
      <c r="AW108" t="e">
        <f>IF(AI108=0,NA(),-'Drilling Spec'!$C$29*0.3)</f>
        <v>#N/A</v>
      </c>
      <c r="AX108" s="29">
        <f t="shared" si="53"/>
        <v>4.2669918699186962</v>
      </c>
      <c r="AY108" s="29">
        <f t="shared" si="54"/>
        <v>41.361355073122482</v>
      </c>
      <c r="AZ108" s="29">
        <f t="shared" si="43"/>
        <v>0</v>
      </c>
    </row>
    <row r="109" spans="1:52" x14ac:dyDescent="0.35">
      <c r="A109" s="28">
        <f t="shared" si="48"/>
        <v>46079</v>
      </c>
      <c r="B109" t="str">
        <f t="shared" si="26"/>
        <v>Thu</v>
      </c>
      <c r="C109" s="10"/>
      <c r="D109" s="10"/>
      <c r="E109" s="4">
        <f t="shared" si="27"/>
        <v>0</v>
      </c>
      <c r="F109" s="4">
        <f t="shared" si="49"/>
        <v>824</v>
      </c>
      <c r="G109" s="4">
        <f t="shared" si="29"/>
        <v>0</v>
      </c>
      <c r="H109" s="15">
        <f>(SQRT(4*I108*I108*V*V + 'Drilling Spec'!$C$42*I108 + W*('Drilling Spec'!$C$43 + 2*l*V*(s*W + 2*V*G109/(1+e)) + 'Drilling Spec'!$C$44)) - 'Drilling Spec'!$C$45)/(2*V)</f>
        <v>728.69980844307224</v>
      </c>
      <c r="I109" s="23">
        <f>IF(AND(OR(I108=0,I108=""),F109=0),IF(F110=0,"",'Drilling Spec'!$C$26),H109)</f>
        <v>728.69980844307224</v>
      </c>
      <c r="J109" s="16">
        <f>MAX(0,I109-'Drilling Spec'!$C$30)</f>
        <v>648.69980844307224</v>
      </c>
      <c r="K109" s="18">
        <f>IFERROR(J109/'Drilling Spec'!$C$31,0)</f>
        <v>43.246653896204819</v>
      </c>
      <c r="L109" s="21">
        <f t="shared" si="50"/>
        <v>0</v>
      </c>
      <c r="M109" s="4">
        <f t="shared" si="40"/>
        <v>132</v>
      </c>
      <c r="N109" s="21">
        <f t="shared" si="31"/>
        <v>0</v>
      </c>
      <c r="O109" s="18">
        <f>(SQRT(4*O108*O108*vB*vB + 'Drilling Spec'!$C$48*O108 + WB*('Drilling Spec'!$C$49 + 2*lB*vB*(sB*WB + 2*vB*N109/(1+eB)) + 'Drilling Spec'!$C$50)) - 'Drilling Spec'!$C$51)/(2*vB)</f>
        <v>723.46681615545504</v>
      </c>
      <c r="P109" s="18">
        <f>IFERROR(((S109-'Drilling Spec'!$C$30)/'Drilling Spec'!$C$31)*'Drilling Spec'!$C$32,0)</f>
        <v>38.608008969327301</v>
      </c>
      <c r="Q109" s="18">
        <f t="shared" si="41"/>
        <v>0</v>
      </c>
      <c r="R109" s="18"/>
      <c r="S109" s="26">
        <f>IF(AND(OR(T108=0,T108=""),M109=0),IF(M110=0,"",'Drilling Spec'!$C$30),O109)</f>
        <v>723.46681615545504</v>
      </c>
      <c r="U109" s="15">
        <f>E109*'Drilling Spec'!$C$22 + L109*'Drilling Spec'!$C$23</f>
        <v>0</v>
      </c>
      <c r="V109" s="15">
        <f t="shared" si="42"/>
        <v>19.733008130081299</v>
      </c>
      <c r="W109" s="15">
        <f t="shared" si="32"/>
        <v>4.2669918699186962</v>
      </c>
      <c r="X109" s="10"/>
      <c r="Y109" s="30">
        <f>IF(W109&lt;U110,'Drilling Spec'!$C$35,0)</f>
        <v>0</v>
      </c>
      <c r="AA109" s="4">
        <f t="shared" si="46"/>
        <v>46</v>
      </c>
      <c r="AB109" s="10"/>
      <c r="AC109" s="30">
        <f>IF('04-07-25-Scen3-Good,24-16hr'!K110&gt;'04-07-25-Scen3-Good,24-16hr'!AA109,'Drilling Spec'!$C$36,)</f>
        <v>0</v>
      </c>
      <c r="AE109" s="18">
        <f>(I109-'Drilling Spec'!$C$26)/'Drilling Spec'!$C$38</f>
        <v>109.78330140717871</v>
      </c>
      <c r="AF109" s="18">
        <f t="shared" si="33"/>
        <v>0</v>
      </c>
      <c r="AG109" s="34">
        <f t="shared" si="52"/>
        <v>0</v>
      </c>
      <c r="AH109" s="10"/>
      <c r="AI109" s="26">
        <f>IF(C109="Camp Closed",AG109,IF(AG109&lt;'Drilling Spec'!$C$39,,'Drilling Spec'!$C$39))</f>
        <v>0</v>
      </c>
      <c r="AL109" s="16">
        <f t="shared" si="51"/>
        <v>-728.69980844307224</v>
      </c>
      <c r="AM109" s="16">
        <f t="shared" si="36"/>
        <v>-723.46681615545504</v>
      </c>
      <c r="AN109">
        <f>-'Drilling Spec'!$C$29</f>
        <v>-720</v>
      </c>
      <c r="AO109">
        <f>-'Drilling Spec'!$C$27</f>
        <v>-624</v>
      </c>
      <c r="AP109">
        <f>-'Drilling Spec'!$C$28</f>
        <v>-688</v>
      </c>
      <c r="AQ109" t="e">
        <f t="shared" si="37"/>
        <v>#N/A</v>
      </c>
      <c r="AR109" t="e">
        <f>IF(X109=0,NA(),-'Drilling Spec'!$C$29*0.1)</f>
        <v>#N/A</v>
      </c>
      <c r="AS109" t="e">
        <f>IF(Y109=0,NA(),-'Drilling Spec'!$C$29*0.1)</f>
        <v>#N/A</v>
      </c>
      <c r="AT109" t="e">
        <f>IF(AB109=0,NA(),-'Drilling Spec'!$C$29*0.2)</f>
        <v>#N/A</v>
      </c>
      <c r="AU109" t="e">
        <f>IF(AC109=0,NA(),-'Drilling Spec'!$C$29*0.2)</f>
        <v>#N/A</v>
      </c>
      <c r="AV109" t="e">
        <f>IF(AH109=0,NA(),-'Drilling Spec'!$C$29*0.3)</f>
        <v>#N/A</v>
      </c>
      <c r="AW109" t="e">
        <f>IF(AI109=0,NA(),-'Drilling Spec'!$C$29*0.3)</f>
        <v>#N/A</v>
      </c>
      <c r="AX109" s="29">
        <f t="shared" si="53"/>
        <v>4.2669918699186962</v>
      </c>
      <c r="AY109" s="29">
        <f t="shared" si="54"/>
        <v>41.361355073122482</v>
      </c>
      <c r="AZ109" s="29">
        <f t="shared" si="43"/>
        <v>0</v>
      </c>
    </row>
    <row r="110" spans="1:52" x14ac:dyDescent="0.35">
      <c r="A110" s="28">
        <f t="shared" si="48"/>
        <v>46080</v>
      </c>
      <c r="B110" t="str">
        <f t="shared" si="26"/>
        <v>Fri</v>
      </c>
      <c r="C110" s="10"/>
      <c r="D110" s="10"/>
      <c r="E110" s="4">
        <f t="shared" si="27"/>
        <v>0</v>
      </c>
      <c r="F110" s="4">
        <f t="shared" si="49"/>
        <v>824</v>
      </c>
      <c r="G110" s="4">
        <f t="shared" si="29"/>
        <v>0</v>
      </c>
      <c r="H110" s="15">
        <f>(SQRT(4*I109*I109*V*V + 'Drilling Spec'!$C$42*I109 + W*('Drilling Spec'!$C$43 + 2*l*V*(s*W + 2*V*G110/(1+e)) + 'Drilling Spec'!$C$44)) - 'Drilling Spec'!$C$45)/(2*V)</f>
        <v>728.69980844307224</v>
      </c>
      <c r="I110" s="23">
        <f>IF(AND(OR(I109=0,I109=""),F110=0),IF(F111=0,"",'Drilling Spec'!$C$26),H110)</f>
        <v>728.69980844307224</v>
      </c>
      <c r="J110" s="16">
        <f>MAX(0,I110-'Drilling Spec'!$C$30)</f>
        <v>648.69980844307224</v>
      </c>
      <c r="K110" s="18">
        <f>IFERROR(J110/'Drilling Spec'!$C$31,0)</f>
        <v>43.246653896204819</v>
      </c>
      <c r="L110" s="21">
        <f t="shared" si="50"/>
        <v>0</v>
      </c>
      <c r="M110" s="4">
        <f t="shared" si="40"/>
        <v>132</v>
      </c>
      <c r="N110" s="21">
        <f t="shared" si="31"/>
        <v>0</v>
      </c>
      <c r="O110" s="18">
        <f>(SQRT(4*O109*O109*vB*vB + 'Drilling Spec'!$C$48*O109 + WB*('Drilling Spec'!$C$49 + 2*lB*vB*(sB*WB + 2*vB*N110/(1+eB)) + 'Drilling Spec'!$C$50)) - 'Drilling Spec'!$C$51)/(2*vB)</f>
        <v>723.46681615545504</v>
      </c>
      <c r="P110" s="18">
        <f>IFERROR(((S110-'Drilling Spec'!$C$30)/'Drilling Spec'!$C$31)*'Drilling Spec'!$C$32,0)</f>
        <v>38.608008969327301</v>
      </c>
      <c r="Q110" s="18">
        <f t="shared" si="41"/>
        <v>0</v>
      </c>
      <c r="R110" s="18"/>
      <c r="S110" s="26">
        <f>IF(AND(OR(T109=0,T109=""),M110=0),IF(M111=0,"",'Drilling Spec'!$C$30),O110)</f>
        <v>723.46681615545504</v>
      </c>
      <c r="U110" s="15">
        <f>E110*'Drilling Spec'!$C$22 + L110*'Drilling Spec'!$C$23</f>
        <v>0</v>
      </c>
      <c r="V110" s="15">
        <f t="shared" si="42"/>
        <v>19.733008130081299</v>
      </c>
      <c r="W110" s="15">
        <f t="shared" si="32"/>
        <v>4.2669918699186962</v>
      </c>
      <c r="X110" s="10"/>
      <c r="Y110" s="30">
        <f>IF(W110&lt;U111,'Drilling Spec'!$C$35,0)</f>
        <v>0</v>
      </c>
      <c r="AA110" s="4">
        <f t="shared" si="46"/>
        <v>46</v>
      </c>
      <c r="AB110" s="10"/>
      <c r="AC110" s="30">
        <f>IF('04-07-25-Scen3-Good,24-16hr'!K111&gt;'04-07-25-Scen3-Good,24-16hr'!AA110,'Drilling Spec'!$C$36,)</f>
        <v>0</v>
      </c>
      <c r="AE110" s="18">
        <f>(I110-'Drilling Spec'!$C$26)/'Drilling Spec'!$C$38</f>
        <v>109.78330140717871</v>
      </c>
      <c r="AF110" s="18">
        <f t="shared" si="33"/>
        <v>0</v>
      </c>
      <c r="AG110" s="34">
        <f t="shared" si="52"/>
        <v>0</v>
      </c>
      <c r="AH110" s="10"/>
      <c r="AI110" s="26">
        <f>IF(C110="Camp Closed",AG110,IF(AG110&lt;'Drilling Spec'!$C$39,,'Drilling Spec'!$C$39))</f>
        <v>0</v>
      </c>
      <c r="AL110" s="16">
        <f t="shared" si="51"/>
        <v>-728.69980844307224</v>
      </c>
      <c r="AM110" s="16">
        <f t="shared" si="36"/>
        <v>-723.46681615545504</v>
      </c>
      <c r="AN110">
        <f>-'Drilling Spec'!$C$29</f>
        <v>-720</v>
      </c>
      <c r="AO110">
        <f>-'Drilling Spec'!$C$27</f>
        <v>-624</v>
      </c>
      <c r="AP110">
        <f>-'Drilling Spec'!$C$28</f>
        <v>-688</v>
      </c>
      <c r="AQ110" t="e">
        <f t="shared" si="37"/>
        <v>#N/A</v>
      </c>
      <c r="AR110" t="e">
        <f>IF(X110=0,NA(),-'Drilling Spec'!$C$29*0.1)</f>
        <v>#N/A</v>
      </c>
      <c r="AS110" t="e">
        <f>IF(Y110=0,NA(),-'Drilling Spec'!$C$29*0.1)</f>
        <v>#N/A</v>
      </c>
      <c r="AT110" t="e">
        <f>IF(AB110=0,NA(),-'Drilling Spec'!$C$29*0.2)</f>
        <v>#N/A</v>
      </c>
      <c r="AU110" t="e">
        <f>IF(AC110=0,NA(),-'Drilling Spec'!$C$29*0.2)</f>
        <v>#N/A</v>
      </c>
      <c r="AV110" t="e">
        <f>IF(AH110=0,NA(),-'Drilling Spec'!$C$29*0.3)</f>
        <v>#N/A</v>
      </c>
      <c r="AW110" t="e">
        <f>IF(AI110=0,NA(),-'Drilling Spec'!$C$29*0.3)</f>
        <v>#N/A</v>
      </c>
      <c r="AX110" s="29">
        <f t="shared" si="53"/>
        <v>4.2669918699186962</v>
      </c>
      <c r="AY110" s="29">
        <f t="shared" si="54"/>
        <v>41.361355073122482</v>
      </c>
      <c r="AZ110" s="29">
        <f t="shared" si="43"/>
        <v>0</v>
      </c>
    </row>
    <row r="111" spans="1:52" x14ac:dyDescent="0.35">
      <c r="A111" s="28">
        <f t="shared" si="48"/>
        <v>46081</v>
      </c>
      <c r="B111" t="str">
        <f t="shared" si="26"/>
        <v>Sat</v>
      </c>
      <c r="C111" s="10"/>
      <c r="D111" s="10"/>
      <c r="E111" s="4">
        <f t="shared" si="27"/>
        <v>0</v>
      </c>
      <c r="F111" s="4">
        <f t="shared" si="49"/>
        <v>824</v>
      </c>
      <c r="G111" s="4">
        <f t="shared" si="29"/>
        <v>0</v>
      </c>
      <c r="H111" s="15">
        <f>(SQRT(4*I110*I110*V*V + 'Drilling Spec'!$C$42*I110 + W*('Drilling Spec'!$C$43 + 2*l*V*(s*W + 2*V*G111/(1+e)) + 'Drilling Spec'!$C$44)) - 'Drilling Spec'!$C$45)/(2*V)</f>
        <v>728.69980844307224</v>
      </c>
      <c r="I111" s="23">
        <f>IF(AND(OR(I110=0,I110=""),F111=0),IF(F112=0,"",'Drilling Spec'!$C$26),H111)</f>
        <v>728.69980844307224</v>
      </c>
      <c r="J111" s="16">
        <f>MAX(0,I111-'Drilling Spec'!$C$30)</f>
        <v>648.69980844307224</v>
      </c>
      <c r="K111" s="18">
        <f>IFERROR(J111/'Drilling Spec'!$C$31,0)</f>
        <v>43.246653896204819</v>
      </c>
      <c r="L111" s="21">
        <f t="shared" si="50"/>
        <v>0</v>
      </c>
      <c r="M111" s="4">
        <f t="shared" si="40"/>
        <v>132</v>
      </c>
      <c r="N111" s="21">
        <f t="shared" si="31"/>
        <v>0</v>
      </c>
      <c r="O111" s="18">
        <f>(SQRT(4*O110*O110*vB*vB + 'Drilling Spec'!$C$48*O110 + WB*('Drilling Spec'!$C$49 + 2*lB*vB*(sB*WB + 2*vB*N111/(1+eB)) + 'Drilling Spec'!$C$50)) - 'Drilling Spec'!$C$51)/(2*vB)</f>
        <v>723.46681615545504</v>
      </c>
      <c r="P111" s="18">
        <f>IFERROR(((S111-'Drilling Spec'!$C$30)/'Drilling Spec'!$C$31)*'Drilling Spec'!$C$32,0)</f>
        <v>38.608008969327301</v>
      </c>
      <c r="Q111" s="18">
        <f t="shared" si="41"/>
        <v>0</v>
      </c>
      <c r="R111" s="18"/>
      <c r="S111" s="26">
        <f>IF(AND(OR(T110=0,T110=""),M111=0),IF(M112=0,"",'Drilling Spec'!$C$30),O111)</f>
        <v>723.46681615545504</v>
      </c>
      <c r="U111" s="15">
        <f>E111*'Drilling Spec'!$C$22 + L111*'Drilling Spec'!$C$23</f>
        <v>0</v>
      </c>
      <c r="V111" s="15">
        <f t="shared" si="42"/>
        <v>19.733008130081299</v>
      </c>
      <c r="W111" s="15">
        <f t="shared" si="32"/>
        <v>4.2669918699186962</v>
      </c>
      <c r="X111" s="10"/>
      <c r="Y111" s="30">
        <f>IF(W111&lt;U112,'Drilling Spec'!$C$35,0)</f>
        <v>0</v>
      </c>
      <c r="AA111" s="4">
        <f t="shared" si="46"/>
        <v>46</v>
      </c>
      <c r="AB111" s="10"/>
      <c r="AC111" s="30">
        <f>IF('04-07-25-Scen3-Good,24-16hr'!K112&gt;'04-07-25-Scen3-Good,24-16hr'!AA111,'Drilling Spec'!$C$36,)</f>
        <v>0</v>
      </c>
      <c r="AE111" s="18">
        <f>(I111-'Drilling Spec'!$C$26)/'Drilling Spec'!$C$38</f>
        <v>109.78330140717871</v>
      </c>
      <c r="AF111" s="18">
        <f t="shared" si="33"/>
        <v>0</v>
      </c>
      <c r="AG111" s="34">
        <f t="shared" si="52"/>
        <v>0</v>
      </c>
      <c r="AH111" s="10"/>
      <c r="AI111" s="26">
        <f>IF(C111="Camp Closed",AG111,IF(AG111&lt;'Drilling Spec'!$C$39,,'Drilling Spec'!$C$39))</f>
        <v>0</v>
      </c>
      <c r="AL111" s="16">
        <f t="shared" si="51"/>
        <v>-728.69980844307224</v>
      </c>
      <c r="AM111" s="16">
        <f t="shared" si="36"/>
        <v>-723.46681615545504</v>
      </c>
      <c r="AN111">
        <f>-'Drilling Spec'!$C$29</f>
        <v>-720</v>
      </c>
      <c r="AO111">
        <f>-'Drilling Spec'!$C$27</f>
        <v>-624</v>
      </c>
      <c r="AP111">
        <f>-'Drilling Spec'!$C$28</f>
        <v>-688</v>
      </c>
      <c r="AQ111" t="e">
        <f t="shared" si="37"/>
        <v>#N/A</v>
      </c>
      <c r="AR111" t="e">
        <f>IF(X111=0,NA(),-'Drilling Spec'!$C$29*0.1)</f>
        <v>#N/A</v>
      </c>
      <c r="AS111" t="e">
        <f>IF(Y111=0,NA(),-'Drilling Spec'!$C$29*0.1)</f>
        <v>#N/A</v>
      </c>
      <c r="AT111" t="e">
        <f>IF(AB111=0,NA(),-'Drilling Spec'!$C$29*0.2)</f>
        <v>#N/A</v>
      </c>
      <c r="AU111" t="e">
        <f>IF(AC111=0,NA(),-'Drilling Spec'!$C$29*0.2)</f>
        <v>#N/A</v>
      </c>
      <c r="AV111" t="e">
        <f>IF(AH111=0,NA(),-'Drilling Spec'!$C$29*0.3)</f>
        <v>#N/A</v>
      </c>
      <c r="AW111" t="e">
        <f>IF(AI111=0,NA(),-'Drilling Spec'!$C$29*0.3)</f>
        <v>#N/A</v>
      </c>
      <c r="AX111" s="29">
        <f t="shared" si="53"/>
        <v>4.2669918699186962</v>
      </c>
      <c r="AY111" s="29">
        <f t="shared" si="54"/>
        <v>41.361355073122482</v>
      </c>
      <c r="AZ111" s="29">
        <f t="shared" si="43"/>
        <v>0</v>
      </c>
    </row>
    <row r="112" spans="1:52" x14ac:dyDescent="0.35">
      <c r="A112" s="28">
        <f t="shared" si="48"/>
        <v>46082</v>
      </c>
      <c r="B112" t="str">
        <f t="shared" si="26"/>
        <v>Sun</v>
      </c>
      <c r="C112" s="10"/>
      <c r="D112" s="10"/>
      <c r="E112" s="4">
        <f t="shared" si="27"/>
        <v>0</v>
      </c>
      <c r="F112" s="4">
        <f t="shared" si="49"/>
        <v>824</v>
      </c>
      <c r="G112" s="4">
        <f t="shared" si="29"/>
        <v>0</v>
      </c>
      <c r="H112" s="15">
        <f>(SQRT(4*I111*I111*V*V + 'Drilling Spec'!$C$42*I111 + W*('Drilling Spec'!$C$43 + 2*l*V*(s*W + 2*V*G112/(1+e)) + 'Drilling Spec'!$C$44)) - 'Drilling Spec'!$C$45)/(2*V)</f>
        <v>728.69980844307224</v>
      </c>
      <c r="I112" s="23">
        <f>IF(AND(OR(I111=0,I111=""),F112=0),IF(F113=0,"",'Drilling Spec'!$C$26),H112)</f>
        <v>728.69980844307224</v>
      </c>
      <c r="J112" s="16">
        <f>MAX(0,I112-'Drilling Spec'!$C$30)</f>
        <v>648.69980844307224</v>
      </c>
      <c r="K112" s="18">
        <f>IFERROR(J112/'Drilling Spec'!$C$31,0)</f>
        <v>43.246653896204819</v>
      </c>
      <c r="L112" s="21">
        <f t="shared" si="50"/>
        <v>0</v>
      </c>
      <c r="M112" s="4">
        <f t="shared" si="40"/>
        <v>132</v>
      </c>
      <c r="N112" s="21">
        <f t="shared" si="31"/>
        <v>0</v>
      </c>
      <c r="O112" s="18">
        <f>(SQRT(4*O111*O111*vB*vB + 'Drilling Spec'!$C$48*O111 + WB*('Drilling Spec'!$C$49 + 2*lB*vB*(sB*WB + 2*vB*N112/(1+eB)) + 'Drilling Spec'!$C$50)) - 'Drilling Spec'!$C$51)/(2*vB)</f>
        <v>723.46681615545504</v>
      </c>
      <c r="P112" s="18">
        <f>IFERROR(((S112-'Drilling Spec'!$C$30)/'Drilling Spec'!$C$31)*'Drilling Spec'!$C$32,0)</f>
        <v>38.608008969327301</v>
      </c>
      <c r="Q112" s="18">
        <f t="shared" si="41"/>
        <v>0</v>
      </c>
      <c r="R112" s="18"/>
      <c r="S112" s="26">
        <f>IF(AND(OR(T111=0,T111=""),M112=0),IF(M113=0,"",'Drilling Spec'!$C$30),O112)</f>
        <v>723.46681615545504</v>
      </c>
      <c r="U112" s="15">
        <f>E112*'Drilling Spec'!$C$22 + L112*'Drilling Spec'!$C$23</f>
        <v>0</v>
      </c>
      <c r="V112" s="15">
        <f t="shared" si="42"/>
        <v>19.733008130081299</v>
      </c>
      <c r="W112" s="15">
        <f t="shared" si="32"/>
        <v>4.2669918699186962</v>
      </c>
      <c r="X112" s="10"/>
      <c r="Y112" s="30">
        <f>IF(W112&lt;U113,'Drilling Spec'!$C$35,0)</f>
        <v>0</v>
      </c>
      <c r="AA112" s="4">
        <f t="shared" si="46"/>
        <v>46</v>
      </c>
      <c r="AB112" s="10"/>
      <c r="AC112" s="30">
        <f>IF('04-07-25-Scen3-Good,24-16hr'!K113&gt;'04-07-25-Scen3-Good,24-16hr'!AA112,'Drilling Spec'!$C$36,)</f>
        <v>0</v>
      </c>
      <c r="AE112" s="18">
        <f>(I112-'Drilling Spec'!$C$26)/'Drilling Spec'!$C$38</f>
        <v>109.78330140717871</v>
      </c>
      <c r="AF112" s="18">
        <f t="shared" si="33"/>
        <v>0</v>
      </c>
      <c r="AG112" s="34">
        <f t="shared" si="52"/>
        <v>0</v>
      </c>
      <c r="AH112" s="10"/>
      <c r="AI112" s="26">
        <f>IF(C112="Camp Closed",AG112,IF(AG112&lt;'Drilling Spec'!$C$39,,'Drilling Spec'!$C$39))</f>
        <v>0</v>
      </c>
      <c r="AL112" s="16">
        <f t="shared" si="51"/>
        <v>-728.69980844307224</v>
      </c>
      <c r="AM112" s="16">
        <f t="shared" si="36"/>
        <v>-723.46681615545504</v>
      </c>
      <c r="AN112">
        <f>-'Drilling Spec'!$C$29</f>
        <v>-720</v>
      </c>
      <c r="AO112">
        <f>-'Drilling Spec'!$C$27</f>
        <v>-624</v>
      </c>
      <c r="AP112">
        <f>-'Drilling Spec'!$C$28</f>
        <v>-688</v>
      </c>
      <c r="AQ112" t="e">
        <f t="shared" si="37"/>
        <v>#N/A</v>
      </c>
      <c r="AR112" t="e">
        <f>IF(X112=0,NA(),-'Drilling Spec'!$C$29*0.1)</f>
        <v>#N/A</v>
      </c>
      <c r="AS112" t="e">
        <f>IF(Y112=0,NA(),-'Drilling Spec'!$C$29*0.1)</f>
        <v>#N/A</v>
      </c>
      <c r="AT112" t="e">
        <f>IF(AB112=0,NA(),-'Drilling Spec'!$C$29*0.2)</f>
        <v>#N/A</v>
      </c>
      <c r="AU112" t="e">
        <f>IF(AC112=0,NA(),-'Drilling Spec'!$C$29*0.2)</f>
        <v>#N/A</v>
      </c>
      <c r="AV112" t="e">
        <f>IF(AH112=0,NA(),-'Drilling Spec'!$C$29*0.3)</f>
        <v>#N/A</v>
      </c>
      <c r="AW112" t="e">
        <f>IF(AI112=0,NA(),-'Drilling Spec'!$C$29*0.3)</f>
        <v>#N/A</v>
      </c>
      <c r="AX112" s="29">
        <f t="shared" si="53"/>
        <v>4.2669918699186962</v>
      </c>
      <c r="AY112" s="29">
        <f t="shared" si="54"/>
        <v>41.361355073122482</v>
      </c>
      <c r="AZ112" s="29">
        <f t="shared" si="43"/>
        <v>0</v>
      </c>
    </row>
  </sheetData>
  <mergeCells count="24">
    <mergeCell ref="BA1:BR1"/>
    <mergeCell ref="BT1:CA1"/>
    <mergeCell ref="BT3:BU3"/>
    <mergeCell ref="BW3:CA3"/>
    <mergeCell ref="BT4:CA5"/>
    <mergeCell ref="BT6:CA6"/>
    <mergeCell ref="BT8:CA10"/>
    <mergeCell ref="BU11:BV11"/>
    <mergeCell ref="BW11:CA11"/>
    <mergeCell ref="BU12:BV12"/>
    <mergeCell ref="BW12:CA12"/>
    <mergeCell ref="BU13:BV13"/>
    <mergeCell ref="BW13:CA13"/>
    <mergeCell ref="BU14:BV14"/>
    <mergeCell ref="BW14:CA14"/>
    <mergeCell ref="BU15:CA16"/>
    <mergeCell ref="BU33:CA34"/>
    <mergeCell ref="BT35:CA37"/>
    <mergeCell ref="BT38:CA39"/>
    <mergeCell ref="BU17:CA18"/>
    <mergeCell ref="BU19:CA23"/>
    <mergeCell ref="BU24:CA25"/>
    <mergeCell ref="BT26:CA30"/>
    <mergeCell ref="BU31:CA3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0082B-E6F1-419F-BE23-6890C24AAF68}">
  <dimension ref="A1:CA112"/>
  <sheetViews>
    <sheetView tabSelected="1" topLeftCell="AC1" zoomScale="128" workbookViewId="0">
      <pane ySplit="1" topLeftCell="A2" activePane="bottomLeft" state="frozen"/>
      <selection pane="bottomLeft" activeCell="X21" sqref="X21"/>
    </sheetView>
  </sheetViews>
  <sheetFormatPr defaultRowHeight="14.5" x14ac:dyDescent="0.35"/>
  <cols>
    <col min="1" max="1" width="5.26953125" bestFit="1" customWidth="1"/>
    <col min="2" max="2" width="4.81640625" bestFit="1" customWidth="1"/>
    <col min="3" max="3" width="20" style="4" bestFit="1" customWidth="1"/>
    <col min="4" max="4" width="8.453125" style="4" bestFit="1" customWidth="1"/>
    <col min="5" max="5" width="7.54296875" style="4" hidden="1" customWidth="1"/>
    <col min="6" max="6" width="12.453125" style="4" hidden="1" customWidth="1"/>
    <col min="7" max="7" width="9.1796875" style="4" hidden="1" customWidth="1"/>
    <col min="8" max="8" width="12.453125" style="4" hidden="1" customWidth="1"/>
    <col min="9" max="9" width="8.7265625" style="4" hidden="1" customWidth="1"/>
    <col min="10" max="10" width="9.7265625" style="4" hidden="1" customWidth="1"/>
    <col min="11" max="11" width="8.453125" style="4" hidden="1" customWidth="1"/>
    <col min="12" max="14" width="7" style="4" hidden="1" customWidth="1"/>
    <col min="15" max="17" width="9.7265625" style="4" hidden="1" customWidth="1"/>
    <col min="18" max="18" width="1.453125" style="4" hidden="1" customWidth="1"/>
    <col min="19" max="19" width="10.1796875" style="4" hidden="1" customWidth="1"/>
    <col min="20" max="20" width="1.81640625" customWidth="1"/>
    <col min="21" max="23" width="9.7265625" hidden="1" customWidth="1"/>
    <col min="24" max="24" width="14.1796875" style="4" bestFit="1" customWidth="1"/>
    <col min="25" max="25" width="14" style="4" customWidth="1"/>
    <col min="26" max="26" width="1.1796875" style="4" customWidth="1"/>
    <col min="27" max="27" width="9.54296875" style="4" hidden="1" customWidth="1"/>
    <col min="28" max="28" width="9.7265625" style="4" bestFit="1" customWidth="1"/>
    <col min="29" max="29" width="11.7265625" style="4" customWidth="1"/>
    <col min="30" max="30" width="1" style="4" customWidth="1"/>
    <col min="31" max="32" width="9.1796875" style="4" hidden="1" customWidth="1"/>
    <col min="33" max="33" width="8.26953125" style="4" bestFit="1" customWidth="1"/>
    <col min="34" max="34" width="8.81640625" style="4" bestFit="1" customWidth="1"/>
    <col min="35" max="35" width="9.7265625" style="4" bestFit="1" customWidth="1"/>
    <col min="36" max="36" width="1.453125" customWidth="1"/>
    <col min="37" max="37" width="9.1796875" hidden="1" customWidth="1"/>
    <col min="38" max="39" width="10" style="4" hidden="1" customWidth="1"/>
    <col min="40" max="50" width="9.1796875" hidden="1" customWidth="1"/>
    <col min="51" max="51" width="11.453125" hidden="1" customWidth="1"/>
    <col min="52" max="52" width="9.1796875" hidden="1" customWidth="1"/>
    <col min="53" max="53" width="16.26953125" bestFit="1" customWidth="1"/>
    <col min="54" max="54" width="10.453125" bestFit="1" customWidth="1"/>
    <col min="55" max="55" width="5.1796875" bestFit="1" customWidth="1"/>
    <col min="56" max="56" width="5" bestFit="1" customWidth="1"/>
    <col min="57" max="57" width="14" bestFit="1" customWidth="1"/>
    <col min="58" max="58" width="10.453125" bestFit="1" customWidth="1"/>
    <col min="59" max="59" width="4.453125" bestFit="1" customWidth="1"/>
    <col min="61" max="61" width="4.453125" bestFit="1" customWidth="1"/>
    <col min="71" max="71" width="1.26953125" customWidth="1"/>
    <col min="72" max="72" width="3.1796875" customWidth="1"/>
  </cols>
  <sheetData>
    <row r="1" spans="1:79" s="6" customFormat="1" ht="60" customHeight="1" x14ac:dyDescent="0.7">
      <c r="A1" s="6" t="s">
        <v>160</v>
      </c>
      <c r="B1" s="6" t="s">
        <v>6</v>
      </c>
      <c r="C1" s="6" t="s">
        <v>1</v>
      </c>
      <c r="D1" s="6" t="s">
        <v>5</v>
      </c>
      <c r="E1" s="13" t="s">
        <v>8</v>
      </c>
      <c r="F1" s="13" t="s">
        <v>28</v>
      </c>
      <c r="G1" s="13" t="s">
        <v>51</v>
      </c>
      <c r="H1" s="13" t="s">
        <v>49</v>
      </c>
      <c r="I1" s="6" t="s">
        <v>48</v>
      </c>
      <c r="J1" s="13" t="s">
        <v>103</v>
      </c>
      <c r="K1" s="6" t="s">
        <v>11</v>
      </c>
      <c r="L1" s="13" t="s">
        <v>101</v>
      </c>
      <c r="M1" s="13" t="s">
        <v>107</v>
      </c>
      <c r="N1" s="13" t="s">
        <v>102</v>
      </c>
      <c r="O1" s="13" t="s">
        <v>105</v>
      </c>
      <c r="P1" s="13" t="s">
        <v>163</v>
      </c>
      <c r="Q1" s="13" t="s">
        <v>164</v>
      </c>
      <c r="R1" s="13"/>
      <c r="S1" s="6" t="s">
        <v>106</v>
      </c>
      <c r="U1" s="13" t="s">
        <v>155</v>
      </c>
      <c r="V1" s="13" t="s">
        <v>156</v>
      </c>
      <c r="W1" s="13" t="s">
        <v>157</v>
      </c>
      <c r="X1" s="6" t="s">
        <v>158</v>
      </c>
      <c r="Y1" s="6" t="s">
        <v>159</v>
      </c>
      <c r="AA1" s="13" t="s">
        <v>75</v>
      </c>
      <c r="AB1" s="6" t="s">
        <v>118</v>
      </c>
      <c r="AC1" s="6" t="s">
        <v>119</v>
      </c>
      <c r="AE1" s="13" t="s">
        <v>122</v>
      </c>
      <c r="AF1" s="13" t="s">
        <v>125</v>
      </c>
      <c r="AG1" s="13" t="s">
        <v>124</v>
      </c>
      <c r="AH1" s="6" t="s">
        <v>123</v>
      </c>
      <c r="AI1" s="6" t="s">
        <v>126</v>
      </c>
      <c r="AJ1"/>
      <c r="AK1" s="13" t="s">
        <v>69</v>
      </c>
      <c r="AL1" s="13" t="s">
        <v>67</v>
      </c>
      <c r="AM1" s="13" t="s">
        <v>104</v>
      </c>
      <c r="AN1" s="13" t="s">
        <v>54</v>
      </c>
      <c r="AO1" s="13" t="s">
        <v>65</v>
      </c>
      <c r="AP1" s="13" t="s">
        <v>66</v>
      </c>
      <c r="AQ1" s="13" t="s">
        <v>115</v>
      </c>
      <c r="AR1" s="13" t="s">
        <v>152</v>
      </c>
      <c r="AS1" s="13" t="s">
        <v>153</v>
      </c>
      <c r="AT1" s="13" t="s">
        <v>121</v>
      </c>
      <c r="AU1" s="13" t="s">
        <v>120</v>
      </c>
      <c r="AV1" s="13" t="s">
        <v>127</v>
      </c>
      <c r="AW1" s="13" t="s">
        <v>128</v>
      </c>
      <c r="AX1" s="13" t="s">
        <v>161</v>
      </c>
      <c r="AY1" s="13" t="s">
        <v>166</v>
      </c>
      <c r="AZ1" s="13" t="s">
        <v>162</v>
      </c>
      <c r="BA1" s="37" t="s">
        <v>169</v>
      </c>
      <c r="BB1" s="37"/>
      <c r="BC1" s="37"/>
      <c r="BD1" s="37"/>
      <c r="BE1" s="37"/>
      <c r="BF1" s="37"/>
      <c r="BG1" s="37"/>
      <c r="BH1" s="37"/>
      <c r="BI1" s="37"/>
      <c r="BJ1" s="37"/>
      <c r="BK1" s="37"/>
      <c r="BL1" s="37"/>
      <c r="BM1" s="37"/>
      <c r="BN1" s="37"/>
      <c r="BO1" s="37"/>
      <c r="BP1" s="37"/>
      <c r="BQ1" s="37"/>
      <c r="BR1" s="37"/>
      <c r="BT1" s="46" t="s">
        <v>173</v>
      </c>
      <c r="BU1" s="46"/>
      <c r="BV1" s="46"/>
      <c r="BW1" s="46"/>
      <c r="BX1" s="46"/>
      <c r="BY1" s="46"/>
      <c r="BZ1" s="46"/>
      <c r="CA1" s="46"/>
    </row>
    <row r="2" spans="1:79" s="6" customFormat="1" ht="5.25" customHeight="1" x14ac:dyDescent="0.35">
      <c r="AJ2"/>
    </row>
    <row r="3" spans="1:79" x14ac:dyDescent="0.35">
      <c r="A3" s="27">
        <f>BB4</f>
        <v>45973</v>
      </c>
      <c r="B3" t="str">
        <f t="shared" ref="B3:B66" si="0">TEXT(A3,"ddd")</f>
        <v>Wed</v>
      </c>
      <c r="C3" s="10" t="s">
        <v>2</v>
      </c>
      <c r="D3" s="10">
        <v>12</v>
      </c>
      <c r="E3" s="4">
        <f t="shared" ref="E3:E66" si="1">IF(C3="Drilling",D3,0)</f>
        <v>0</v>
      </c>
      <c r="F3" s="4">
        <f t="shared" ref="F3:F66" si="2">(F2+E3)</f>
        <v>0</v>
      </c>
      <c r="G3" s="4">
        <f t="shared" ref="G3:G66" si="3">E3*60</f>
        <v>0</v>
      </c>
      <c r="H3" s="15">
        <f>(SQRT(4*I2*I2*V*V + 'Drilling Spec'!$C$42*I2 + W*('Drilling Spec'!$C$43 + 2*l*V*(s*W + 2*V*G3/(1+e)) + 'Drilling Spec'!$C$44)) - 'Drilling Spec'!$C$45)/(2*V)</f>
        <v>0</v>
      </c>
      <c r="I3" s="23" t="str">
        <f>IF(AND(OR(I2=0,I2=""),F3=0),IF(F4=0,"",'Drilling Spec'!$C$26),H3)</f>
        <v/>
      </c>
      <c r="J3" s="16" t="e">
        <f>MAX(0,I3-'Drilling Spec'!$C$30)</f>
        <v>#VALUE!</v>
      </c>
      <c r="K3" s="18">
        <f>IFERROR(J3/'Drilling Spec'!$C$31,0)</f>
        <v>0</v>
      </c>
      <c r="L3" s="21">
        <f t="shared" ref="L3:L66" si="4">IF(C3="Bailing",D3,0)</f>
        <v>0</v>
      </c>
      <c r="M3" s="4">
        <f>(M2+L3)</f>
        <v>0</v>
      </c>
      <c r="N3" s="4">
        <f t="shared" ref="N3:N66" si="5">L3*60</f>
        <v>0</v>
      </c>
      <c r="O3" s="18">
        <f>(SQRT(4*O2*O2*vB*vB + 'Drilling Spec'!$C$48*O2 + WB*('Drilling Spec'!$C$49 + 2*lB*vB*(sB*WB + 2*vB*N3/(1+eB)) + 'Drilling Spec'!$C$50)) - 'Drilling Spec'!$C$51)/(2*vB)</f>
        <v>0</v>
      </c>
      <c r="P3" s="18">
        <f>IFERROR(((S3-'Drilling Spec'!$C$30)/'Drilling Spec'!$C$31)*'Drilling Spec'!$C$32,0)</f>
        <v>0</v>
      </c>
      <c r="Q3" s="18">
        <f>P3-P2</f>
        <v>0</v>
      </c>
      <c r="R3" s="18"/>
      <c r="S3" s="26" t="str">
        <f>IF(AND(OR(T2=0,T2=""),M3=0),IF(M4=0,"",'Drilling Spec'!$C$30),O3)</f>
        <v/>
      </c>
      <c r="U3" s="15">
        <f>E3*'Drilling Spec'!$C$22 + L3*'Drilling Spec'!$C$23</f>
        <v>0</v>
      </c>
      <c r="V3" s="15">
        <f>V2+U3</f>
        <v>0</v>
      </c>
      <c r="W3" s="15">
        <f t="shared" ref="W3:W66" si="6">W2-U3+X2+Y2</f>
        <v>0</v>
      </c>
      <c r="X3" s="10">
        <v>1</v>
      </c>
      <c r="Y3" s="30">
        <f>IF(W3&lt;U4,'Drilling Spec'!$C$35,0)</f>
        <v>0</v>
      </c>
      <c r="AA3" s="4">
        <f>AA2+AC2+AB3+'Drilling Spec'!$C$37</f>
        <v>4</v>
      </c>
      <c r="AB3" s="10"/>
      <c r="AC3" s="30">
        <f>IF('04-07-25-Scen4-ExFrontloadCargo'!K4&gt;'04-07-25-Scen4-ExFrontloadCargo'!AA3,'Drilling Spec'!$C$36,)</f>
        <v>0</v>
      </c>
      <c r="AE3" s="18" t="e">
        <f>(I3-'Drilling Spec'!$C$26)/'Drilling Spec'!$C$38</f>
        <v>#VALUE!</v>
      </c>
      <c r="AF3" s="18">
        <f t="shared" ref="AF3:AF66" si="7">IFERROR(AE3-AE2,0)</f>
        <v>0</v>
      </c>
      <c r="AG3" s="34">
        <f t="shared" ref="AG3:AG66" si="8">AG2+AF3-AH3-AI2</f>
        <v>0</v>
      </c>
      <c r="AH3" s="10"/>
      <c r="AI3" s="26">
        <f>IF(C3="Camp Closed",AG3,IF(AG3&lt;'Drilling Spec'!$C$39,,'Drilling Spec'!$C$39))</f>
        <v>0</v>
      </c>
      <c r="AK3">
        <v>0</v>
      </c>
      <c r="AL3" s="16" t="e">
        <f t="shared" ref="AL3:AL66" si="9">IFERROR(-I3,NA())</f>
        <v>#N/A</v>
      </c>
      <c r="AM3" s="16" t="e">
        <f t="shared" ref="AM3:AM66" si="10">IF(OR(S3=0,S3=""),NA(),-S3)</f>
        <v>#N/A</v>
      </c>
      <c r="AN3">
        <f>-'Drilling Spec'!$C$29</f>
        <v>-720</v>
      </c>
      <c r="AO3">
        <f>-'Drilling Spec'!$C$27</f>
        <v>-624</v>
      </c>
      <c r="AP3">
        <f>-'Drilling Spec'!$C$28</f>
        <v>-688</v>
      </c>
      <c r="AQ3" t="e">
        <f t="shared" ref="AQ3:AQ66" si="11">IF(C3="Camp Closed",0,NA())</f>
        <v>#N/A</v>
      </c>
      <c r="AR3">
        <f>IF(X3=0,NA(),-'Drilling Spec'!$C$29*0.1)</f>
        <v>-72</v>
      </c>
      <c r="AS3" t="e">
        <f>IF(Y3=0,NA(),-'Drilling Spec'!$C$29*0.1)</f>
        <v>#N/A</v>
      </c>
      <c r="AT3" t="e">
        <f>IF(AB3=0,NA(),-'Drilling Spec'!$C$29*0.2)</f>
        <v>#N/A</v>
      </c>
      <c r="AU3" t="e">
        <f>IF(AC3=0,NA(),-'Drilling Spec'!$C$29*0.2)</f>
        <v>#N/A</v>
      </c>
      <c r="AV3" t="e">
        <f>IF(AH3=0,NA(),-'Drilling Spec'!$C$29*0.3)</f>
        <v>#N/A</v>
      </c>
      <c r="AW3" t="e">
        <f>IF(AI3=0,NA(),-'Drilling Spec'!$C$29*0.3)</f>
        <v>#N/A</v>
      </c>
      <c r="AX3" s="29">
        <f t="shared" ref="AX3:AX66" si="12">W3</f>
        <v>0</v>
      </c>
      <c r="AY3" s="29">
        <f t="shared" ref="AY3:AY66" si="13">AA3-K3+P3</f>
        <v>4</v>
      </c>
      <c r="AZ3" s="29">
        <f>AG3</f>
        <v>0</v>
      </c>
      <c r="BB3" s="33" t="s">
        <v>160</v>
      </c>
      <c r="BC3" s="33" t="s">
        <v>131</v>
      </c>
      <c r="BF3" s="33" t="s">
        <v>160</v>
      </c>
      <c r="BG3" s="33" t="s">
        <v>131</v>
      </c>
      <c r="BT3" s="45" t="s">
        <v>174</v>
      </c>
      <c r="BU3" s="45"/>
      <c r="BV3" s="36" t="s">
        <v>175</v>
      </c>
      <c r="BW3" s="47" t="s">
        <v>176</v>
      </c>
      <c r="BX3" s="45"/>
      <c r="BY3" s="45"/>
      <c r="BZ3" s="45"/>
      <c r="CA3" s="45"/>
    </row>
    <row r="4" spans="1:79" x14ac:dyDescent="0.35">
      <c r="A4" s="28">
        <f>A3+1</f>
        <v>45974</v>
      </c>
      <c r="B4" t="str">
        <f t="shared" si="0"/>
        <v>Thu</v>
      </c>
      <c r="C4" s="10" t="s">
        <v>3</v>
      </c>
      <c r="D4" s="10">
        <v>12</v>
      </c>
      <c r="E4" s="4">
        <f t="shared" si="1"/>
        <v>0</v>
      </c>
      <c r="F4" s="4">
        <f t="shared" si="2"/>
        <v>0</v>
      </c>
      <c r="G4" s="4">
        <f t="shared" si="3"/>
        <v>0</v>
      </c>
      <c r="H4" s="15" t="e">
        <f>(SQRT(4*I3*I3*V*V + 'Drilling Spec'!$C$42*I3 + W*('Drilling Spec'!$C$43 + 2*l*V*(s*W + 2*V*G4/(1+e)) + 'Drilling Spec'!$C$44)) - 'Drilling Spec'!$C$45)/(2*V)</f>
        <v>#VALUE!</v>
      </c>
      <c r="I4" s="23" t="str">
        <f>IF(AND(OR(I3=0,I3=""),F4=0),IF(F5=0,"",'Drilling Spec'!$C$26),H4)</f>
        <v/>
      </c>
      <c r="J4" s="16" t="e">
        <f>MAX(0,I4-'Drilling Spec'!$C$30)</f>
        <v>#VALUE!</v>
      </c>
      <c r="K4" s="18">
        <f>IFERROR(J4/'Drilling Spec'!$C$31,0)</f>
        <v>0</v>
      </c>
      <c r="L4" s="21">
        <f t="shared" si="4"/>
        <v>0</v>
      </c>
      <c r="M4" s="4">
        <f t="shared" ref="M4:M67" si="14">(M3+L4)</f>
        <v>0</v>
      </c>
      <c r="N4" s="21">
        <f t="shared" si="5"/>
        <v>0</v>
      </c>
      <c r="O4" s="18">
        <f>(SQRT(4*O3*O3*vB*vB + 'Drilling Spec'!$C$48*O3 + WB*('Drilling Spec'!$C$49 + 2*lB*vB*(sB*WB + 2*vB*N4/(1+eB)) + 'Drilling Spec'!$C$50)) - 'Drilling Spec'!$C$51)/(2*vB)</f>
        <v>0</v>
      </c>
      <c r="P4" s="18">
        <f>IFERROR(((S4-'Drilling Spec'!$C$30)/'Drilling Spec'!$C$31)*'Drilling Spec'!$C$32,0)</f>
        <v>0</v>
      </c>
      <c r="Q4" s="18">
        <f t="shared" ref="Q4:Q67" si="15">P4-P3</f>
        <v>0</v>
      </c>
      <c r="R4" s="18"/>
      <c r="S4" s="26" t="str">
        <f>IF(AND(OR(T3=0,T3=""),M4=0),IF(M5=0,"",'Drilling Spec'!$C$30),O4)</f>
        <v/>
      </c>
      <c r="U4" s="15">
        <f>E4*'Drilling Spec'!$C$22 + L4*'Drilling Spec'!$C$23</f>
        <v>0</v>
      </c>
      <c r="V4" s="15">
        <f t="shared" ref="V4:V67" si="16">V3+U4</f>
        <v>0</v>
      </c>
      <c r="W4" s="15">
        <f t="shared" si="6"/>
        <v>1</v>
      </c>
      <c r="X4" s="10"/>
      <c r="Y4" s="30">
        <f>IF(W4&lt;U5,'Drilling Spec'!$C$35,0)</f>
        <v>0</v>
      </c>
      <c r="AA4" s="4">
        <f>AA3+AC3+AB4</f>
        <v>4</v>
      </c>
      <c r="AB4" s="10"/>
      <c r="AC4" s="30">
        <f>IF('04-07-25-Scen4-ExFrontloadCargo'!K5&gt;'04-07-25-Scen4-ExFrontloadCargo'!AA4,'Drilling Spec'!$C$36,)</f>
        <v>0</v>
      </c>
      <c r="AE4" s="18" t="e">
        <f>(I4-'Drilling Spec'!$C$26)/'Drilling Spec'!$C$38</f>
        <v>#VALUE!</v>
      </c>
      <c r="AF4" s="18">
        <f t="shared" si="7"/>
        <v>0</v>
      </c>
      <c r="AG4" s="34">
        <f t="shared" si="8"/>
        <v>0</v>
      </c>
      <c r="AH4" s="10"/>
      <c r="AI4" s="26">
        <f>IF(C4="Camp Closed",AG4,IF(AG4&lt;'Drilling Spec'!$C$39,,'Drilling Spec'!$C$39))</f>
        <v>0</v>
      </c>
      <c r="AL4" s="16" t="e">
        <f t="shared" si="9"/>
        <v>#N/A</v>
      </c>
      <c r="AM4" s="16" t="e">
        <f t="shared" si="10"/>
        <v>#N/A</v>
      </c>
      <c r="AN4">
        <f>-'Drilling Spec'!$C$29</f>
        <v>-720</v>
      </c>
      <c r="AO4">
        <f>-'Drilling Spec'!$C$27</f>
        <v>-624</v>
      </c>
      <c r="AP4">
        <f>-'Drilling Spec'!$C$28</f>
        <v>-688</v>
      </c>
      <c r="AQ4" t="e">
        <f t="shared" si="11"/>
        <v>#N/A</v>
      </c>
      <c r="AR4" t="e">
        <f>IF(X4=0,NA(),-'Drilling Spec'!$C$29*0.1)</f>
        <v>#N/A</v>
      </c>
      <c r="AS4" t="e">
        <f>IF(Y4=0,NA(),-'Drilling Spec'!$C$29*0.1)</f>
        <v>#N/A</v>
      </c>
      <c r="AT4" t="e">
        <f>IF(AB4=0,NA(),-'Drilling Spec'!$C$29*0.2)</f>
        <v>#N/A</v>
      </c>
      <c r="AU4" t="e">
        <f>IF(AC4=0,NA(),-'Drilling Spec'!$C$29*0.2)</f>
        <v>#N/A</v>
      </c>
      <c r="AV4" t="e">
        <f>IF(AH4=0,NA(),-'Drilling Spec'!$C$29*0.3)</f>
        <v>#N/A</v>
      </c>
      <c r="AW4" t="e">
        <f>IF(AI4=0,NA(),-'Drilling Spec'!$C$29*0.3)</f>
        <v>#N/A</v>
      </c>
      <c r="AX4" s="29">
        <f t="shared" si="12"/>
        <v>1</v>
      </c>
      <c r="AY4" s="29">
        <f t="shared" si="13"/>
        <v>4</v>
      </c>
      <c r="AZ4" s="29">
        <f t="shared" ref="AZ4:AZ67" si="17">AG4</f>
        <v>0</v>
      </c>
      <c r="BA4" s="31" t="s">
        <v>132</v>
      </c>
      <c r="BB4" s="32">
        <v>45973</v>
      </c>
      <c r="BC4" s="10">
        <v>5</v>
      </c>
      <c r="BE4" s="31" t="s">
        <v>134</v>
      </c>
      <c r="BF4" s="32">
        <v>46043</v>
      </c>
      <c r="BG4" s="10">
        <v>5</v>
      </c>
      <c r="BT4" s="39" t="s">
        <v>177</v>
      </c>
      <c r="BU4" s="39"/>
      <c r="BV4" s="39"/>
      <c r="BW4" s="39"/>
      <c r="BX4" s="39"/>
      <c r="BY4" s="39"/>
      <c r="BZ4" s="39"/>
      <c r="CA4" s="39"/>
    </row>
    <row r="5" spans="1:79" x14ac:dyDescent="0.35">
      <c r="A5" s="28">
        <f t="shared" ref="A5:A68" si="18">A4+1</f>
        <v>45975</v>
      </c>
      <c r="B5" t="str">
        <f t="shared" si="0"/>
        <v>Fri</v>
      </c>
      <c r="C5" s="10" t="s">
        <v>3</v>
      </c>
      <c r="D5" s="10">
        <v>12</v>
      </c>
      <c r="E5" s="4">
        <f t="shared" si="1"/>
        <v>0</v>
      </c>
      <c r="F5" s="4">
        <f t="shared" si="2"/>
        <v>0</v>
      </c>
      <c r="G5" s="4">
        <f t="shared" si="3"/>
        <v>0</v>
      </c>
      <c r="H5" s="15" t="e">
        <f>(SQRT(4*I4*I4*V*V + 'Drilling Spec'!$C$42*I4 + W*('Drilling Spec'!$C$43 + 2*l*V*(s*W + 2*V*G5/(1+e)) + 'Drilling Spec'!$C$44)) - 'Drilling Spec'!$C$45)/(2*V)</f>
        <v>#VALUE!</v>
      </c>
      <c r="I5" s="23" t="str">
        <f>IF(AND(OR(I4=0,I4=""),F5=0),IF(F6=0,"",'Drilling Spec'!$C$26),H5)</f>
        <v/>
      </c>
      <c r="J5" s="16" t="e">
        <f>MAX(0,I5-'Drilling Spec'!$C$30)</f>
        <v>#VALUE!</v>
      </c>
      <c r="K5" s="18">
        <f>IFERROR(J5/'Drilling Spec'!$C$31,0)</f>
        <v>0</v>
      </c>
      <c r="L5" s="21">
        <f t="shared" si="4"/>
        <v>0</v>
      </c>
      <c r="M5" s="4">
        <f t="shared" si="14"/>
        <v>0</v>
      </c>
      <c r="N5" s="21">
        <f t="shared" si="5"/>
        <v>0</v>
      </c>
      <c r="O5" s="18">
        <f>(SQRT(4*O4*O4*vB*vB + 'Drilling Spec'!$C$48*O4 + WB*('Drilling Spec'!$C$49 + 2*lB*vB*(sB*WB + 2*vB*N5/(1+eB)) + 'Drilling Spec'!$C$50)) - 'Drilling Spec'!$C$51)/(2*vB)</f>
        <v>0</v>
      </c>
      <c r="P5" s="18">
        <f>IFERROR(((S5-'Drilling Spec'!$C$30)/'Drilling Spec'!$C$31)*'Drilling Spec'!$C$32,0)</f>
        <v>0</v>
      </c>
      <c r="Q5" s="18">
        <f t="shared" si="15"/>
        <v>0</v>
      </c>
      <c r="R5" s="18"/>
      <c r="S5" s="26" t="str">
        <f>IF(AND(OR(T4=0,T4=""),M5=0),IF(M6=0,"",'Drilling Spec'!$C$30),O5)</f>
        <v/>
      </c>
      <c r="U5" s="15">
        <f>E5*'Drilling Spec'!$C$22 + L5*'Drilling Spec'!$C$23</f>
        <v>0</v>
      </c>
      <c r="V5" s="15">
        <f t="shared" si="16"/>
        <v>0</v>
      </c>
      <c r="W5" s="15">
        <f t="shared" si="6"/>
        <v>1</v>
      </c>
      <c r="X5" s="10">
        <v>6</v>
      </c>
      <c r="Y5" s="30">
        <f>IF(W5&lt;U6,'Drilling Spec'!$C$35,0)</f>
        <v>0</v>
      </c>
      <c r="AA5" s="4">
        <f t="shared" ref="AA5:AA68" si="19">AA4+AC4+AB5</f>
        <v>4</v>
      </c>
      <c r="AB5" s="10"/>
      <c r="AC5" s="30">
        <f>IF('04-07-25-Scen4-ExFrontloadCargo'!K6&gt;'04-07-25-Scen4-ExFrontloadCargo'!AA5,'Drilling Spec'!$C$36,)</f>
        <v>0</v>
      </c>
      <c r="AE5" s="18" t="e">
        <f>(I5-'Drilling Spec'!$C$26)/'Drilling Spec'!$C$38</f>
        <v>#VALUE!</v>
      </c>
      <c r="AF5" s="18">
        <f t="shared" si="7"/>
        <v>0</v>
      </c>
      <c r="AG5" s="34">
        <f t="shared" si="8"/>
        <v>0</v>
      </c>
      <c r="AH5" s="10"/>
      <c r="AI5" s="26">
        <f>IF(C5="Camp Closed",AG5,IF(AG5&lt;'Drilling Spec'!$C$39,,'Drilling Spec'!$C$39))</f>
        <v>0</v>
      </c>
      <c r="AL5" s="16" t="e">
        <f t="shared" si="9"/>
        <v>#N/A</v>
      </c>
      <c r="AM5" s="16" t="e">
        <f t="shared" si="10"/>
        <v>#N/A</v>
      </c>
      <c r="AN5">
        <f>-'Drilling Spec'!$C$29</f>
        <v>-720</v>
      </c>
      <c r="AO5">
        <f>-'Drilling Spec'!$C$27</f>
        <v>-624</v>
      </c>
      <c r="AP5">
        <f>-'Drilling Spec'!$C$28</f>
        <v>-688</v>
      </c>
      <c r="AQ5" t="e">
        <f t="shared" si="11"/>
        <v>#N/A</v>
      </c>
      <c r="AR5">
        <f>IF(X5=0,NA(),-'Drilling Spec'!$C$29*0.1)</f>
        <v>-72</v>
      </c>
      <c r="AS5" t="e">
        <f>IF(Y5=0,NA(),-'Drilling Spec'!$C$29*0.1)</f>
        <v>#N/A</v>
      </c>
      <c r="AT5" t="e">
        <f>IF(AB5=0,NA(),-'Drilling Spec'!$C$29*0.2)</f>
        <v>#N/A</v>
      </c>
      <c r="AU5" t="e">
        <f>IF(AC5=0,NA(),-'Drilling Spec'!$C$29*0.2)</f>
        <v>#N/A</v>
      </c>
      <c r="AV5" t="e">
        <f>IF(AH5=0,NA(),-'Drilling Spec'!$C$29*0.3)</f>
        <v>#N/A</v>
      </c>
      <c r="AW5" t="e">
        <f>IF(AI5=0,NA(),-'Drilling Spec'!$C$29*0.3)</f>
        <v>#N/A</v>
      </c>
      <c r="AX5" s="29">
        <f t="shared" si="12"/>
        <v>1</v>
      </c>
      <c r="AY5" s="29">
        <f t="shared" si="13"/>
        <v>4</v>
      </c>
      <c r="AZ5" s="29">
        <f t="shared" si="17"/>
        <v>0</v>
      </c>
      <c r="BA5" s="31" t="s">
        <v>133</v>
      </c>
      <c r="BB5" s="32">
        <v>45978</v>
      </c>
      <c r="BC5" s="10">
        <v>5</v>
      </c>
      <c r="BE5" s="31" t="s">
        <v>167</v>
      </c>
      <c r="BF5" s="32">
        <v>46055</v>
      </c>
      <c r="BG5" s="10">
        <v>5</v>
      </c>
      <c r="BT5" s="39"/>
      <c r="BU5" s="39"/>
      <c r="BV5" s="39"/>
      <c r="BW5" s="39"/>
      <c r="BX5" s="39"/>
      <c r="BY5" s="39"/>
      <c r="BZ5" s="39"/>
      <c r="CA5" s="39"/>
    </row>
    <row r="6" spans="1:79" x14ac:dyDescent="0.35">
      <c r="A6" s="28">
        <f t="shared" si="18"/>
        <v>45976</v>
      </c>
      <c r="B6" t="str">
        <f t="shared" si="0"/>
        <v>Sat</v>
      </c>
      <c r="C6" s="10" t="s">
        <v>3</v>
      </c>
      <c r="D6" s="10">
        <v>12</v>
      </c>
      <c r="E6" s="4">
        <f t="shared" si="1"/>
        <v>0</v>
      </c>
      <c r="F6" s="4">
        <f t="shared" si="2"/>
        <v>0</v>
      </c>
      <c r="G6" s="4">
        <f t="shared" si="3"/>
        <v>0</v>
      </c>
      <c r="H6" s="15" t="e">
        <f>(SQRT(4*I5*I5*V*V + 'Drilling Spec'!$C$42*I5 + W*('Drilling Spec'!$C$43 + 2*l*V*(s*W + 2*V*G6/(1+e)) + 'Drilling Spec'!$C$44)) - 'Drilling Spec'!$C$45)/(2*V)</f>
        <v>#VALUE!</v>
      </c>
      <c r="I6" s="23" t="str">
        <f>IF(AND(OR(I5=0,I5=""),F6=0),IF(F7=0,"",'Drilling Spec'!$C$26),H6)</f>
        <v/>
      </c>
      <c r="J6" s="16" t="e">
        <f>MAX(0,I6-'Drilling Spec'!$C$30)</f>
        <v>#VALUE!</v>
      </c>
      <c r="K6" s="18">
        <f>IFERROR(J6/'Drilling Spec'!$C$31,0)</f>
        <v>0</v>
      </c>
      <c r="L6" s="21">
        <f t="shared" si="4"/>
        <v>0</v>
      </c>
      <c r="M6" s="4">
        <f t="shared" si="14"/>
        <v>0</v>
      </c>
      <c r="N6" s="21">
        <f t="shared" si="5"/>
        <v>0</v>
      </c>
      <c r="O6" s="18">
        <f>(SQRT(4*O5*O5*vB*vB + 'Drilling Spec'!$C$48*O5 + WB*('Drilling Spec'!$C$49 + 2*lB*vB*(sB*WB + 2*vB*N6/(1+eB)) + 'Drilling Spec'!$C$50)) - 'Drilling Spec'!$C$51)/(2*vB)</f>
        <v>0</v>
      </c>
      <c r="P6" s="18">
        <f>IFERROR(((S6-'Drilling Spec'!$C$30)/'Drilling Spec'!$C$31)*'Drilling Spec'!$C$32,0)</f>
        <v>0</v>
      </c>
      <c r="Q6" s="18">
        <f t="shared" si="15"/>
        <v>0</v>
      </c>
      <c r="R6" s="18"/>
      <c r="S6" s="26" t="str">
        <f>IF(AND(OR(T5=0,T5=""),M6=0),IF(M7=0,"",'Drilling Spec'!$C$30),O6)</f>
        <v/>
      </c>
      <c r="U6" s="15">
        <f>E6*'Drilling Spec'!$C$22 + L6*'Drilling Spec'!$C$23</f>
        <v>0</v>
      </c>
      <c r="V6" s="15">
        <f t="shared" si="16"/>
        <v>0</v>
      </c>
      <c r="W6" s="15">
        <f t="shared" si="6"/>
        <v>7</v>
      </c>
      <c r="X6" s="10">
        <v>1</v>
      </c>
      <c r="Y6" s="30">
        <f>IF(W6&lt;U7,'Drilling Spec'!$C$35,0)</f>
        <v>0</v>
      </c>
      <c r="AA6" s="4">
        <f t="shared" si="19"/>
        <v>9</v>
      </c>
      <c r="AB6" s="10">
        <v>5</v>
      </c>
      <c r="AC6" s="30">
        <f>IF('04-07-25-Scen4-ExFrontloadCargo'!K7&gt;'04-07-25-Scen4-ExFrontloadCargo'!AA6,'Drilling Spec'!$C$36,)</f>
        <v>0</v>
      </c>
      <c r="AE6" s="18" t="e">
        <f>(I6-'Drilling Spec'!$C$26)/'Drilling Spec'!$C$38</f>
        <v>#VALUE!</v>
      </c>
      <c r="AF6" s="18">
        <f t="shared" si="7"/>
        <v>0</v>
      </c>
      <c r="AG6" s="34">
        <f t="shared" si="8"/>
        <v>0</v>
      </c>
      <c r="AH6" s="10"/>
      <c r="AI6" s="26">
        <f>IF(C6="Camp Closed",AG6,IF(AG6&lt;'Drilling Spec'!$C$39,,'Drilling Spec'!$C$39))</f>
        <v>0</v>
      </c>
      <c r="AL6" s="16" t="e">
        <f t="shared" si="9"/>
        <v>#N/A</v>
      </c>
      <c r="AM6" s="16" t="e">
        <f t="shared" si="10"/>
        <v>#N/A</v>
      </c>
      <c r="AN6">
        <f>-'Drilling Spec'!$C$29</f>
        <v>-720</v>
      </c>
      <c r="AO6">
        <f>-'Drilling Spec'!$C$27</f>
        <v>-624</v>
      </c>
      <c r="AP6">
        <f>-'Drilling Spec'!$C$28</f>
        <v>-688</v>
      </c>
      <c r="AQ6" t="e">
        <f t="shared" si="11"/>
        <v>#N/A</v>
      </c>
      <c r="AR6">
        <f>IF(X6=0,NA(),-'Drilling Spec'!$C$29*0.1)</f>
        <v>-72</v>
      </c>
      <c r="AS6" t="e">
        <f>IF(Y6=0,NA(),-'Drilling Spec'!$C$29*0.1)</f>
        <v>#N/A</v>
      </c>
      <c r="AT6">
        <f>IF(AB6=0,NA(),-'Drilling Spec'!$C$29*0.2)</f>
        <v>-144</v>
      </c>
      <c r="AU6" t="e">
        <f>IF(AC6=0,NA(),-'Drilling Spec'!$C$29*0.2)</f>
        <v>#N/A</v>
      </c>
      <c r="AV6" t="e">
        <f>IF(AH6=0,NA(),-'Drilling Spec'!$C$29*0.3)</f>
        <v>#N/A</v>
      </c>
      <c r="AW6" t="e">
        <f>IF(AI6=0,NA(),-'Drilling Spec'!$C$29*0.3)</f>
        <v>#N/A</v>
      </c>
      <c r="AX6" s="29">
        <f t="shared" si="12"/>
        <v>7</v>
      </c>
      <c r="AY6" s="29">
        <f t="shared" si="13"/>
        <v>9</v>
      </c>
      <c r="AZ6" s="29">
        <f t="shared" si="17"/>
        <v>0</v>
      </c>
      <c r="BT6" s="45" t="s">
        <v>178</v>
      </c>
      <c r="BU6" s="45"/>
      <c r="BV6" s="45"/>
      <c r="BW6" s="45"/>
      <c r="BX6" s="45"/>
      <c r="BY6" s="45"/>
      <c r="BZ6" s="45"/>
      <c r="CA6" s="45"/>
    </row>
    <row r="7" spans="1:79" ht="15" customHeight="1" x14ac:dyDescent="0.35">
      <c r="A7" s="28">
        <f t="shared" si="18"/>
        <v>45977</v>
      </c>
      <c r="B7" t="str">
        <f t="shared" si="0"/>
        <v>Sun</v>
      </c>
      <c r="C7" s="10" t="s">
        <v>3</v>
      </c>
      <c r="D7" s="10">
        <v>12</v>
      </c>
      <c r="E7" s="4">
        <f t="shared" si="1"/>
        <v>0</v>
      </c>
      <c r="F7" s="4">
        <f t="shared" si="2"/>
        <v>0</v>
      </c>
      <c r="G7" s="4">
        <f t="shared" si="3"/>
        <v>0</v>
      </c>
      <c r="H7" s="15" t="e">
        <f>(SQRT(4*I6*I6*V*V + 'Drilling Spec'!$C$42*I6 + W*('Drilling Spec'!$C$43 + 2*l*V*(s*W + 2*V*G7/(1+e)) + 'Drilling Spec'!$C$44)) - 'Drilling Spec'!$C$45)/(2*V)</f>
        <v>#VALUE!</v>
      </c>
      <c r="I7" s="23" t="str">
        <f>IF(AND(OR(I6=0,I6=""),F7=0),IF(F8=0,"",'Drilling Spec'!$C$26),H7)</f>
        <v/>
      </c>
      <c r="J7" s="16" t="e">
        <f>MAX(0,I7-'Drilling Spec'!$C$30)</f>
        <v>#VALUE!</v>
      </c>
      <c r="K7" s="18">
        <f>IFERROR(J7/'Drilling Spec'!$C$31,0)</f>
        <v>0</v>
      </c>
      <c r="L7" s="21">
        <f t="shared" si="4"/>
        <v>0</v>
      </c>
      <c r="M7" s="4">
        <f t="shared" si="14"/>
        <v>0</v>
      </c>
      <c r="N7" s="21">
        <f t="shared" si="5"/>
        <v>0</v>
      </c>
      <c r="O7" s="18">
        <f>(SQRT(4*O6*O6*vB*vB + 'Drilling Spec'!$C$48*O6 + WB*('Drilling Spec'!$C$49 + 2*lB*vB*(sB*WB + 2*vB*N7/(1+eB)) + 'Drilling Spec'!$C$50)) - 'Drilling Spec'!$C$51)/(2*vB)</f>
        <v>0</v>
      </c>
      <c r="P7" s="18">
        <f>IFERROR(((S7-'Drilling Spec'!$C$30)/'Drilling Spec'!$C$31)*'Drilling Spec'!$C$32,0)</f>
        <v>0</v>
      </c>
      <c r="Q7" s="18">
        <f t="shared" si="15"/>
        <v>0</v>
      </c>
      <c r="R7" s="18"/>
      <c r="S7" s="26" t="str">
        <f>IF(AND(OR(T6=0,T6=""),M7=0),IF(M8=0,"",'Drilling Spec'!$C$30),O7)</f>
        <v/>
      </c>
      <c r="U7" s="15">
        <f>E7*'Drilling Spec'!$C$22 + L7*'Drilling Spec'!$C$23</f>
        <v>0</v>
      </c>
      <c r="V7" s="15">
        <f t="shared" si="16"/>
        <v>0</v>
      </c>
      <c r="W7" s="15">
        <f t="shared" si="6"/>
        <v>8</v>
      </c>
      <c r="X7" s="10"/>
      <c r="Y7" s="30">
        <f>IF(W7&lt;U8,'Drilling Spec'!$C$35,0)</f>
        <v>0</v>
      </c>
      <c r="AA7" s="4">
        <f t="shared" si="19"/>
        <v>15</v>
      </c>
      <c r="AB7" s="10">
        <v>6</v>
      </c>
      <c r="AC7" s="30">
        <f>IF('04-07-25-Scen4-ExFrontloadCargo'!K8&gt;'04-07-25-Scen4-ExFrontloadCargo'!AA7,'Drilling Spec'!$C$36,)</f>
        <v>0</v>
      </c>
      <c r="AE7" s="18" t="e">
        <f>(I7-'Drilling Spec'!$C$26)/'Drilling Spec'!$C$38</f>
        <v>#VALUE!</v>
      </c>
      <c r="AF7" s="18">
        <f t="shared" si="7"/>
        <v>0</v>
      </c>
      <c r="AG7" s="34">
        <f t="shared" si="8"/>
        <v>0</v>
      </c>
      <c r="AH7" s="10"/>
      <c r="AI7" s="26">
        <f>IF(C7="Camp Closed",AG7,IF(AG7&lt;'Drilling Spec'!$C$39,,'Drilling Spec'!$C$39))</f>
        <v>0</v>
      </c>
      <c r="AL7" s="16" t="e">
        <f t="shared" si="9"/>
        <v>#N/A</v>
      </c>
      <c r="AM7" s="16" t="e">
        <f t="shared" si="10"/>
        <v>#N/A</v>
      </c>
      <c r="AN7">
        <f>-'Drilling Spec'!$C$29</f>
        <v>-720</v>
      </c>
      <c r="AO7">
        <f>-'Drilling Spec'!$C$27</f>
        <v>-624</v>
      </c>
      <c r="AP7">
        <f>-'Drilling Spec'!$C$28</f>
        <v>-688</v>
      </c>
      <c r="AQ7" t="e">
        <f t="shared" si="11"/>
        <v>#N/A</v>
      </c>
      <c r="AR7" t="e">
        <f>IF(X7=0,NA(),-'Drilling Spec'!$C$29*0.1)</f>
        <v>#N/A</v>
      </c>
      <c r="AS7" t="e">
        <f>IF(Y7=0,NA(),-'Drilling Spec'!$C$29*0.1)</f>
        <v>#N/A</v>
      </c>
      <c r="AT7">
        <f>IF(AB7=0,NA(),-'Drilling Spec'!$C$29*0.2)</f>
        <v>-144</v>
      </c>
      <c r="AU7" t="e">
        <f>IF(AC7=0,NA(),-'Drilling Spec'!$C$29*0.2)</f>
        <v>#N/A</v>
      </c>
      <c r="AV7" t="e">
        <f>IF(AH7=0,NA(),-'Drilling Spec'!$C$29*0.3)</f>
        <v>#N/A</v>
      </c>
      <c r="AW7" t="e">
        <f>IF(AI7=0,NA(),-'Drilling Spec'!$C$29*0.3)</f>
        <v>#N/A</v>
      </c>
      <c r="AX7" s="29">
        <f t="shared" si="12"/>
        <v>8</v>
      </c>
      <c r="AY7" s="29">
        <f t="shared" si="13"/>
        <v>15</v>
      </c>
      <c r="AZ7" s="29">
        <f t="shared" si="17"/>
        <v>0</v>
      </c>
      <c r="BT7" t="s">
        <v>184</v>
      </c>
    </row>
    <row r="8" spans="1:79" x14ac:dyDescent="0.35">
      <c r="A8" s="28">
        <f t="shared" si="18"/>
        <v>45978</v>
      </c>
      <c r="B8" t="str">
        <f t="shared" si="0"/>
        <v>Mon</v>
      </c>
      <c r="C8" s="10" t="s">
        <v>7</v>
      </c>
      <c r="D8" s="10">
        <v>0</v>
      </c>
      <c r="E8" s="4">
        <f t="shared" si="1"/>
        <v>0</v>
      </c>
      <c r="F8" s="4">
        <f t="shared" si="2"/>
        <v>0</v>
      </c>
      <c r="G8" s="4">
        <f t="shared" si="3"/>
        <v>0</v>
      </c>
      <c r="H8" s="15" t="e">
        <f>(SQRT(4*I7*I7*V*V + 'Drilling Spec'!$C$42*I7 + W*('Drilling Spec'!$C$43 + 2*l*V*(s*W + 2*V*G8/(1+e)) + 'Drilling Spec'!$C$44)) - 'Drilling Spec'!$C$45)/(2*V)</f>
        <v>#VALUE!</v>
      </c>
      <c r="I8" s="23" t="str">
        <f>IF(AND(OR(I7=0,I7=""),F8=0),IF(F9=0,"",'Drilling Spec'!$C$26),H8)</f>
        <v/>
      </c>
      <c r="J8" s="16" t="e">
        <f>MAX(0,I8-'Drilling Spec'!$C$30)</f>
        <v>#VALUE!</v>
      </c>
      <c r="K8" s="18">
        <f>IFERROR(J8/'Drilling Spec'!$C$31,0)</f>
        <v>0</v>
      </c>
      <c r="L8" s="21">
        <f t="shared" si="4"/>
        <v>0</v>
      </c>
      <c r="M8" s="4">
        <f t="shared" si="14"/>
        <v>0</v>
      </c>
      <c r="N8" s="21">
        <f t="shared" si="5"/>
        <v>0</v>
      </c>
      <c r="O8" s="18">
        <f>(SQRT(4*O7*O7*vB*vB + 'Drilling Spec'!$C$48*O7 + WB*('Drilling Spec'!$C$49 + 2*lB*vB*(sB*WB + 2*vB*N8/(1+eB)) + 'Drilling Spec'!$C$50)) - 'Drilling Spec'!$C$51)/(2*vB)</f>
        <v>0</v>
      </c>
      <c r="P8" s="18">
        <f>IFERROR(((S8-'Drilling Spec'!$C$30)/'Drilling Spec'!$C$31)*'Drilling Spec'!$C$32,0)</f>
        <v>0</v>
      </c>
      <c r="Q8" s="18">
        <f t="shared" si="15"/>
        <v>0</v>
      </c>
      <c r="R8" s="18"/>
      <c r="S8" s="26" t="str">
        <f>IF(AND(OR(T7=0,T7=""),M8=0),IF(M9=0,"",'Drilling Spec'!$C$30),O8)</f>
        <v/>
      </c>
      <c r="U8" s="15">
        <f>E8*'Drilling Spec'!$C$22 + L8*'Drilling Spec'!$C$23</f>
        <v>0</v>
      </c>
      <c r="V8" s="15">
        <f t="shared" si="16"/>
        <v>0</v>
      </c>
      <c r="W8" s="15">
        <f t="shared" si="6"/>
        <v>8</v>
      </c>
      <c r="X8" s="10"/>
      <c r="Y8" s="30">
        <f>IF(W8&lt;U9,'Drilling Spec'!$C$35,0)</f>
        <v>0</v>
      </c>
      <c r="AA8" s="4">
        <f t="shared" si="19"/>
        <v>15</v>
      </c>
      <c r="AB8" s="10"/>
      <c r="AC8" s="30">
        <f>IF('04-07-25-Scen4-ExFrontloadCargo'!K9&gt;'04-07-25-Scen4-ExFrontloadCargo'!AA8,'Drilling Spec'!$C$36,)</f>
        <v>0</v>
      </c>
      <c r="AE8" s="18" t="e">
        <f>(I8-'Drilling Spec'!$C$26)/'Drilling Spec'!$C$38</f>
        <v>#VALUE!</v>
      </c>
      <c r="AF8" s="18">
        <f t="shared" si="7"/>
        <v>0</v>
      </c>
      <c r="AG8" s="34">
        <f t="shared" si="8"/>
        <v>0</v>
      </c>
      <c r="AH8" s="10"/>
      <c r="AI8" s="26">
        <f>IF(C8="Camp Closed",AG8,IF(AG8&lt;'Drilling Spec'!$C$39,,'Drilling Spec'!$C$39))</f>
        <v>0</v>
      </c>
      <c r="AL8" s="16" t="e">
        <f t="shared" si="9"/>
        <v>#N/A</v>
      </c>
      <c r="AM8" s="16" t="e">
        <f t="shared" si="10"/>
        <v>#N/A</v>
      </c>
      <c r="AN8">
        <f>-'Drilling Spec'!$C$29</f>
        <v>-720</v>
      </c>
      <c r="AO8">
        <f>-'Drilling Spec'!$C$27</f>
        <v>-624</v>
      </c>
      <c r="AP8">
        <f>-'Drilling Spec'!$C$28</f>
        <v>-688</v>
      </c>
      <c r="AQ8" t="e">
        <f t="shared" si="11"/>
        <v>#N/A</v>
      </c>
      <c r="AR8" t="e">
        <f>IF(X8=0,NA(),-'Drilling Spec'!$C$29*0.1)</f>
        <v>#N/A</v>
      </c>
      <c r="AS8" t="e">
        <f>IF(Y8=0,NA(),-'Drilling Spec'!$C$29*0.1)</f>
        <v>#N/A</v>
      </c>
      <c r="AT8" t="e">
        <f>IF(AB8=0,NA(),-'Drilling Spec'!$C$29*0.2)</f>
        <v>#N/A</v>
      </c>
      <c r="AU8" t="e">
        <f>IF(AC8=0,NA(),-'Drilling Spec'!$C$29*0.2)</f>
        <v>#N/A</v>
      </c>
      <c r="AV8" t="e">
        <f>IF(AH8=0,NA(),-'Drilling Spec'!$C$29*0.3)</f>
        <v>#N/A</v>
      </c>
      <c r="AW8" t="e">
        <f>IF(AI8=0,NA(),-'Drilling Spec'!$C$29*0.3)</f>
        <v>#N/A</v>
      </c>
      <c r="AX8" s="29">
        <f t="shared" si="12"/>
        <v>8</v>
      </c>
      <c r="AY8" s="29">
        <f t="shared" si="13"/>
        <v>15</v>
      </c>
      <c r="AZ8" s="29">
        <f t="shared" si="17"/>
        <v>0</v>
      </c>
      <c r="BT8" s="39" t="s">
        <v>183</v>
      </c>
      <c r="BU8" s="39"/>
      <c r="BV8" s="39"/>
      <c r="BW8" s="39"/>
      <c r="BX8" s="39"/>
      <c r="BY8" s="39"/>
      <c r="BZ8" s="39"/>
      <c r="CA8" s="39"/>
    </row>
    <row r="9" spans="1:79" x14ac:dyDescent="0.35">
      <c r="A9" s="28">
        <f t="shared" si="18"/>
        <v>45979</v>
      </c>
      <c r="B9" t="str">
        <f t="shared" si="0"/>
        <v>Tue</v>
      </c>
      <c r="C9" s="10" t="s">
        <v>4</v>
      </c>
      <c r="D9" s="10">
        <v>12</v>
      </c>
      <c r="E9" s="4">
        <f t="shared" si="1"/>
        <v>0</v>
      </c>
      <c r="F9" s="4">
        <f t="shared" si="2"/>
        <v>0</v>
      </c>
      <c r="G9" s="4">
        <f t="shared" si="3"/>
        <v>0</v>
      </c>
      <c r="H9" s="15" t="e">
        <f>(SQRT(4*I8*I8*V*V + 'Drilling Spec'!$C$42*I8 + W*('Drilling Spec'!$C$43 + 2*l*V*(s*W + 2*V*G9/(1+e)) + 'Drilling Spec'!$C$44)) - 'Drilling Spec'!$C$45)/(2*V)</f>
        <v>#VALUE!</v>
      </c>
      <c r="I9" s="23" t="str">
        <f>IF(AND(OR(I8=0,I8=""),F9=0),IF(F10=0,"",'Drilling Spec'!$C$26),H9)</f>
        <v/>
      </c>
      <c r="J9" s="16" t="e">
        <f>MAX(0,I9-'Drilling Spec'!$C$30)</f>
        <v>#VALUE!</v>
      </c>
      <c r="K9" s="18">
        <f>IFERROR(J9/'Drilling Spec'!$C$31,0)</f>
        <v>0</v>
      </c>
      <c r="L9" s="21">
        <f t="shared" si="4"/>
        <v>0</v>
      </c>
      <c r="M9" s="4">
        <f t="shared" si="14"/>
        <v>0</v>
      </c>
      <c r="N9" s="21">
        <f t="shared" si="5"/>
        <v>0</v>
      </c>
      <c r="O9" s="18">
        <f>(SQRT(4*O8*O8*vB*vB + 'Drilling Spec'!$C$48*O8 + WB*('Drilling Spec'!$C$49 + 2*lB*vB*(sB*WB + 2*vB*N9/(1+eB)) + 'Drilling Spec'!$C$50)) - 'Drilling Spec'!$C$51)/(2*vB)</f>
        <v>0</v>
      </c>
      <c r="P9" s="18">
        <f>IFERROR(((S9-'Drilling Spec'!$C$30)/'Drilling Spec'!$C$31)*'Drilling Spec'!$C$32,0)</f>
        <v>0</v>
      </c>
      <c r="Q9" s="18">
        <f t="shared" si="15"/>
        <v>0</v>
      </c>
      <c r="R9" s="18"/>
      <c r="S9" s="26" t="str">
        <f>IF(AND(OR(T8=0,T8=""),M9=0),IF(M10=0,"",'Drilling Spec'!$C$30),O9)</f>
        <v/>
      </c>
      <c r="U9" s="15">
        <f>E9*'Drilling Spec'!$C$22 + L9*'Drilling Spec'!$C$23</f>
        <v>0</v>
      </c>
      <c r="V9" s="15">
        <f t="shared" si="16"/>
        <v>0</v>
      </c>
      <c r="W9" s="15">
        <f t="shared" si="6"/>
        <v>8</v>
      </c>
      <c r="X9" s="10"/>
      <c r="Y9" s="30">
        <f>IF(W9&lt;U10,'Drilling Spec'!$C$35,0)</f>
        <v>0</v>
      </c>
      <c r="AA9" s="4">
        <f t="shared" si="19"/>
        <v>15</v>
      </c>
      <c r="AB9" s="10"/>
      <c r="AC9" s="30">
        <f>IF('04-07-25-Scen4-ExFrontloadCargo'!K10&gt;'04-07-25-Scen4-ExFrontloadCargo'!AA9,'Drilling Spec'!$C$36,)</f>
        <v>0</v>
      </c>
      <c r="AE9" s="18" t="e">
        <f>(I9-'Drilling Spec'!$C$26)/'Drilling Spec'!$C$38</f>
        <v>#VALUE!</v>
      </c>
      <c r="AF9" s="18">
        <f t="shared" si="7"/>
        <v>0</v>
      </c>
      <c r="AG9" s="34">
        <f t="shared" si="8"/>
        <v>0</v>
      </c>
      <c r="AH9" s="10"/>
      <c r="AI9" s="26">
        <f>IF(C9="Camp Closed",AG9,IF(AG9&lt;'Drilling Spec'!$C$39,,'Drilling Spec'!$C$39))</f>
        <v>0</v>
      </c>
      <c r="AL9" s="16" t="e">
        <f t="shared" si="9"/>
        <v>#N/A</v>
      </c>
      <c r="AM9" s="16" t="e">
        <f t="shared" si="10"/>
        <v>#N/A</v>
      </c>
      <c r="AN9">
        <f>-'Drilling Spec'!$C$29</f>
        <v>-720</v>
      </c>
      <c r="AO9">
        <f>-'Drilling Spec'!$C$27</f>
        <v>-624</v>
      </c>
      <c r="AP9">
        <f>-'Drilling Spec'!$C$28</f>
        <v>-688</v>
      </c>
      <c r="AQ9" t="e">
        <f t="shared" si="11"/>
        <v>#N/A</v>
      </c>
      <c r="AR9" t="e">
        <f>IF(X9=0,NA(),-'Drilling Spec'!$C$29*0.1)</f>
        <v>#N/A</v>
      </c>
      <c r="AS9" t="e">
        <f>IF(Y9=0,NA(),-'Drilling Spec'!$C$29*0.1)</f>
        <v>#N/A</v>
      </c>
      <c r="AT9" t="e">
        <f>IF(AB9=0,NA(),-'Drilling Spec'!$C$29*0.2)</f>
        <v>#N/A</v>
      </c>
      <c r="AU9" t="e">
        <f>IF(AC9=0,NA(),-'Drilling Spec'!$C$29*0.2)</f>
        <v>#N/A</v>
      </c>
      <c r="AV9" t="e">
        <f>IF(AH9=0,NA(),-'Drilling Spec'!$C$29*0.3)</f>
        <v>#N/A</v>
      </c>
      <c r="AW9" t="e">
        <f>IF(AI9=0,NA(),-'Drilling Spec'!$C$29*0.3)</f>
        <v>#N/A</v>
      </c>
      <c r="AX9" s="29">
        <f t="shared" si="12"/>
        <v>8</v>
      </c>
      <c r="AY9" s="29">
        <f t="shared" si="13"/>
        <v>15</v>
      </c>
      <c r="AZ9" s="29">
        <f t="shared" si="17"/>
        <v>0</v>
      </c>
      <c r="BT9" s="39"/>
      <c r="BU9" s="39"/>
      <c r="BV9" s="39"/>
      <c r="BW9" s="39"/>
      <c r="BX9" s="39"/>
      <c r="BY9" s="39"/>
      <c r="BZ9" s="39"/>
      <c r="CA9" s="39"/>
    </row>
    <row r="10" spans="1:79" x14ac:dyDescent="0.35">
      <c r="A10" s="28">
        <f t="shared" si="18"/>
        <v>45980</v>
      </c>
      <c r="B10" t="str">
        <f t="shared" si="0"/>
        <v>Wed</v>
      </c>
      <c r="C10" s="10" t="s">
        <v>4</v>
      </c>
      <c r="D10" s="10">
        <v>12</v>
      </c>
      <c r="E10" s="4">
        <f t="shared" si="1"/>
        <v>0</v>
      </c>
      <c r="F10" s="4">
        <f t="shared" si="2"/>
        <v>0</v>
      </c>
      <c r="G10" s="4">
        <f t="shared" si="3"/>
        <v>0</v>
      </c>
      <c r="H10" s="15" t="e">
        <f>(SQRT(4*I9*I9*V*V + 'Drilling Spec'!$C$42*I9 + W*('Drilling Spec'!$C$43 + 2*l*V*(s*W + 2*V*G10/(1+e)) + 'Drilling Spec'!$C$44)) - 'Drilling Spec'!$C$45)/(2*V)</f>
        <v>#VALUE!</v>
      </c>
      <c r="I10" s="23" t="str">
        <f>IF(AND(OR(I9=0,I9=""),F10=0),IF(F11=0,"",'Drilling Spec'!$C$26),H10)</f>
        <v/>
      </c>
      <c r="J10" s="16" t="e">
        <f>MAX(0,I10-'Drilling Spec'!$C$30)</f>
        <v>#VALUE!</v>
      </c>
      <c r="K10" s="18">
        <f>IFERROR(J10/'Drilling Spec'!$C$31,0)</f>
        <v>0</v>
      </c>
      <c r="L10" s="21">
        <f t="shared" si="4"/>
        <v>0</v>
      </c>
      <c r="M10" s="4">
        <f t="shared" si="14"/>
        <v>0</v>
      </c>
      <c r="N10" s="21">
        <f t="shared" si="5"/>
        <v>0</v>
      </c>
      <c r="O10" s="18">
        <f>(SQRT(4*O9*O9*vB*vB + 'Drilling Spec'!$C$48*O9 + WB*('Drilling Spec'!$C$49 + 2*lB*vB*(sB*WB + 2*vB*N10/(1+eB)) + 'Drilling Spec'!$C$50)) - 'Drilling Spec'!$C$51)/(2*vB)</f>
        <v>0</v>
      </c>
      <c r="P10" s="18">
        <f>IFERROR(((S10-'Drilling Spec'!$C$30)/'Drilling Spec'!$C$31)*'Drilling Spec'!$C$32,0)</f>
        <v>0</v>
      </c>
      <c r="Q10" s="18">
        <f t="shared" si="15"/>
        <v>0</v>
      </c>
      <c r="R10" s="18"/>
      <c r="S10" s="26" t="str">
        <f>IF(AND(OR(T9=0,T9=""),M10=0),IF(M11=0,"",'Drilling Spec'!$C$30),O10)</f>
        <v/>
      </c>
      <c r="U10" s="15">
        <f>E10*'Drilling Spec'!$C$22 + L10*'Drilling Spec'!$C$23</f>
        <v>0</v>
      </c>
      <c r="V10" s="15">
        <f t="shared" si="16"/>
        <v>0</v>
      </c>
      <c r="W10" s="15">
        <f t="shared" si="6"/>
        <v>8</v>
      </c>
      <c r="X10" s="10"/>
      <c r="Y10" s="30">
        <f>IF(W10&lt;U11,'Drilling Spec'!$C$35,0)</f>
        <v>0</v>
      </c>
      <c r="AA10" s="4">
        <f t="shared" si="19"/>
        <v>15</v>
      </c>
      <c r="AB10" s="10"/>
      <c r="AC10" s="30">
        <f>IF('04-07-25-Scen4-ExFrontloadCargo'!K11&gt;'04-07-25-Scen4-ExFrontloadCargo'!AA10,'Drilling Spec'!$C$36,)</f>
        <v>0</v>
      </c>
      <c r="AE10" s="18" t="e">
        <f>(I10-'Drilling Spec'!$C$26)/'Drilling Spec'!$C$38</f>
        <v>#VALUE!</v>
      </c>
      <c r="AF10" s="18">
        <f t="shared" si="7"/>
        <v>0</v>
      </c>
      <c r="AG10" s="34">
        <f t="shared" si="8"/>
        <v>0</v>
      </c>
      <c r="AH10" s="10"/>
      <c r="AI10" s="26">
        <f>IF(C10="Camp Closed",AG10,IF(AG10&lt;'Drilling Spec'!$C$39,,'Drilling Spec'!$C$39))</f>
        <v>0</v>
      </c>
      <c r="AL10" s="16" t="e">
        <f t="shared" si="9"/>
        <v>#N/A</v>
      </c>
      <c r="AM10" s="16" t="e">
        <f t="shared" si="10"/>
        <v>#N/A</v>
      </c>
      <c r="AN10">
        <f>-'Drilling Spec'!$C$29</f>
        <v>-720</v>
      </c>
      <c r="AO10">
        <f>-'Drilling Spec'!$C$27</f>
        <v>-624</v>
      </c>
      <c r="AP10">
        <f>-'Drilling Spec'!$C$28</f>
        <v>-688</v>
      </c>
      <c r="AQ10" t="e">
        <f t="shared" si="11"/>
        <v>#N/A</v>
      </c>
      <c r="AR10" t="e">
        <f>IF(X10=0,NA(),-'Drilling Spec'!$C$29*0.1)</f>
        <v>#N/A</v>
      </c>
      <c r="AS10" t="e">
        <f>IF(Y10=0,NA(),-'Drilling Spec'!$C$29*0.1)</f>
        <v>#N/A</v>
      </c>
      <c r="AT10" t="e">
        <f>IF(AB10=0,NA(),-'Drilling Spec'!$C$29*0.2)</f>
        <v>#N/A</v>
      </c>
      <c r="AU10" t="e">
        <f>IF(AC10=0,NA(),-'Drilling Spec'!$C$29*0.2)</f>
        <v>#N/A</v>
      </c>
      <c r="AV10" t="e">
        <f>IF(AH10=0,NA(),-'Drilling Spec'!$C$29*0.3)</f>
        <v>#N/A</v>
      </c>
      <c r="AW10" t="e">
        <f>IF(AI10=0,NA(),-'Drilling Spec'!$C$29*0.3)</f>
        <v>#N/A</v>
      </c>
      <c r="AX10" s="29">
        <f t="shared" si="12"/>
        <v>8</v>
      </c>
      <c r="AY10" s="29">
        <f t="shared" si="13"/>
        <v>15</v>
      </c>
      <c r="AZ10" s="29">
        <f t="shared" si="17"/>
        <v>0</v>
      </c>
      <c r="BT10" s="39"/>
      <c r="BU10" s="39"/>
      <c r="BV10" s="39"/>
      <c r="BW10" s="39"/>
      <c r="BX10" s="39"/>
      <c r="BY10" s="39"/>
      <c r="BZ10" s="39"/>
      <c r="CA10" s="39"/>
    </row>
    <row r="11" spans="1:79" x14ac:dyDescent="0.35">
      <c r="A11" s="28">
        <f t="shared" si="18"/>
        <v>45981</v>
      </c>
      <c r="B11" t="str">
        <f t="shared" si="0"/>
        <v>Thu</v>
      </c>
      <c r="C11" s="10" t="s">
        <v>4</v>
      </c>
      <c r="D11" s="10">
        <v>12</v>
      </c>
      <c r="E11" s="4">
        <f t="shared" si="1"/>
        <v>0</v>
      </c>
      <c r="F11" s="4">
        <f t="shared" si="2"/>
        <v>0</v>
      </c>
      <c r="G11" s="4">
        <f t="shared" si="3"/>
        <v>0</v>
      </c>
      <c r="H11" s="15" t="e">
        <f>(SQRT(4*I10*I10*V*V + 'Drilling Spec'!$C$42*I10 + W*('Drilling Spec'!$C$43 + 2*l*V*(s*W + 2*V*G11/(1+e)) + 'Drilling Spec'!$C$44)) - 'Drilling Spec'!$C$45)/(2*V)</f>
        <v>#VALUE!</v>
      </c>
      <c r="I11" s="23" t="str">
        <f>IF(AND(OR(I10=0,I10=""),F11=0),IF(F12=0,"",'Drilling Spec'!$C$26),H11)</f>
        <v/>
      </c>
      <c r="J11" s="16" t="e">
        <f>MAX(0,I11-'Drilling Spec'!$C$30)</f>
        <v>#VALUE!</v>
      </c>
      <c r="K11" s="18">
        <f>IFERROR(J11/'Drilling Spec'!$C$31,0)</f>
        <v>0</v>
      </c>
      <c r="L11" s="21">
        <f t="shared" si="4"/>
        <v>0</v>
      </c>
      <c r="M11" s="4">
        <f t="shared" si="14"/>
        <v>0</v>
      </c>
      <c r="N11" s="21">
        <f t="shared" si="5"/>
        <v>0</v>
      </c>
      <c r="O11" s="18">
        <f>(SQRT(4*O10*O10*vB*vB + 'Drilling Spec'!$C$48*O10 + WB*('Drilling Spec'!$C$49 + 2*lB*vB*(sB*WB + 2*vB*N11/(1+eB)) + 'Drilling Spec'!$C$50)) - 'Drilling Spec'!$C$51)/(2*vB)</f>
        <v>0</v>
      </c>
      <c r="P11" s="18">
        <f>IFERROR(((S11-'Drilling Spec'!$C$30)/'Drilling Spec'!$C$31)*'Drilling Spec'!$C$32,0)</f>
        <v>0</v>
      </c>
      <c r="Q11" s="18">
        <f t="shared" si="15"/>
        <v>0</v>
      </c>
      <c r="R11" s="18"/>
      <c r="S11" s="26" t="str">
        <f>IF(AND(OR(T10=0,T10=""),M11=0),IF(M12=0,"",'Drilling Spec'!$C$30),O11)</f>
        <v/>
      </c>
      <c r="U11" s="15">
        <f>E11*'Drilling Spec'!$C$22 + L11*'Drilling Spec'!$C$23</f>
        <v>0</v>
      </c>
      <c r="V11" s="15">
        <f t="shared" si="16"/>
        <v>0</v>
      </c>
      <c r="W11" s="15">
        <f t="shared" si="6"/>
        <v>8</v>
      </c>
      <c r="X11" s="10"/>
      <c r="Y11" s="30">
        <f>IF(W11&lt;U12,'Drilling Spec'!$C$35,0)</f>
        <v>0</v>
      </c>
      <c r="AA11" s="4">
        <f t="shared" si="19"/>
        <v>21</v>
      </c>
      <c r="AB11" s="10">
        <v>6</v>
      </c>
      <c r="AC11" s="30">
        <f>IF('04-07-25-Scen4-ExFrontloadCargo'!K12&gt;'04-07-25-Scen4-ExFrontloadCargo'!AA11,'Drilling Spec'!$C$36,)</f>
        <v>0</v>
      </c>
      <c r="AE11" s="18" t="e">
        <f>(I11-'Drilling Spec'!$C$26)/'Drilling Spec'!$C$38</f>
        <v>#VALUE!</v>
      </c>
      <c r="AF11" s="18">
        <f t="shared" si="7"/>
        <v>0</v>
      </c>
      <c r="AG11" s="34">
        <f t="shared" si="8"/>
        <v>0</v>
      </c>
      <c r="AH11" s="10"/>
      <c r="AI11" s="26">
        <f>IF(C11="Camp Closed",AG11,IF(AG11&lt;'Drilling Spec'!$C$39,,'Drilling Spec'!$C$39))</f>
        <v>0</v>
      </c>
      <c r="AL11" s="16" t="e">
        <f t="shared" si="9"/>
        <v>#N/A</v>
      </c>
      <c r="AM11" s="16" t="e">
        <f t="shared" si="10"/>
        <v>#N/A</v>
      </c>
      <c r="AN11">
        <f>-'Drilling Spec'!$C$29</f>
        <v>-720</v>
      </c>
      <c r="AO11">
        <f>-'Drilling Spec'!$C$27</f>
        <v>-624</v>
      </c>
      <c r="AP11">
        <f>-'Drilling Spec'!$C$28</f>
        <v>-688</v>
      </c>
      <c r="AQ11" t="e">
        <f t="shared" si="11"/>
        <v>#N/A</v>
      </c>
      <c r="AR11" t="e">
        <f>IF(X11=0,NA(),-'Drilling Spec'!$C$29*0.1)</f>
        <v>#N/A</v>
      </c>
      <c r="AS11" t="e">
        <f>IF(Y11=0,NA(),-'Drilling Spec'!$C$29*0.1)</f>
        <v>#N/A</v>
      </c>
      <c r="AT11">
        <f>IF(AB11=0,NA(),-'Drilling Spec'!$C$29*0.2)</f>
        <v>-144</v>
      </c>
      <c r="AU11" t="e">
        <f>IF(AC11=0,NA(),-'Drilling Spec'!$C$29*0.2)</f>
        <v>#N/A</v>
      </c>
      <c r="AV11" t="e">
        <f>IF(AH11=0,NA(),-'Drilling Spec'!$C$29*0.3)</f>
        <v>#N/A</v>
      </c>
      <c r="AW11" t="e">
        <f>IF(AI11=0,NA(),-'Drilling Spec'!$C$29*0.3)</f>
        <v>#N/A</v>
      </c>
      <c r="AX11" s="29">
        <f t="shared" si="12"/>
        <v>8</v>
      </c>
      <c r="AY11" s="29">
        <f t="shared" si="13"/>
        <v>21</v>
      </c>
      <c r="AZ11" s="29">
        <f t="shared" si="17"/>
        <v>0</v>
      </c>
      <c r="BS11" s="35"/>
      <c r="BT11" s="35"/>
      <c r="BU11" s="41" t="s">
        <v>7</v>
      </c>
      <c r="BV11" s="41"/>
      <c r="BW11" s="42" t="s">
        <v>182</v>
      </c>
      <c r="BX11" s="43"/>
      <c r="BY11" s="43"/>
      <c r="BZ11" s="43"/>
      <c r="CA11" s="43"/>
    </row>
    <row r="12" spans="1:79" x14ac:dyDescent="0.35">
      <c r="A12" s="28">
        <f t="shared" si="18"/>
        <v>45982</v>
      </c>
      <c r="B12" t="str">
        <f t="shared" si="0"/>
        <v>Fri</v>
      </c>
      <c r="C12" s="10" t="s">
        <v>4</v>
      </c>
      <c r="D12" s="10">
        <v>12</v>
      </c>
      <c r="E12" s="4">
        <f t="shared" si="1"/>
        <v>0</v>
      </c>
      <c r="F12" s="4">
        <f t="shared" si="2"/>
        <v>0</v>
      </c>
      <c r="G12" s="4">
        <f t="shared" si="3"/>
        <v>0</v>
      </c>
      <c r="H12" s="15" t="e">
        <f>(SQRT(4*I11*I11*V*V + 'Drilling Spec'!$C$42*I11 + W*('Drilling Spec'!$C$43 + 2*l*V*(s*W + 2*V*G12/(1+e)) + 'Drilling Spec'!$C$44)) - 'Drilling Spec'!$C$45)/(2*V)</f>
        <v>#VALUE!</v>
      </c>
      <c r="I12" s="23" t="str">
        <f>IF(AND(OR(I11=0,I11=""),F12=0),IF(F13=0,"",'Drilling Spec'!$C$26),H12)</f>
        <v/>
      </c>
      <c r="J12" s="16" t="e">
        <f>MAX(0,I12-'Drilling Spec'!$C$30)</f>
        <v>#VALUE!</v>
      </c>
      <c r="K12" s="18">
        <f>IFERROR(J12/'Drilling Spec'!$C$31,0)</f>
        <v>0</v>
      </c>
      <c r="L12" s="21">
        <f t="shared" si="4"/>
        <v>0</v>
      </c>
      <c r="M12" s="4">
        <f t="shared" si="14"/>
        <v>0</v>
      </c>
      <c r="N12" s="21">
        <f t="shared" si="5"/>
        <v>0</v>
      </c>
      <c r="O12" s="18">
        <f>(SQRT(4*O11*O11*vB*vB + 'Drilling Spec'!$C$48*O11 + WB*('Drilling Spec'!$C$49 + 2*lB*vB*(sB*WB + 2*vB*N12/(1+eB)) + 'Drilling Spec'!$C$50)) - 'Drilling Spec'!$C$51)/(2*vB)</f>
        <v>0</v>
      </c>
      <c r="P12" s="18">
        <f>IFERROR(((S12-'Drilling Spec'!$C$30)/'Drilling Spec'!$C$31)*'Drilling Spec'!$C$32,0)</f>
        <v>0</v>
      </c>
      <c r="Q12" s="18">
        <f t="shared" si="15"/>
        <v>0</v>
      </c>
      <c r="R12" s="18"/>
      <c r="S12" s="26" t="str">
        <f>IF(AND(OR(T11=0,T11=""),M12=0),IF(M13=0,"",'Drilling Spec'!$C$30),O12)</f>
        <v/>
      </c>
      <c r="U12" s="15">
        <f>E12*'Drilling Spec'!$C$22 + L12*'Drilling Spec'!$C$23</f>
        <v>0</v>
      </c>
      <c r="V12" s="15">
        <f t="shared" si="16"/>
        <v>0</v>
      </c>
      <c r="W12" s="15">
        <f t="shared" si="6"/>
        <v>8</v>
      </c>
      <c r="X12" s="10"/>
      <c r="Y12" s="30">
        <f>IF(W12&lt;U13,'Drilling Spec'!$C$35,0)</f>
        <v>0</v>
      </c>
      <c r="AA12" s="4">
        <f t="shared" si="19"/>
        <v>21</v>
      </c>
      <c r="AB12" s="10"/>
      <c r="AC12" s="30">
        <f>IF('04-07-25-Scen4-ExFrontloadCargo'!K13&gt;'04-07-25-Scen4-ExFrontloadCargo'!AA12,'Drilling Spec'!$C$36,)</f>
        <v>0</v>
      </c>
      <c r="AE12" s="18" t="e">
        <f>(I12-'Drilling Spec'!$C$26)/'Drilling Spec'!$C$38</f>
        <v>#VALUE!</v>
      </c>
      <c r="AF12" s="18">
        <f t="shared" si="7"/>
        <v>0</v>
      </c>
      <c r="AG12" s="34">
        <f t="shared" si="8"/>
        <v>0</v>
      </c>
      <c r="AH12" s="10"/>
      <c r="AI12" s="26">
        <f>IF(C12="Camp Closed",AG12,IF(AG12&lt;'Drilling Spec'!$C$39,,'Drilling Spec'!$C$39))</f>
        <v>0</v>
      </c>
      <c r="AL12" s="16" t="e">
        <f t="shared" si="9"/>
        <v>#N/A</v>
      </c>
      <c r="AM12" s="16" t="e">
        <f t="shared" si="10"/>
        <v>#N/A</v>
      </c>
      <c r="AN12">
        <f>-'Drilling Spec'!$C$29</f>
        <v>-720</v>
      </c>
      <c r="AO12">
        <f>-'Drilling Spec'!$C$27</f>
        <v>-624</v>
      </c>
      <c r="AP12">
        <f>-'Drilling Spec'!$C$28</f>
        <v>-688</v>
      </c>
      <c r="AQ12" t="e">
        <f t="shared" si="11"/>
        <v>#N/A</v>
      </c>
      <c r="AR12" t="e">
        <f>IF(X12=0,NA(),-'Drilling Spec'!$C$29*0.1)</f>
        <v>#N/A</v>
      </c>
      <c r="AS12" t="e">
        <f>IF(Y12=0,NA(),-'Drilling Spec'!$C$29*0.1)</f>
        <v>#N/A</v>
      </c>
      <c r="AT12" t="e">
        <f>IF(AB12=0,NA(),-'Drilling Spec'!$C$29*0.2)</f>
        <v>#N/A</v>
      </c>
      <c r="AU12" t="e">
        <f>IF(AC12=0,NA(),-'Drilling Spec'!$C$29*0.2)</f>
        <v>#N/A</v>
      </c>
      <c r="AV12" t="e">
        <f>IF(AH12=0,NA(),-'Drilling Spec'!$C$29*0.3)</f>
        <v>#N/A</v>
      </c>
      <c r="AW12" t="e">
        <f>IF(AI12=0,NA(),-'Drilling Spec'!$C$29*0.3)</f>
        <v>#N/A</v>
      </c>
      <c r="AX12" s="29">
        <f t="shared" si="12"/>
        <v>8</v>
      </c>
      <c r="AY12" s="29">
        <f t="shared" si="13"/>
        <v>21</v>
      </c>
      <c r="AZ12" s="29">
        <f t="shared" si="17"/>
        <v>0</v>
      </c>
      <c r="BS12" s="35"/>
      <c r="BT12" s="35"/>
      <c r="BU12" s="41" t="s">
        <v>9</v>
      </c>
      <c r="BV12" s="41"/>
      <c r="BW12" s="42" t="s">
        <v>181</v>
      </c>
      <c r="BX12" s="43"/>
      <c r="BY12" s="43"/>
      <c r="BZ12" s="43"/>
      <c r="CA12" s="43"/>
    </row>
    <row r="13" spans="1:79" x14ac:dyDescent="0.35">
      <c r="A13" s="28">
        <f t="shared" si="18"/>
        <v>45983</v>
      </c>
      <c r="B13" t="str">
        <f t="shared" si="0"/>
        <v>Sat</v>
      </c>
      <c r="C13" s="10" t="s">
        <v>4</v>
      </c>
      <c r="D13" s="10">
        <v>12</v>
      </c>
      <c r="E13" s="4">
        <f t="shared" si="1"/>
        <v>0</v>
      </c>
      <c r="F13" s="4">
        <f t="shared" si="2"/>
        <v>0</v>
      </c>
      <c r="G13" s="4">
        <f t="shared" si="3"/>
        <v>0</v>
      </c>
      <c r="H13" s="15" t="e">
        <f>(SQRT(4*I12*I12*V*V + 'Drilling Spec'!$C$42*I12 + W*('Drilling Spec'!$C$43 + 2*l*V*(s*W + 2*V*G13/(1+e)) + 'Drilling Spec'!$C$44)) - 'Drilling Spec'!$C$45)/(2*V)</f>
        <v>#VALUE!</v>
      </c>
      <c r="I13" s="23" t="str">
        <f>IF(AND(OR(I12=0,I12=""),F13=0),IF(F14=0,"",'Drilling Spec'!$C$26),H13)</f>
        <v/>
      </c>
      <c r="J13" s="16" t="e">
        <f>MAX(0,I13-'Drilling Spec'!$C$30)</f>
        <v>#VALUE!</v>
      </c>
      <c r="K13" s="18">
        <f>IFERROR(J13/'Drilling Spec'!$C$31,0)</f>
        <v>0</v>
      </c>
      <c r="L13" s="21">
        <f t="shared" si="4"/>
        <v>0</v>
      </c>
      <c r="M13" s="4">
        <f t="shared" si="14"/>
        <v>0</v>
      </c>
      <c r="N13" s="21">
        <f t="shared" si="5"/>
        <v>0</v>
      </c>
      <c r="O13" s="18">
        <f>(SQRT(4*O12*O12*vB*vB + 'Drilling Spec'!$C$48*O12 + WB*('Drilling Spec'!$C$49 + 2*lB*vB*(sB*WB + 2*vB*N13/(1+eB)) + 'Drilling Spec'!$C$50)) - 'Drilling Spec'!$C$51)/(2*vB)</f>
        <v>0</v>
      </c>
      <c r="P13" s="18">
        <f>IFERROR(((S13-'Drilling Spec'!$C$30)/'Drilling Spec'!$C$31)*'Drilling Spec'!$C$32,0)</f>
        <v>0</v>
      </c>
      <c r="Q13" s="18">
        <f t="shared" si="15"/>
        <v>0</v>
      </c>
      <c r="R13" s="18"/>
      <c r="S13" s="26" t="str">
        <f>IF(AND(OR(T12=0,T12=""),M13=0),IF(M14=0,"",'Drilling Spec'!$C$30),O13)</f>
        <v/>
      </c>
      <c r="U13" s="15">
        <f>E13*'Drilling Spec'!$C$22 + L13*'Drilling Spec'!$C$23</f>
        <v>0</v>
      </c>
      <c r="V13" s="15">
        <f t="shared" si="16"/>
        <v>0</v>
      </c>
      <c r="W13" s="15">
        <f t="shared" si="6"/>
        <v>8</v>
      </c>
      <c r="X13" s="10"/>
      <c r="Y13" s="30">
        <f>IF(W13&lt;U14,'Drilling Spec'!$C$35,0)</f>
        <v>0</v>
      </c>
      <c r="AA13" s="4">
        <f t="shared" si="19"/>
        <v>21</v>
      </c>
      <c r="AB13" s="10"/>
      <c r="AC13" s="30">
        <f>IF('04-07-25-Scen4-ExFrontloadCargo'!K14&gt;'04-07-25-Scen4-ExFrontloadCargo'!AA13,'Drilling Spec'!$C$36,)</f>
        <v>0</v>
      </c>
      <c r="AE13" s="18" t="e">
        <f>(I13-'Drilling Spec'!$C$26)/'Drilling Spec'!$C$38</f>
        <v>#VALUE!</v>
      </c>
      <c r="AF13" s="18">
        <f t="shared" si="7"/>
        <v>0</v>
      </c>
      <c r="AG13" s="34">
        <f t="shared" si="8"/>
        <v>0</v>
      </c>
      <c r="AH13" s="10"/>
      <c r="AI13" s="26">
        <f>IF(C13="Camp Closed",AG13,IF(AG13&lt;'Drilling Spec'!$C$39,,'Drilling Spec'!$C$39))</f>
        <v>0</v>
      </c>
      <c r="AL13" s="16" t="e">
        <f t="shared" si="9"/>
        <v>#N/A</v>
      </c>
      <c r="AM13" s="16" t="e">
        <f t="shared" si="10"/>
        <v>#N/A</v>
      </c>
      <c r="AN13">
        <f>-'Drilling Spec'!$C$29</f>
        <v>-720</v>
      </c>
      <c r="AO13">
        <f>-'Drilling Spec'!$C$27</f>
        <v>-624</v>
      </c>
      <c r="AP13">
        <f>-'Drilling Spec'!$C$28</f>
        <v>-688</v>
      </c>
      <c r="AQ13" t="e">
        <f t="shared" si="11"/>
        <v>#N/A</v>
      </c>
      <c r="AR13" t="e">
        <f>IF(X13=0,NA(),-'Drilling Spec'!$C$29*0.1)</f>
        <v>#N/A</v>
      </c>
      <c r="AS13" t="e">
        <f>IF(Y13=0,NA(),-'Drilling Spec'!$C$29*0.1)</f>
        <v>#N/A</v>
      </c>
      <c r="AT13" t="e">
        <f>IF(AB13=0,NA(),-'Drilling Spec'!$C$29*0.2)</f>
        <v>#N/A</v>
      </c>
      <c r="AU13" t="e">
        <f>IF(AC13=0,NA(),-'Drilling Spec'!$C$29*0.2)</f>
        <v>#N/A</v>
      </c>
      <c r="AV13" t="e">
        <f>IF(AH13=0,NA(),-'Drilling Spec'!$C$29*0.3)</f>
        <v>#N/A</v>
      </c>
      <c r="AW13" t="e">
        <f>IF(AI13=0,NA(),-'Drilling Spec'!$C$29*0.3)</f>
        <v>#N/A</v>
      </c>
      <c r="AX13" s="29">
        <f t="shared" si="12"/>
        <v>8</v>
      </c>
      <c r="AY13" s="29">
        <f t="shared" si="13"/>
        <v>21</v>
      </c>
      <c r="AZ13" s="29">
        <f t="shared" si="17"/>
        <v>0</v>
      </c>
      <c r="BS13" s="35"/>
      <c r="BT13" s="35"/>
      <c r="BU13" s="41" t="s">
        <v>10</v>
      </c>
      <c r="BV13" s="41"/>
      <c r="BW13" s="42" t="s">
        <v>180</v>
      </c>
      <c r="BX13" s="43"/>
      <c r="BY13" s="43"/>
      <c r="BZ13" s="43"/>
      <c r="CA13" s="43"/>
    </row>
    <row r="14" spans="1:79" x14ac:dyDescent="0.35">
      <c r="A14" s="28">
        <f t="shared" si="18"/>
        <v>45984</v>
      </c>
      <c r="B14" t="str">
        <f t="shared" si="0"/>
        <v>Sun</v>
      </c>
      <c r="C14" s="10" t="s">
        <v>7</v>
      </c>
      <c r="D14" s="10">
        <v>0</v>
      </c>
      <c r="E14" s="4">
        <f t="shared" si="1"/>
        <v>0</v>
      </c>
      <c r="F14" s="4">
        <f t="shared" si="2"/>
        <v>0</v>
      </c>
      <c r="G14" s="4">
        <f t="shared" si="3"/>
        <v>0</v>
      </c>
      <c r="H14" s="15" t="e">
        <f>(SQRT(4*I13*I13*V*V + 'Drilling Spec'!$C$42*I13 + W*('Drilling Spec'!$C$43 + 2*l*V*(s*W + 2*V*G14/(1+e)) + 'Drilling Spec'!$C$44)) - 'Drilling Spec'!$C$45)/(2*V)</f>
        <v>#VALUE!</v>
      </c>
      <c r="I14" s="23" t="str">
        <f>IF(AND(OR(I13=0,I13=""),F14=0),IF(F15=0,"",'Drilling Spec'!$C$26),H14)</f>
        <v/>
      </c>
      <c r="J14" s="16" t="e">
        <f>MAX(0,I14-'Drilling Spec'!$C$30)</f>
        <v>#VALUE!</v>
      </c>
      <c r="K14" s="18">
        <f>IFERROR(J14/'Drilling Spec'!$C$31,0)</f>
        <v>0</v>
      </c>
      <c r="L14" s="21">
        <f t="shared" si="4"/>
        <v>0</v>
      </c>
      <c r="M14" s="4">
        <f t="shared" si="14"/>
        <v>0</v>
      </c>
      <c r="N14" s="21">
        <f t="shared" si="5"/>
        <v>0</v>
      </c>
      <c r="O14" s="18">
        <f>(SQRT(4*O13*O13*vB*vB + 'Drilling Spec'!$C$48*O13 + WB*('Drilling Spec'!$C$49 + 2*lB*vB*(sB*WB + 2*vB*N14/(1+eB)) + 'Drilling Spec'!$C$50)) - 'Drilling Spec'!$C$51)/(2*vB)</f>
        <v>0</v>
      </c>
      <c r="P14" s="18">
        <f>IFERROR(((S14-'Drilling Spec'!$C$30)/'Drilling Spec'!$C$31)*'Drilling Spec'!$C$32,0)</f>
        <v>0</v>
      </c>
      <c r="Q14" s="18">
        <f t="shared" si="15"/>
        <v>0</v>
      </c>
      <c r="R14" s="18"/>
      <c r="S14" s="26" t="str">
        <f>IF(AND(OR(T13=0,T13=""),M14=0),IF(M15=0,"",'Drilling Spec'!$C$30),O14)</f>
        <v/>
      </c>
      <c r="U14" s="15">
        <f>E14*'Drilling Spec'!$C$22 + L14*'Drilling Spec'!$C$23</f>
        <v>0</v>
      </c>
      <c r="V14" s="15">
        <f t="shared" si="16"/>
        <v>0</v>
      </c>
      <c r="W14" s="15">
        <f t="shared" si="6"/>
        <v>8</v>
      </c>
      <c r="X14" s="10"/>
      <c r="Y14" s="30">
        <f>IF(W14&lt;U15,'Drilling Spec'!$C$35,0)</f>
        <v>0</v>
      </c>
      <c r="AA14" s="4">
        <f t="shared" si="19"/>
        <v>21</v>
      </c>
      <c r="AB14" s="10"/>
      <c r="AC14" s="30">
        <f>IF('04-07-25-Scen4-ExFrontloadCargo'!K15&gt;'04-07-25-Scen4-ExFrontloadCargo'!AA14,'Drilling Spec'!$C$36,)</f>
        <v>0</v>
      </c>
      <c r="AE14" s="18" t="e">
        <f>(I14-'Drilling Spec'!$C$26)/'Drilling Spec'!$C$38</f>
        <v>#VALUE!</v>
      </c>
      <c r="AF14" s="18">
        <f t="shared" si="7"/>
        <v>0</v>
      </c>
      <c r="AG14" s="34">
        <f t="shared" si="8"/>
        <v>0</v>
      </c>
      <c r="AH14" s="10"/>
      <c r="AI14" s="26">
        <f>IF(C14="Camp Closed",AG14,IF(AG14&lt;'Drilling Spec'!$C$39,,'Drilling Spec'!$C$39))</f>
        <v>0</v>
      </c>
      <c r="AL14" s="16" t="e">
        <f t="shared" si="9"/>
        <v>#N/A</v>
      </c>
      <c r="AM14" s="16" t="e">
        <f t="shared" si="10"/>
        <v>#N/A</v>
      </c>
      <c r="AN14">
        <f>-'Drilling Spec'!$C$29</f>
        <v>-720</v>
      </c>
      <c r="AO14">
        <f>-'Drilling Spec'!$C$27</f>
        <v>-624</v>
      </c>
      <c r="AP14">
        <f>-'Drilling Spec'!$C$28</f>
        <v>-688</v>
      </c>
      <c r="AQ14" t="e">
        <f t="shared" si="11"/>
        <v>#N/A</v>
      </c>
      <c r="AR14" t="e">
        <f>IF(X14=0,NA(),-'Drilling Spec'!$C$29*0.1)</f>
        <v>#N/A</v>
      </c>
      <c r="AS14" t="e">
        <f>IF(Y14=0,NA(),-'Drilling Spec'!$C$29*0.1)</f>
        <v>#N/A</v>
      </c>
      <c r="AT14" t="e">
        <f>IF(AB14=0,NA(),-'Drilling Spec'!$C$29*0.2)</f>
        <v>#N/A</v>
      </c>
      <c r="AU14" t="e">
        <f>IF(AC14=0,NA(),-'Drilling Spec'!$C$29*0.2)</f>
        <v>#N/A</v>
      </c>
      <c r="AV14" t="e">
        <f>IF(AH14=0,NA(),-'Drilling Spec'!$C$29*0.3)</f>
        <v>#N/A</v>
      </c>
      <c r="AW14" t="e">
        <f>IF(AI14=0,NA(),-'Drilling Spec'!$C$29*0.3)</f>
        <v>#N/A</v>
      </c>
      <c r="AX14" s="29">
        <f t="shared" si="12"/>
        <v>8</v>
      </c>
      <c r="AY14" s="29">
        <f t="shared" si="13"/>
        <v>21</v>
      </c>
      <c r="AZ14" s="29">
        <f t="shared" si="17"/>
        <v>0</v>
      </c>
      <c r="BS14" s="35"/>
      <c r="BT14" s="35"/>
      <c r="BU14" s="44" t="s">
        <v>71</v>
      </c>
      <c r="BV14" s="44"/>
      <c r="BW14" s="42" t="s">
        <v>179</v>
      </c>
      <c r="BX14" s="43"/>
      <c r="BY14" s="43"/>
      <c r="BZ14" s="43"/>
      <c r="CA14" s="43"/>
    </row>
    <row r="15" spans="1:79" x14ac:dyDescent="0.35">
      <c r="A15" s="28">
        <f t="shared" si="18"/>
        <v>45985</v>
      </c>
      <c r="B15" t="str">
        <f t="shared" si="0"/>
        <v>Mon</v>
      </c>
      <c r="C15" s="10" t="s">
        <v>4</v>
      </c>
      <c r="D15" s="10">
        <v>12</v>
      </c>
      <c r="E15" s="4">
        <f t="shared" si="1"/>
        <v>0</v>
      </c>
      <c r="F15" s="4">
        <f t="shared" si="2"/>
        <v>0</v>
      </c>
      <c r="G15" s="4">
        <f t="shared" si="3"/>
        <v>0</v>
      </c>
      <c r="H15" s="15" t="e">
        <f>(SQRT(4*I14*I14*V*V + 'Drilling Spec'!$C$42*I14 + W*('Drilling Spec'!$C$43 + 2*l*V*(s*W + 2*V*G15/(1+e)) + 'Drilling Spec'!$C$44)) - 'Drilling Spec'!$C$45)/(2*V)</f>
        <v>#VALUE!</v>
      </c>
      <c r="I15" s="23" t="str">
        <f>IF(AND(OR(I14=0,I14=""),F15=0),IF(F16=0,"",'Drilling Spec'!$C$26),H15)</f>
        <v/>
      </c>
      <c r="J15" s="16" t="e">
        <f>MAX(0,I15-'Drilling Spec'!$C$30)</f>
        <v>#VALUE!</v>
      </c>
      <c r="K15" s="18">
        <f>IFERROR(J15/'Drilling Spec'!$C$31,0)</f>
        <v>0</v>
      </c>
      <c r="L15" s="21">
        <f t="shared" si="4"/>
        <v>0</v>
      </c>
      <c r="M15" s="4">
        <f t="shared" si="14"/>
        <v>0</v>
      </c>
      <c r="N15" s="21">
        <f t="shared" si="5"/>
        <v>0</v>
      </c>
      <c r="O15" s="18">
        <f>(SQRT(4*O14*O14*vB*vB + 'Drilling Spec'!$C$48*O14 + WB*('Drilling Spec'!$C$49 + 2*lB*vB*(sB*WB + 2*vB*N15/(1+eB)) + 'Drilling Spec'!$C$50)) - 'Drilling Spec'!$C$51)/(2*vB)</f>
        <v>0</v>
      </c>
      <c r="P15" s="18">
        <f>IFERROR(((S15-'Drilling Spec'!$C$30)/'Drilling Spec'!$C$31)*'Drilling Spec'!$C$32,0)</f>
        <v>0</v>
      </c>
      <c r="Q15" s="18">
        <f t="shared" si="15"/>
        <v>0</v>
      </c>
      <c r="R15" s="18"/>
      <c r="S15" s="26" t="str">
        <f>IF(AND(OR(T14=0,T14=""),M15=0),IF(M16=0,"",'Drilling Spec'!$C$30),O15)</f>
        <v/>
      </c>
      <c r="U15" s="15">
        <f>E15*'Drilling Spec'!$C$22 + L15*'Drilling Spec'!$C$23</f>
        <v>0</v>
      </c>
      <c r="V15" s="15">
        <f t="shared" si="16"/>
        <v>0</v>
      </c>
      <c r="W15" s="15">
        <f t="shared" si="6"/>
        <v>8</v>
      </c>
      <c r="X15" s="10"/>
      <c r="Y15" s="30">
        <f>IF(W15&lt;U16,'Drilling Spec'!$C$35,0)</f>
        <v>0</v>
      </c>
      <c r="AA15" s="4">
        <f t="shared" si="19"/>
        <v>21</v>
      </c>
      <c r="AB15" s="10"/>
      <c r="AC15" s="30">
        <f>IF('04-07-25-Scen4-ExFrontloadCargo'!K16&gt;'04-07-25-Scen4-ExFrontloadCargo'!AA15,'Drilling Spec'!$C$36,)</f>
        <v>0</v>
      </c>
      <c r="AE15" s="18" t="e">
        <f>(I15-'Drilling Spec'!$C$26)/'Drilling Spec'!$C$38</f>
        <v>#VALUE!</v>
      </c>
      <c r="AF15" s="18">
        <f t="shared" si="7"/>
        <v>0</v>
      </c>
      <c r="AG15" s="34">
        <f t="shared" si="8"/>
        <v>0</v>
      </c>
      <c r="AH15" s="10"/>
      <c r="AI15" s="26">
        <f>IF(C15="Camp Closed",AG15,IF(AG15&lt;'Drilling Spec'!$C$39,,'Drilling Spec'!$C$39))</f>
        <v>0</v>
      </c>
      <c r="AL15" s="16" t="e">
        <f t="shared" si="9"/>
        <v>#N/A</v>
      </c>
      <c r="AM15" s="16" t="e">
        <f t="shared" si="10"/>
        <v>#N/A</v>
      </c>
      <c r="AN15">
        <f>-'Drilling Spec'!$C$29</f>
        <v>-720</v>
      </c>
      <c r="AO15">
        <f>-'Drilling Spec'!$C$27</f>
        <v>-624</v>
      </c>
      <c r="AP15">
        <f>-'Drilling Spec'!$C$28</f>
        <v>-688</v>
      </c>
      <c r="AQ15" t="e">
        <f t="shared" si="11"/>
        <v>#N/A</v>
      </c>
      <c r="AR15" t="e">
        <f>IF(X15=0,NA(),-'Drilling Spec'!$C$29*0.1)</f>
        <v>#N/A</v>
      </c>
      <c r="AS15" t="e">
        <f>IF(Y15=0,NA(),-'Drilling Spec'!$C$29*0.1)</f>
        <v>#N/A</v>
      </c>
      <c r="AT15" t="e">
        <f>IF(AB15=0,NA(),-'Drilling Spec'!$C$29*0.2)</f>
        <v>#N/A</v>
      </c>
      <c r="AU15" t="e">
        <f>IF(AC15=0,NA(),-'Drilling Spec'!$C$29*0.2)</f>
        <v>#N/A</v>
      </c>
      <c r="AV15" t="e">
        <f>IF(AH15=0,NA(),-'Drilling Spec'!$C$29*0.3)</f>
        <v>#N/A</v>
      </c>
      <c r="AW15" t="e">
        <f>IF(AI15=0,NA(),-'Drilling Spec'!$C$29*0.3)</f>
        <v>#N/A</v>
      </c>
      <c r="AX15" s="29">
        <f t="shared" si="12"/>
        <v>8</v>
      </c>
      <c r="AY15" s="29">
        <f t="shared" si="13"/>
        <v>21</v>
      </c>
      <c r="AZ15" s="29">
        <f t="shared" si="17"/>
        <v>0</v>
      </c>
      <c r="BS15" s="35"/>
      <c r="BT15" s="35"/>
      <c r="BU15" s="39" t="s">
        <v>185</v>
      </c>
      <c r="BV15" s="39"/>
      <c r="BW15" s="39"/>
      <c r="BX15" s="39"/>
      <c r="BY15" s="39"/>
      <c r="BZ15" s="39"/>
      <c r="CA15" s="39"/>
    </row>
    <row r="16" spans="1:79" x14ac:dyDescent="0.35">
      <c r="A16" s="28">
        <f t="shared" si="18"/>
        <v>45986</v>
      </c>
      <c r="B16" t="str">
        <f t="shared" si="0"/>
        <v>Tue</v>
      </c>
      <c r="C16" s="10" t="s">
        <v>4</v>
      </c>
      <c r="D16" s="10">
        <v>12</v>
      </c>
      <c r="E16" s="4">
        <f t="shared" si="1"/>
        <v>0</v>
      </c>
      <c r="F16" s="4">
        <f t="shared" si="2"/>
        <v>0</v>
      </c>
      <c r="G16" s="4">
        <f t="shared" si="3"/>
        <v>0</v>
      </c>
      <c r="H16" s="15" t="e">
        <f>(SQRT(4*I15*I15*V*V + 'Drilling Spec'!$C$42*I15 + W*('Drilling Spec'!$C$43 + 2*l*V*(s*W + 2*V*G16/(1+e)) + 'Drilling Spec'!$C$44)) - 'Drilling Spec'!$C$45)/(2*V)</f>
        <v>#VALUE!</v>
      </c>
      <c r="I16" s="23">
        <f>IF(AND(OR(I15=0,I15=""),F16=0),IF(F17=0,"",'Drilling Spec'!$C$26),H16)</f>
        <v>70</v>
      </c>
      <c r="J16" s="16">
        <f>MAX(0,I16-'Drilling Spec'!$C$30)</f>
        <v>0</v>
      </c>
      <c r="K16" s="18">
        <f>IFERROR(J16/'Drilling Spec'!$C$31,0)</f>
        <v>0</v>
      </c>
      <c r="L16" s="21">
        <f t="shared" si="4"/>
        <v>0</v>
      </c>
      <c r="M16" s="4">
        <f t="shared" si="14"/>
        <v>0</v>
      </c>
      <c r="N16" s="21">
        <f t="shared" si="5"/>
        <v>0</v>
      </c>
      <c r="O16" s="18">
        <f>(SQRT(4*O15*O15*vB*vB + 'Drilling Spec'!$C$48*O15 + WB*('Drilling Spec'!$C$49 + 2*lB*vB*(sB*WB + 2*vB*N16/(1+eB)) + 'Drilling Spec'!$C$50)) - 'Drilling Spec'!$C$51)/(2*vB)</f>
        <v>0</v>
      </c>
      <c r="P16" s="18">
        <f>IFERROR(((S16-'Drilling Spec'!$C$30)/'Drilling Spec'!$C$31)*'Drilling Spec'!$C$32,0)</f>
        <v>0</v>
      </c>
      <c r="Q16" s="18">
        <f t="shared" si="15"/>
        <v>0</v>
      </c>
      <c r="R16" s="18"/>
      <c r="S16" s="26" t="str">
        <f>IF(AND(OR(T15=0,T15=""),M16=0),IF(M17=0,"",'Drilling Spec'!$C$30),O16)</f>
        <v/>
      </c>
      <c r="U16" s="15">
        <f>E16*'Drilling Spec'!$C$22 + L16*'Drilling Spec'!$C$23</f>
        <v>0</v>
      </c>
      <c r="V16" s="15">
        <f t="shared" si="16"/>
        <v>0</v>
      </c>
      <c r="W16" s="15">
        <f t="shared" si="6"/>
        <v>8</v>
      </c>
      <c r="X16" s="10"/>
      <c r="Y16" s="30">
        <f>IF(W16&lt;U17,'Drilling Spec'!$C$35,0)</f>
        <v>0</v>
      </c>
      <c r="AA16" s="4">
        <f t="shared" si="19"/>
        <v>27</v>
      </c>
      <c r="AB16" s="10">
        <v>6</v>
      </c>
      <c r="AC16" s="30">
        <f>IF('04-07-25-Scen4-ExFrontloadCargo'!K17&gt;'04-07-25-Scen4-ExFrontloadCargo'!AA16,'Drilling Spec'!$C$36,)</f>
        <v>0</v>
      </c>
      <c r="AE16" s="18">
        <f>(I16-'Drilling Spec'!$C$26)/'Drilling Spec'!$C$38</f>
        <v>0</v>
      </c>
      <c r="AF16" s="18">
        <f t="shared" si="7"/>
        <v>0</v>
      </c>
      <c r="AG16" s="34">
        <f t="shared" si="8"/>
        <v>0</v>
      </c>
      <c r="AH16" s="10"/>
      <c r="AI16" s="26">
        <f>IF(C16="Camp Closed",AG16,IF(AG16&lt;'Drilling Spec'!$C$39,,'Drilling Spec'!$C$39))</f>
        <v>0</v>
      </c>
      <c r="AL16" s="16">
        <f t="shared" si="9"/>
        <v>-70</v>
      </c>
      <c r="AM16" s="16" t="e">
        <f t="shared" si="10"/>
        <v>#N/A</v>
      </c>
      <c r="AN16">
        <f>-'Drilling Spec'!$C$29</f>
        <v>-720</v>
      </c>
      <c r="AO16">
        <f>-'Drilling Spec'!$C$27</f>
        <v>-624</v>
      </c>
      <c r="AP16">
        <f>-'Drilling Spec'!$C$28</f>
        <v>-688</v>
      </c>
      <c r="AQ16" t="e">
        <f t="shared" si="11"/>
        <v>#N/A</v>
      </c>
      <c r="AR16" t="e">
        <f>IF(X16=0,NA(),-'Drilling Spec'!$C$29*0.1)</f>
        <v>#N/A</v>
      </c>
      <c r="AS16" t="e">
        <f>IF(Y16=0,NA(),-'Drilling Spec'!$C$29*0.1)</f>
        <v>#N/A</v>
      </c>
      <c r="AT16">
        <f>IF(AB16=0,NA(),-'Drilling Spec'!$C$29*0.2)</f>
        <v>-144</v>
      </c>
      <c r="AU16" t="e">
        <f>IF(AC16=0,NA(),-'Drilling Spec'!$C$29*0.2)</f>
        <v>#N/A</v>
      </c>
      <c r="AV16" t="e">
        <f>IF(AH16=0,NA(),-'Drilling Spec'!$C$29*0.3)</f>
        <v>#N/A</v>
      </c>
      <c r="AW16" t="e">
        <f>IF(AI16=0,NA(),-'Drilling Spec'!$C$29*0.3)</f>
        <v>#N/A</v>
      </c>
      <c r="AX16" s="29">
        <f t="shared" si="12"/>
        <v>8</v>
      </c>
      <c r="AY16" s="29">
        <f t="shared" si="13"/>
        <v>27</v>
      </c>
      <c r="AZ16" s="29">
        <f t="shared" si="17"/>
        <v>0</v>
      </c>
      <c r="BS16" s="35"/>
      <c r="BT16" s="35"/>
      <c r="BU16" s="39"/>
      <c r="BV16" s="39"/>
      <c r="BW16" s="39"/>
      <c r="BX16" s="39"/>
      <c r="BY16" s="39"/>
      <c r="BZ16" s="39"/>
      <c r="CA16" s="39"/>
    </row>
    <row r="17" spans="1:79" x14ac:dyDescent="0.35">
      <c r="A17" s="28">
        <f t="shared" si="18"/>
        <v>45987</v>
      </c>
      <c r="B17" t="str">
        <f t="shared" si="0"/>
        <v>Wed</v>
      </c>
      <c r="C17" s="10" t="s">
        <v>9</v>
      </c>
      <c r="D17" s="10">
        <v>8</v>
      </c>
      <c r="E17" s="4">
        <f t="shared" si="1"/>
        <v>8</v>
      </c>
      <c r="F17" s="4">
        <f t="shared" si="2"/>
        <v>8</v>
      </c>
      <c r="G17" s="4">
        <f t="shared" si="3"/>
        <v>480</v>
      </c>
      <c r="H17" s="15">
        <f>(SQRT(4*I16*I16*V*V + 'Drilling Spec'!$C$42*I16 + W*('Drilling Spec'!$C$43 + 2*l*V*(s*W + 2*V*G17/(1+e)) + 'Drilling Spec'!$C$44)) - 'Drilling Spec'!$C$45)/(2*V)</f>
        <v>79.833321918590045</v>
      </c>
      <c r="I17" s="23">
        <f>IF(AND(OR(I16=0,I16=""),F17=0),IF(F18=0,"",'Drilling Spec'!$C$26),H17)</f>
        <v>79.833321918590045</v>
      </c>
      <c r="J17" s="16">
        <f>MAX(0,I17-'Drilling Spec'!$C$30)</f>
        <v>0</v>
      </c>
      <c r="K17" s="18">
        <f>IFERROR(J17/'Drilling Spec'!$C$31,0)</f>
        <v>0</v>
      </c>
      <c r="L17" s="21">
        <f t="shared" si="4"/>
        <v>0</v>
      </c>
      <c r="M17" s="4">
        <f t="shared" si="14"/>
        <v>0</v>
      </c>
      <c r="N17" s="21">
        <f t="shared" si="5"/>
        <v>0</v>
      </c>
      <c r="O17" s="18">
        <f>(SQRT(4*O16*O16*vB*vB + 'Drilling Spec'!$C$48*O16 + WB*('Drilling Spec'!$C$49 + 2*lB*vB*(sB*WB + 2*vB*N17/(1+eB)) + 'Drilling Spec'!$C$50)) - 'Drilling Spec'!$C$51)/(2*vB)</f>
        <v>0</v>
      </c>
      <c r="P17" s="18">
        <f>IFERROR(((S17-'Drilling Spec'!$C$30)/'Drilling Spec'!$C$31)*'Drilling Spec'!$C$32,0)</f>
        <v>0</v>
      </c>
      <c r="Q17" s="18">
        <f t="shared" si="15"/>
        <v>0</v>
      </c>
      <c r="R17" s="18"/>
      <c r="S17" s="26" t="str">
        <f>IF(AND(OR(T16=0,T16=""),M17=0),IF(M18=0,"",'Drilling Spec'!$C$30),O17)</f>
        <v/>
      </c>
      <c r="U17" s="15">
        <f>E17*'Drilling Spec'!$C$22 + L17*'Drilling Spec'!$C$23</f>
        <v>0.16032520325203253</v>
      </c>
      <c r="V17" s="15">
        <f t="shared" si="16"/>
        <v>0.16032520325203253</v>
      </c>
      <c r="W17" s="15">
        <f>W16-U17+X16+Y16</f>
        <v>7.8396747967479676</v>
      </c>
      <c r="X17" s="10"/>
      <c r="Y17" s="30">
        <f>IF(W17&lt;U18,'Drilling Spec'!$C$35,0)</f>
        <v>0</v>
      </c>
      <c r="AA17" s="4">
        <f t="shared" si="19"/>
        <v>27</v>
      </c>
      <c r="AB17" s="10"/>
      <c r="AC17" s="30">
        <f>IF('04-07-25-Scen4-ExFrontloadCargo'!K18&gt;'04-07-25-Scen4-ExFrontloadCargo'!AA17,'Drilling Spec'!$C$36,)</f>
        <v>0</v>
      </c>
      <c r="AE17" s="18">
        <f>(I17-'Drilling Spec'!$C$26)/'Drilling Spec'!$C$38</f>
        <v>1.6388869864316742</v>
      </c>
      <c r="AF17" s="18">
        <f t="shared" si="7"/>
        <v>1.6388869864316742</v>
      </c>
      <c r="AG17" s="34">
        <f t="shared" si="8"/>
        <v>1.6388869864316742</v>
      </c>
      <c r="AH17" s="10"/>
      <c r="AI17" s="26">
        <f>IF(C17="Camp Closed",AG17,IF(AG17&lt;'Drilling Spec'!$C$39,,'Drilling Spec'!$C$39))</f>
        <v>0</v>
      </c>
      <c r="AL17" s="16">
        <f t="shared" si="9"/>
        <v>-79.833321918590045</v>
      </c>
      <c r="AM17" s="16" t="e">
        <f t="shared" si="10"/>
        <v>#N/A</v>
      </c>
      <c r="AN17">
        <f>-'Drilling Spec'!$C$29</f>
        <v>-720</v>
      </c>
      <c r="AO17">
        <f>-'Drilling Spec'!$C$27</f>
        <v>-624</v>
      </c>
      <c r="AP17">
        <f>-'Drilling Spec'!$C$28</f>
        <v>-688</v>
      </c>
      <c r="AQ17" t="e">
        <f t="shared" si="11"/>
        <v>#N/A</v>
      </c>
      <c r="AR17" t="e">
        <f>IF(X17=0,NA(),-'Drilling Spec'!$C$29*0.1)</f>
        <v>#N/A</v>
      </c>
      <c r="AS17" t="e">
        <f>IF(Y17=0,NA(),-'Drilling Spec'!$C$29*0.1)</f>
        <v>#N/A</v>
      </c>
      <c r="AT17" t="e">
        <f>IF(AB17=0,NA(),-'Drilling Spec'!$C$29*0.2)</f>
        <v>#N/A</v>
      </c>
      <c r="AU17" t="e">
        <f>IF(AC17=0,NA(),-'Drilling Spec'!$C$29*0.2)</f>
        <v>#N/A</v>
      </c>
      <c r="AV17" t="e">
        <f>IF(AH17=0,NA(),-'Drilling Spec'!$C$29*0.3)</f>
        <v>#N/A</v>
      </c>
      <c r="AW17" t="e">
        <f>IF(AI17=0,NA(),-'Drilling Spec'!$C$29*0.3)</f>
        <v>#N/A</v>
      </c>
      <c r="AX17" s="29">
        <f t="shared" si="12"/>
        <v>7.8396747967479676</v>
      </c>
      <c r="AY17" s="29">
        <f t="shared" si="13"/>
        <v>27</v>
      </c>
      <c r="AZ17" s="29">
        <f t="shared" si="17"/>
        <v>1.6388869864316742</v>
      </c>
      <c r="BS17" s="35"/>
      <c r="BU17" s="38" t="s">
        <v>186</v>
      </c>
      <c r="BV17" s="38"/>
      <c r="BW17" s="38"/>
      <c r="BX17" s="38"/>
      <c r="BY17" s="38"/>
      <c r="BZ17" s="38"/>
      <c r="CA17" s="38"/>
    </row>
    <row r="18" spans="1:79" x14ac:dyDescent="0.35">
      <c r="A18" s="28">
        <f t="shared" si="18"/>
        <v>45988</v>
      </c>
      <c r="B18" t="str">
        <f t="shared" si="0"/>
        <v>Thu</v>
      </c>
      <c r="C18" s="10" t="s">
        <v>9</v>
      </c>
      <c r="D18" s="10">
        <v>8</v>
      </c>
      <c r="E18" s="4">
        <f t="shared" si="1"/>
        <v>8</v>
      </c>
      <c r="F18" s="4">
        <f t="shared" si="2"/>
        <v>16</v>
      </c>
      <c r="G18" s="4">
        <f t="shared" si="3"/>
        <v>480</v>
      </c>
      <c r="H18" s="15">
        <f>(SQRT(4*I17*I17*V*V + 'Drilling Spec'!$C$42*I17 + W*('Drilling Spec'!$C$43 + 2*l*V*(s*W + 2*V*G18/(1+e)) + 'Drilling Spec'!$C$44)) - 'Drilling Spec'!$C$45)/(2*V)</f>
        <v>89.510213628273647</v>
      </c>
      <c r="I18" s="23">
        <f>IF(AND(OR(I17=0,I17=""),F18=0),IF(F19=0,"",'Drilling Spec'!$C$26),H18)</f>
        <v>89.510213628273647</v>
      </c>
      <c r="J18" s="16">
        <f>MAX(0,I18-'Drilling Spec'!$C$30)</f>
        <v>9.5102136282736467</v>
      </c>
      <c r="K18" s="18">
        <f>IFERROR(J18/'Drilling Spec'!$C$31,0)</f>
        <v>0.63401424188490973</v>
      </c>
      <c r="L18" s="21">
        <f t="shared" si="4"/>
        <v>0</v>
      </c>
      <c r="M18" s="4">
        <f t="shared" si="14"/>
        <v>0</v>
      </c>
      <c r="N18" s="21">
        <f t="shared" si="5"/>
        <v>0</v>
      </c>
      <c r="O18" s="18">
        <f>(SQRT(4*O17*O17*vB*vB + 'Drilling Spec'!$C$48*O17 + WB*('Drilling Spec'!$C$49 + 2*lB*vB*(sB*WB + 2*vB*N18/(1+eB)) + 'Drilling Spec'!$C$50)) - 'Drilling Spec'!$C$51)/(2*vB)</f>
        <v>0</v>
      </c>
      <c r="P18" s="18">
        <f>IFERROR(((S18-'Drilling Spec'!$C$30)/'Drilling Spec'!$C$31)*'Drilling Spec'!$C$32,0)</f>
        <v>0</v>
      </c>
      <c r="Q18" s="18">
        <f t="shared" si="15"/>
        <v>0</v>
      </c>
      <c r="R18" s="18"/>
      <c r="S18" s="26" t="str">
        <f>IF(AND(OR(T17=0,T17=""),M18=0),IF(M19=0,"",'Drilling Spec'!$C$30),O18)</f>
        <v/>
      </c>
      <c r="U18" s="15">
        <f>E18*'Drilling Spec'!$C$22 + L18*'Drilling Spec'!$C$23</f>
        <v>0.16032520325203253</v>
      </c>
      <c r="V18" s="15">
        <f t="shared" si="16"/>
        <v>0.32065040650406507</v>
      </c>
      <c r="W18" s="15">
        <f t="shared" si="6"/>
        <v>7.6793495934959353</v>
      </c>
      <c r="X18" s="10"/>
      <c r="Y18" s="30">
        <f>IF(W18&lt;U19,'Drilling Spec'!$C$35,0)</f>
        <v>0</v>
      </c>
      <c r="AA18" s="4">
        <f t="shared" si="19"/>
        <v>27</v>
      </c>
      <c r="AB18" s="10"/>
      <c r="AC18" s="30">
        <f>IF('04-07-25-Scen4-ExFrontloadCargo'!K19&gt;'04-07-25-Scen4-ExFrontloadCargo'!AA18,'Drilling Spec'!$C$36,)</f>
        <v>0</v>
      </c>
      <c r="AE18" s="18">
        <f>(I18-'Drilling Spec'!$C$26)/'Drilling Spec'!$C$38</f>
        <v>3.251702271378941</v>
      </c>
      <c r="AF18" s="18">
        <f t="shared" si="7"/>
        <v>1.6128152849472668</v>
      </c>
      <c r="AG18" s="34">
        <f t="shared" si="8"/>
        <v>3.251702271378941</v>
      </c>
      <c r="AH18" s="10"/>
      <c r="AI18" s="26">
        <f>IF(C18="Camp Closed",AG18,IF(AG18&lt;'Drilling Spec'!$C$39,,'Drilling Spec'!$C$39))</f>
        <v>0</v>
      </c>
      <c r="AL18" s="16">
        <f t="shared" si="9"/>
        <v>-89.510213628273647</v>
      </c>
      <c r="AM18" s="16" t="e">
        <f t="shared" si="10"/>
        <v>#N/A</v>
      </c>
      <c r="AN18">
        <f>-'Drilling Spec'!$C$29</f>
        <v>-720</v>
      </c>
      <c r="AO18">
        <f>-'Drilling Spec'!$C$27</f>
        <v>-624</v>
      </c>
      <c r="AP18">
        <f>-'Drilling Spec'!$C$28</f>
        <v>-688</v>
      </c>
      <c r="AQ18" t="e">
        <f t="shared" si="11"/>
        <v>#N/A</v>
      </c>
      <c r="AR18" t="e">
        <f>IF(X18=0,NA(),-'Drilling Spec'!$C$29*0.1)</f>
        <v>#N/A</v>
      </c>
      <c r="AS18" t="e">
        <f>IF(Y18=0,NA(),-'Drilling Spec'!$C$29*0.1)</f>
        <v>#N/A</v>
      </c>
      <c r="AT18" t="e">
        <f>IF(AB18=0,NA(),-'Drilling Spec'!$C$29*0.2)</f>
        <v>#N/A</v>
      </c>
      <c r="AU18" t="e">
        <f>IF(AC18=0,NA(),-'Drilling Spec'!$C$29*0.2)</f>
        <v>#N/A</v>
      </c>
      <c r="AV18" t="e">
        <f>IF(AH18=0,NA(),-'Drilling Spec'!$C$29*0.3)</f>
        <v>#N/A</v>
      </c>
      <c r="AW18" t="e">
        <f>IF(AI18=0,NA(),-'Drilling Spec'!$C$29*0.3)</f>
        <v>#N/A</v>
      </c>
      <c r="AX18" s="29">
        <f t="shared" si="12"/>
        <v>7.6793495934959353</v>
      </c>
      <c r="AY18" s="29">
        <f t="shared" si="13"/>
        <v>26.365985758115091</v>
      </c>
      <c r="AZ18" s="29">
        <f t="shared" si="17"/>
        <v>3.251702271378941</v>
      </c>
      <c r="BS18" s="35"/>
      <c r="BU18" s="38"/>
      <c r="BV18" s="38"/>
      <c r="BW18" s="38"/>
      <c r="BX18" s="38"/>
      <c r="BY18" s="38"/>
      <c r="BZ18" s="38"/>
      <c r="CA18" s="38"/>
    </row>
    <row r="19" spans="1:79" ht="15" customHeight="1" x14ac:dyDescent="0.35">
      <c r="A19" s="28">
        <f t="shared" si="18"/>
        <v>45989</v>
      </c>
      <c r="B19" t="str">
        <f t="shared" si="0"/>
        <v>Fri</v>
      </c>
      <c r="C19" s="10" t="s">
        <v>9</v>
      </c>
      <c r="D19" s="10">
        <v>8</v>
      </c>
      <c r="E19" s="4">
        <f t="shared" si="1"/>
        <v>8</v>
      </c>
      <c r="F19" s="4">
        <f t="shared" si="2"/>
        <v>24</v>
      </c>
      <c r="G19" s="4">
        <f t="shared" si="3"/>
        <v>480</v>
      </c>
      <c r="H19" s="15">
        <f>(SQRT(4*I18*I18*V*V + 'Drilling Spec'!$C$42*I18 + W*('Drilling Spec'!$C$43 + 2*l*V*(s*W + 2*V*G19/(1+e)) + 'Drilling Spec'!$C$44)) - 'Drilling Spec'!$C$45)/(2*V)</f>
        <v>99.037911344051594</v>
      </c>
      <c r="I19" s="23">
        <f>IF(AND(OR(I18=0,I18=""),F19=0),IF(F20=0,"",'Drilling Spec'!$C$26),H19)</f>
        <v>99.037911344051594</v>
      </c>
      <c r="J19" s="16">
        <f>MAX(0,I19-'Drilling Spec'!$C$30)</f>
        <v>19.037911344051594</v>
      </c>
      <c r="K19" s="18">
        <f>IFERROR(J19/'Drilling Spec'!$C$31,0)</f>
        <v>1.2691940896034395</v>
      </c>
      <c r="L19" s="21">
        <f t="shared" si="4"/>
        <v>0</v>
      </c>
      <c r="M19" s="4">
        <f t="shared" si="14"/>
        <v>0</v>
      </c>
      <c r="N19" s="21">
        <f t="shared" si="5"/>
        <v>0</v>
      </c>
      <c r="O19" s="18">
        <f>(SQRT(4*O18*O18*vB*vB + 'Drilling Spec'!$C$48*O18 + WB*('Drilling Spec'!$C$49 + 2*lB*vB*(sB*WB + 2*vB*N19/(1+eB)) + 'Drilling Spec'!$C$50)) - 'Drilling Spec'!$C$51)/(2*vB)</f>
        <v>0</v>
      </c>
      <c r="P19" s="18">
        <f>IFERROR(((S19-'Drilling Spec'!$C$30)/'Drilling Spec'!$C$31)*'Drilling Spec'!$C$32,0)</f>
        <v>0</v>
      </c>
      <c r="Q19" s="18">
        <f t="shared" si="15"/>
        <v>0</v>
      </c>
      <c r="R19" s="18"/>
      <c r="S19" s="26" t="str">
        <f>IF(AND(OR(T18=0,T18=""),M19=0),IF(M20=0,"",'Drilling Spec'!$C$30),O19)</f>
        <v/>
      </c>
      <c r="U19" s="15">
        <f>E19*'Drilling Spec'!$C$22 + L19*'Drilling Spec'!$C$23</f>
        <v>0.16032520325203253</v>
      </c>
      <c r="V19" s="15">
        <f t="shared" si="16"/>
        <v>0.4809756097560976</v>
      </c>
      <c r="W19" s="15">
        <f t="shared" si="6"/>
        <v>7.5190243902439029</v>
      </c>
      <c r="X19" s="10"/>
      <c r="Y19" s="30">
        <f>IF(W19&lt;U20,'Drilling Spec'!$C$35,0)</f>
        <v>0</v>
      </c>
      <c r="AA19" s="4">
        <f t="shared" si="19"/>
        <v>27</v>
      </c>
      <c r="AB19" s="10"/>
      <c r="AC19" s="30">
        <f>IF('04-07-25-Scen4-ExFrontloadCargo'!K20&gt;'04-07-25-Scen4-ExFrontloadCargo'!AA19,'Drilling Spec'!$C$36,)</f>
        <v>0</v>
      </c>
      <c r="AE19" s="18">
        <f>(I19-'Drilling Spec'!$C$26)/'Drilling Spec'!$C$38</f>
        <v>4.8396518906752659</v>
      </c>
      <c r="AF19" s="18">
        <f t="shared" si="7"/>
        <v>1.5879496192963249</v>
      </c>
      <c r="AG19" s="34">
        <f t="shared" si="8"/>
        <v>4.8396518906752659</v>
      </c>
      <c r="AH19" s="10"/>
      <c r="AI19" s="26">
        <f>IF(C19="Camp Closed",AG19,IF(AG19&lt;'Drilling Spec'!$C$39,,'Drilling Spec'!$C$39))</f>
        <v>0</v>
      </c>
      <c r="AL19" s="16">
        <f t="shared" si="9"/>
        <v>-99.037911344051594</v>
      </c>
      <c r="AM19" s="16" t="e">
        <f t="shared" si="10"/>
        <v>#N/A</v>
      </c>
      <c r="AN19">
        <f>-'Drilling Spec'!$C$29</f>
        <v>-720</v>
      </c>
      <c r="AO19">
        <f>-'Drilling Spec'!$C$27</f>
        <v>-624</v>
      </c>
      <c r="AP19">
        <f>-'Drilling Spec'!$C$28</f>
        <v>-688</v>
      </c>
      <c r="AQ19" t="e">
        <f t="shared" si="11"/>
        <v>#N/A</v>
      </c>
      <c r="AR19" t="e">
        <f>IF(X19=0,NA(),-'Drilling Spec'!$C$29*0.1)</f>
        <v>#N/A</v>
      </c>
      <c r="AS19" t="e">
        <f>IF(Y19=0,NA(),-'Drilling Spec'!$C$29*0.1)</f>
        <v>#N/A</v>
      </c>
      <c r="AT19" t="e">
        <f>IF(AB19=0,NA(),-'Drilling Spec'!$C$29*0.2)</f>
        <v>#N/A</v>
      </c>
      <c r="AU19" t="e">
        <f>IF(AC19=0,NA(),-'Drilling Spec'!$C$29*0.2)</f>
        <v>#N/A</v>
      </c>
      <c r="AV19" t="e">
        <f>IF(AH19=0,NA(),-'Drilling Spec'!$C$29*0.3)</f>
        <v>#N/A</v>
      </c>
      <c r="AW19" t="e">
        <f>IF(AI19=0,NA(),-'Drilling Spec'!$C$29*0.3)</f>
        <v>#N/A</v>
      </c>
      <c r="AX19" s="29">
        <f t="shared" si="12"/>
        <v>7.5190243902439029</v>
      </c>
      <c r="AY19" s="29">
        <f t="shared" si="13"/>
        <v>25.730805910396562</v>
      </c>
      <c r="AZ19" s="29">
        <f t="shared" si="17"/>
        <v>4.8396518906752659</v>
      </c>
      <c r="BS19" s="35"/>
      <c r="BU19" s="40" t="s">
        <v>187</v>
      </c>
      <c r="BV19" s="40"/>
      <c r="BW19" s="40"/>
      <c r="BX19" s="40"/>
      <c r="BY19" s="40"/>
      <c r="BZ19" s="40"/>
      <c r="CA19" s="40"/>
    </row>
    <row r="20" spans="1:79" x14ac:dyDescent="0.35">
      <c r="A20" s="28">
        <f t="shared" si="18"/>
        <v>45990</v>
      </c>
      <c r="B20" t="str">
        <f t="shared" si="0"/>
        <v>Sat</v>
      </c>
      <c r="C20" s="10" t="s">
        <v>9</v>
      </c>
      <c r="D20" s="10">
        <v>24</v>
      </c>
      <c r="E20" s="4">
        <f t="shared" si="1"/>
        <v>24</v>
      </c>
      <c r="F20" s="4">
        <f t="shared" si="2"/>
        <v>48</v>
      </c>
      <c r="G20" s="4">
        <f t="shared" si="3"/>
        <v>1440</v>
      </c>
      <c r="H20" s="15">
        <f>(SQRT(4*I19*I19*V*V + 'Drilling Spec'!$C$42*I19 + W*('Drilling Spec'!$C$43 + 2*l*V*(s*W + 2*V*G20/(1+e)) + 'Drilling Spec'!$C$44)) - 'Drilling Spec'!$C$45)/(2*V)</f>
        <v>126.79040696937267</v>
      </c>
      <c r="I20" s="23">
        <f>IF(AND(OR(I19=0,I19=""),F20=0),IF(F21=0,"",'Drilling Spec'!$C$26),H20)</f>
        <v>126.79040696937267</v>
      </c>
      <c r="J20" s="16">
        <f>MAX(0,I20-'Drilling Spec'!$C$30)</f>
        <v>46.790406969372668</v>
      </c>
      <c r="K20" s="18">
        <f>IFERROR(J20/'Drilling Spec'!$C$31,0)</f>
        <v>3.1193604646248447</v>
      </c>
      <c r="L20" s="21">
        <f t="shared" si="4"/>
        <v>0</v>
      </c>
      <c r="M20" s="4">
        <f t="shared" si="14"/>
        <v>0</v>
      </c>
      <c r="N20" s="21">
        <f t="shared" si="5"/>
        <v>0</v>
      </c>
      <c r="O20" s="18">
        <f>(SQRT(4*O19*O19*vB*vB + 'Drilling Spec'!$C$48*O19 + WB*('Drilling Spec'!$C$49 + 2*lB*vB*(sB*WB + 2*vB*N20/(1+eB)) + 'Drilling Spec'!$C$50)) - 'Drilling Spec'!$C$51)/(2*vB)</f>
        <v>0</v>
      </c>
      <c r="P20" s="18">
        <f>IFERROR(((S20-'Drilling Spec'!$C$30)/'Drilling Spec'!$C$31)*'Drilling Spec'!$C$32,0)</f>
        <v>0</v>
      </c>
      <c r="Q20" s="18">
        <f t="shared" si="15"/>
        <v>0</v>
      </c>
      <c r="R20" s="18"/>
      <c r="S20" s="26" t="str">
        <f>IF(AND(OR(T19=0,T19=""),M20=0),IF(M21=0,"",'Drilling Spec'!$C$30),O20)</f>
        <v/>
      </c>
      <c r="U20" s="15">
        <f>E20*'Drilling Spec'!$C$22 + L20*'Drilling Spec'!$C$23</f>
        <v>0.4809756097560976</v>
      </c>
      <c r="V20" s="15">
        <f t="shared" si="16"/>
        <v>0.9619512195121952</v>
      </c>
      <c r="W20" s="15">
        <f t="shared" si="6"/>
        <v>7.0380487804878049</v>
      </c>
      <c r="X20" s="10"/>
      <c r="Y20" s="30">
        <f>IF(W20&lt;U21,'Drilling Spec'!$C$35,0)</f>
        <v>0</v>
      </c>
      <c r="AA20" s="4">
        <f t="shared" si="19"/>
        <v>27</v>
      </c>
      <c r="AB20" s="10"/>
      <c r="AC20" s="30">
        <f>IF('04-07-25-Scen4-ExFrontloadCargo'!K21&gt;'04-07-25-Scen4-ExFrontloadCargo'!AA20,'Drilling Spec'!$C$36,)</f>
        <v>0</v>
      </c>
      <c r="AE20" s="18">
        <f>(I20-'Drilling Spec'!$C$26)/'Drilling Spec'!$C$38</f>
        <v>9.4650678282287775</v>
      </c>
      <c r="AF20" s="18">
        <f t="shared" si="7"/>
        <v>4.6254159375535115</v>
      </c>
      <c r="AG20" s="34">
        <f t="shared" si="8"/>
        <v>9.4650678282287775</v>
      </c>
      <c r="AH20" s="10"/>
      <c r="AI20" s="26">
        <f>IF(C20="Camp Closed",AG20,IF(AG20&lt;'Drilling Spec'!$C$39,,'Drilling Spec'!$C$39))</f>
        <v>0</v>
      </c>
      <c r="AL20" s="16">
        <f t="shared" si="9"/>
        <v>-126.79040696937267</v>
      </c>
      <c r="AM20" s="16" t="e">
        <f t="shared" si="10"/>
        <v>#N/A</v>
      </c>
      <c r="AN20">
        <f>-'Drilling Spec'!$C$29</f>
        <v>-720</v>
      </c>
      <c r="AO20">
        <f>-'Drilling Spec'!$C$27</f>
        <v>-624</v>
      </c>
      <c r="AP20">
        <f>-'Drilling Spec'!$C$28</f>
        <v>-688</v>
      </c>
      <c r="AQ20" t="e">
        <f t="shared" si="11"/>
        <v>#N/A</v>
      </c>
      <c r="AR20" t="e">
        <f>IF(X20=0,NA(),-'Drilling Spec'!$C$29*0.1)</f>
        <v>#N/A</v>
      </c>
      <c r="AS20" t="e">
        <f>IF(Y20=0,NA(),-'Drilling Spec'!$C$29*0.1)</f>
        <v>#N/A</v>
      </c>
      <c r="AT20" t="e">
        <f>IF(AB20=0,NA(),-'Drilling Spec'!$C$29*0.2)</f>
        <v>#N/A</v>
      </c>
      <c r="AU20" t="e">
        <f>IF(AC20=0,NA(),-'Drilling Spec'!$C$29*0.2)</f>
        <v>#N/A</v>
      </c>
      <c r="AV20" t="e">
        <f>IF(AH20=0,NA(),-'Drilling Spec'!$C$29*0.3)</f>
        <v>#N/A</v>
      </c>
      <c r="AW20" t="e">
        <f>IF(AI20=0,NA(),-'Drilling Spec'!$C$29*0.3)</f>
        <v>#N/A</v>
      </c>
      <c r="AX20" s="29">
        <f t="shared" si="12"/>
        <v>7.0380487804878049</v>
      </c>
      <c r="AY20" s="29">
        <f t="shared" si="13"/>
        <v>23.880639535375156</v>
      </c>
      <c r="AZ20" s="29">
        <f t="shared" si="17"/>
        <v>9.4650678282287775</v>
      </c>
      <c r="BS20" s="35"/>
      <c r="BU20" s="40"/>
      <c r="BV20" s="40"/>
      <c r="BW20" s="40"/>
      <c r="BX20" s="40"/>
      <c r="BY20" s="40"/>
      <c r="BZ20" s="40"/>
      <c r="CA20" s="40"/>
    </row>
    <row r="21" spans="1:79" x14ac:dyDescent="0.35">
      <c r="A21" s="28">
        <f t="shared" si="18"/>
        <v>45991</v>
      </c>
      <c r="B21" t="str">
        <f t="shared" si="0"/>
        <v>Sun</v>
      </c>
      <c r="C21" s="10" t="s">
        <v>7</v>
      </c>
      <c r="D21" s="10">
        <v>0</v>
      </c>
      <c r="E21" s="4">
        <f t="shared" si="1"/>
        <v>0</v>
      </c>
      <c r="F21" s="4">
        <f t="shared" si="2"/>
        <v>48</v>
      </c>
      <c r="G21" s="4">
        <f t="shared" si="3"/>
        <v>0</v>
      </c>
      <c r="H21" s="15">
        <f>(SQRT(4*I20*I20*V*V + 'Drilling Spec'!$C$42*I20 + W*('Drilling Spec'!$C$43 + 2*l*V*(s*W + 2*V*G21/(1+e)) + 'Drilling Spec'!$C$44)) - 'Drilling Spec'!$C$45)/(2*V)</f>
        <v>126.79040696937267</v>
      </c>
      <c r="I21" s="23">
        <f>IF(AND(OR(I20=0,I20=""),F21=0),IF(F22=0,"",'Drilling Spec'!$C$26),H21)</f>
        <v>126.79040696937267</v>
      </c>
      <c r="J21" s="16">
        <f>MAX(0,I21-'Drilling Spec'!$C$30)</f>
        <v>46.790406969372668</v>
      </c>
      <c r="K21" s="18">
        <f>IFERROR(J21/'Drilling Spec'!$C$31,0)</f>
        <v>3.1193604646248447</v>
      </c>
      <c r="L21" s="21">
        <f t="shared" si="4"/>
        <v>0</v>
      </c>
      <c r="M21" s="4">
        <f t="shared" si="14"/>
        <v>0</v>
      </c>
      <c r="N21" s="21">
        <f t="shared" si="5"/>
        <v>0</v>
      </c>
      <c r="O21" s="18">
        <f>(SQRT(4*O20*O20*vB*vB + 'Drilling Spec'!$C$48*O20 + WB*('Drilling Spec'!$C$49 + 2*lB*vB*(sB*WB + 2*vB*N21/(1+eB)) + 'Drilling Spec'!$C$50)) - 'Drilling Spec'!$C$51)/(2*vB)</f>
        <v>0</v>
      </c>
      <c r="P21" s="18">
        <f>IFERROR(((S21-'Drilling Spec'!$C$30)/'Drilling Spec'!$C$31)*'Drilling Spec'!$C$32,0)</f>
        <v>0</v>
      </c>
      <c r="Q21" s="18">
        <f t="shared" si="15"/>
        <v>0</v>
      </c>
      <c r="R21" s="18"/>
      <c r="S21" s="26" t="str">
        <f>IF(AND(OR(T20=0,T20=""),M21=0),IF(M22=0,"",'Drilling Spec'!$C$30),O21)</f>
        <v/>
      </c>
      <c r="U21" s="15">
        <f>E21*'Drilling Spec'!$C$22 + L21*'Drilling Spec'!$C$23</f>
        <v>0</v>
      </c>
      <c r="V21" s="15">
        <f t="shared" si="16"/>
        <v>0.9619512195121952</v>
      </c>
      <c r="W21" s="15">
        <f t="shared" si="6"/>
        <v>7.0380487804878049</v>
      </c>
      <c r="X21" s="10"/>
      <c r="Y21" s="30">
        <f>IF(W21&lt;U22,'Drilling Spec'!$C$35,0)</f>
        <v>0</v>
      </c>
      <c r="AA21" s="4">
        <f t="shared" si="19"/>
        <v>27</v>
      </c>
      <c r="AB21" s="10"/>
      <c r="AC21" s="30">
        <f>IF('04-07-25-Scen4-ExFrontloadCargo'!K22&gt;'04-07-25-Scen4-ExFrontloadCargo'!AA21,'Drilling Spec'!$C$36,)</f>
        <v>0</v>
      </c>
      <c r="AE21" s="18">
        <f>(I21-'Drilling Spec'!$C$26)/'Drilling Spec'!$C$38</f>
        <v>9.4650678282287775</v>
      </c>
      <c r="AF21" s="18">
        <f t="shared" si="7"/>
        <v>0</v>
      </c>
      <c r="AG21" s="34">
        <f t="shared" si="8"/>
        <v>9.4650678282287775</v>
      </c>
      <c r="AH21" s="10"/>
      <c r="AI21" s="26">
        <f>IF(C21="Camp Closed",AG21,IF(AG21&lt;'Drilling Spec'!$C$39,,'Drilling Spec'!$C$39))</f>
        <v>0</v>
      </c>
      <c r="AL21" s="16">
        <f t="shared" si="9"/>
        <v>-126.79040696937267</v>
      </c>
      <c r="AM21" s="16" t="e">
        <f t="shared" si="10"/>
        <v>#N/A</v>
      </c>
      <c r="AN21">
        <f>-'Drilling Spec'!$C$29</f>
        <v>-720</v>
      </c>
      <c r="AO21">
        <f>-'Drilling Spec'!$C$27</f>
        <v>-624</v>
      </c>
      <c r="AP21">
        <f>-'Drilling Spec'!$C$28</f>
        <v>-688</v>
      </c>
      <c r="AQ21" t="e">
        <f t="shared" si="11"/>
        <v>#N/A</v>
      </c>
      <c r="AR21" t="e">
        <f>IF(X21=0,NA(),-'Drilling Spec'!$C$29*0.1)</f>
        <v>#N/A</v>
      </c>
      <c r="AS21" t="e">
        <f>IF(Y21=0,NA(),-'Drilling Spec'!$C$29*0.1)</f>
        <v>#N/A</v>
      </c>
      <c r="AT21" t="e">
        <f>IF(AB21=0,NA(),-'Drilling Spec'!$C$29*0.2)</f>
        <v>#N/A</v>
      </c>
      <c r="AU21" t="e">
        <f>IF(AC21=0,NA(),-'Drilling Spec'!$C$29*0.2)</f>
        <v>#N/A</v>
      </c>
      <c r="AV21" t="e">
        <f>IF(AH21=0,NA(),-'Drilling Spec'!$C$29*0.3)</f>
        <v>#N/A</v>
      </c>
      <c r="AW21" t="e">
        <f>IF(AI21=0,NA(),-'Drilling Spec'!$C$29*0.3)</f>
        <v>#N/A</v>
      </c>
      <c r="AX21" s="29">
        <f t="shared" si="12"/>
        <v>7.0380487804878049</v>
      </c>
      <c r="AY21" s="29">
        <f t="shared" si="13"/>
        <v>23.880639535375156</v>
      </c>
      <c r="AZ21" s="29">
        <f t="shared" si="17"/>
        <v>9.4650678282287775</v>
      </c>
      <c r="BS21" s="35"/>
      <c r="BU21" s="40"/>
      <c r="BV21" s="40"/>
      <c r="BW21" s="40"/>
      <c r="BX21" s="40"/>
      <c r="BY21" s="40"/>
      <c r="BZ21" s="40"/>
      <c r="CA21" s="40"/>
    </row>
    <row r="22" spans="1:79" x14ac:dyDescent="0.35">
      <c r="A22" s="28">
        <f t="shared" si="18"/>
        <v>45992</v>
      </c>
      <c r="B22" t="str">
        <f t="shared" si="0"/>
        <v>Mon</v>
      </c>
      <c r="C22" s="10" t="s">
        <v>9</v>
      </c>
      <c r="D22" s="10">
        <v>24</v>
      </c>
      <c r="E22" s="4">
        <f t="shared" si="1"/>
        <v>24</v>
      </c>
      <c r="F22" s="4">
        <f t="shared" si="2"/>
        <v>72</v>
      </c>
      <c r="G22" s="4">
        <f t="shared" si="3"/>
        <v>1440</v>
      </c>
      <c r="H22" s="15">
        <f>(SQRT(4*I21*I21*V*V + 'Drilling Spec'!$C$42*I21 + W*('Drilling Spec'!$C$43 + 2*l*V*(s*W + 2*V*G22/(1+e)) + 'Drilling Spec'!$C$44)) - 'Drilling Spec'!$C$45)/(2*V)</f>
        <v>153.41443656587367</v>
      </c>
      <c r="I22" s="23">
        <f>IF(AND(OR(I21=0,I21=""),F22=0),IF(F23=0,"",'Drilling Spec'!$C$26),H22)</f>
        <v>153.41443656587367</v>
      </c>
      <c r="J22" s="16">
        <f>MAX(0,I22-'Drilling Spec'!$C$30)</f>
        <v>73.414436565873672</v>
      </c>
      <c r="K22" s="18">
        <f>IFERROR(J22/'Drilling Spec'!$C$31,0)</f>
        <v>4.8942957710582444</v>
      </c>
      <c r="L22" s="21">
        <f t="shared" si="4"/>
        <v>0</v>
      </c>
      <c r="M22" s="4">
        <f t="shared" si="14"/>
        <v>0</v>
      </c>
      <c r="N22" s="21">
        <f t="shared" si="5"/>
        <v>0</v>
      </c>
      <c r="O22" s="18">
        <f>(SQRT(4*O21*O21*vB*vB + 'Drilling Spec'!$C$48*O21 + WB*('Drilling Spec'!$C$49 + 2*lB*vB*(sB*WB + 2*vB*N22/(1+eB)) + 'Drilling Spec'!$C$50)) - 'Drilling Spec'!$C$51)/(2*vB)</f>
        <v>0</v>
      </c>
      <c r="P22" s="18">
        <f>IFERROR(((S22-'Drilling Spec'!$C$30)/'Drilling Spec'!$C$31)*'Drilling Spec'!$C$32,0)</f>
        <v>0</v>
      </c>
      <c r="Q22" s="18">
        <f t="shared" si="15"/>
        <v>0</v>
      </c>
      <c r="R22" s="18"/>
      <c r="S22" s="26" t="str">
        <f>IF(AND(OR(T21=0,T21=""),M22=0),IF(M23=0,"",'Drilling Spec'!$C$30),O22)</f>
        <v/>
      </c>
      <c r="U22" s="15">
        <f>E22*'Drilling Spec'!$C$22 + L22*'Drilling Spec'!$C$23</f>
        <v>0.4809756097560976</v>
      </c>
      <c r="V22" s="15">
        <f t="shared" si="16"/>
        <v>1.4429268292682929</v>
      </c>
      <c r="W22" s="15">
        <f t="shared" si="6"/>
        <v>6.5570731707317069</v>
      </c>
      <c r="X22" s="10"/>
      <c r="Y22" s="30">
        <f>IF(W22&lt;U23,'Drilling Spec'!$C$35,0)</f>
        <v>0</v>
      </c>
      <c r="AA22" s="4">
        <f t="shared" si="19"/>
        <v>27</v>
      </c>
      <c r="AB22" s="10"/>
      <c r="AC22" s="30">
        <f>IF('04-07-25-Scen4-ExFrontloadCargo'!K23&gt;'04-07-25-Scen4-ExFrontloadCargo'!AA22,'Drilling Spec'!$C$36,)</f>
        <v>0</v>
      </c>
      <c r="AE22" s="18">
        <f>(I22-'Drilling Spec'!$C$26)/'Drilling Spec'!$C$38</f>
        <v>13.902406094312278</v>
      </c>
      <c r="AF22" s="18">
        <f t="shared" si="7"/>
        <v>4.4373382660835006</v>
      </c>
      <c r="AG22" s="34">
        <f t="shared" si="8"/>
        <v>13.902406094312278</v>
      </c>
      <c r="AH22" s="10"/>
      <c r="AI22" s="26">
        <f>IF(C22="Camp Closed",AG22,IF(AG22&lt;'Drilling Spec'!$C$39,,'Drilling Spec'!$C$39))</f>
        <v>0</v>
      </c>
      <c r="AL22" s="16">
        <f t="shared" si="9"/>
        <v>-153.41443656587367</v>
      </c>
      <c r="AM22" s="16" t="e">
        <f t="shared" si="10"/>
        <v>#N/A</v>
      </c>
      <c r="AN22">
        <f>-'Drilling Spec'!$C$29</f>
        <v>-720</v>
      </c>
      <c r="AO22">
        <f>-'Drilling Spec'!$C$27</f>
        <v>-624</v>
      </c>
      <c r="AP22">
        <f>-'Drilling Spec'!$C$28</f>
        <v>-688</v>
      </c>
      <c r="AQ22" t="e">
        <f t="shared" si="11"/>
        <v>#N/A</v>
      </c>
      <c r="AR22" t="e">
        <f>IF(X22=0,NA(),-'Drilling Spec'!$C$29*0.1)</f>
        <v>#N/A</v>
      </c>
      <c r="AS22" t="e">
        <f>IF(Y22=0,NA(),-'Drilling Spec'!$C$29*0.1)</f>
        <v>#N/A</v>
      </c>
      <c r="AT22" t="e">
        <f>IF(AB22=0,NA(),-'Drilling Spec'!$C$29*0.2)</f>
        <v>#N/A</v>
      </c>
      <c r="AU22" t="e">
        <f>IF(AC22=0,NA(),-'Drilling Spec'!$C$29*0.2)</f>
        <v>#N/A</v>
      </c>
      <c r="AV22" t="e">
        <f>IF(AH22=0,NA(),-'Drilling Spec'!$C$29*0.3)</f>
        <v>#N/A</v>
      </c>
      <c r="AW22" t="e">
        <f>IF(AI22=0,NA(),-'Drilling Spec'!$C$29*0.3)</f>
        <v>#N/A</v>
      </c>
      <c r="AX22" s="29">
        <f t="shared" si="12"/>
        <v>6.5570731707317069</v>
      </c>
      <c r="AY22" s="29">
        <f t="shared" si="13"/>
        <v>22.105704228941754</v>
      </c>
      <c r="AZ22" s="29">
        <f t="shared" si="17"/>
        <v>13.902406094312278</v>
      </c>
      <c r="BS22" s="35"/>
      <c r="BU22" s="40"/>
      <c r="BV22" s="40"/>
      <c r="BW22" s="40"/>
      <c r="BX22" s="40"/>
      <c r="BY22" s="40"/>
      <c r="BZ22" s="40"/>
      <c r="CA22" s="40"/>
    </row>
    <row r="23" spans="1:79" x14ac:dyDescent="0.35">
      <c r="A23" s="28">
        <f t="shared" si="18"/>
        <v>45993</v>
      </c>
      <c r="B23" t="str">
        <f t="shared" si="0"/>
        <v>Tue</v>
      </c>
      <c r="C23" s="10" t="s">
        <v>9</v>
      </c>
      <c r="D23" s="10">
        <v>24</v>
      </c>
      <c r="E23" s="4">
        <f t="shared" si="1"/>
        <v>24</v>
      </c>
      <c r="F23" s="4">
        <f t="shared" si="2"/>
        <v>96</v>
      </c>
      <c r="G23" s="4">
        <f t="shared" si="3"/>
        <v>1440</v>
      </c>
      <c r="H23" s="15">
        <f>(SQRT(4*I22*I22*V*V + 'Drilling Spec'!$C$42*I22 + W*('Drilling Spec'!$C$43 + 2*l*V*(s*W + 2*V*G23/(1+e)) + 'Drilling Spec'!$C$44)) - 'Drilling Spec'!$C$45)/(2*V)</f>
        <v>179.03739374715821</v>
      </c>
      <c r="I23" s="23">
        <f>IF(AND(OR(I22=0,I22=""),F23=0),IF(F24=0,"",'Drilling Spec'!$C$26),H23)</f>
        <v>179.03739374715821</v>
      </c>
      <c r="J23" s="16">
        <f>MAX(0,I23-'Drilling Spec'!$C$30)</f>
        <v>99.037393747158205</v>
      </c>
      <c r="K23" s="18">
        <f>IFERROR(J23/'Drilling Spec'!$C$31,0)</f>
        <v>6.6024929164772139</v>
      </c>
      <c r="L23" s="21">
        <f t="shared" si="4"/>
        <v>0</v>
      </c>
      <c r="M23" s="4">
        <f t="shared" si="14"/>
        <v>0</v>
      </c>
      <c r="N23" s="21">
        <f t="shared" si="5"/>
        <v>0</v>
      </c>
      <c r="O23" s="18">
        <f>(SQRT(4*O22*O22*vB*vB + 'Drilling Spec'!$C$48*O22 + WB*('Drilling Spec'!$C$49 + 2*lB*vB*(sB*WB + 2*vB*N23/(1+eB)) + 'Drilling Spec'!$C$50)) - 'Drilling Spec'!$C$51)/(2*vB)</f>
        <v>0</v>
      </c>
      <c r="P23" s="18">
        <f>IFERROR(((S23-'Drilling Spec'!$C$30)/'Drilling Spec'!$C$31)*'Drilling Spec'!$C$32,0)</f>
        <v>0</v>
      </c>
      <c r="Q23" s="18">
        <f t="shared" si="15"/>
        <v>0</v>
      </c>
      <c r="R23" s="18"/>
      <c r="S23" s="26" t="str">
        <f>IF(AND(OR(T22=0,T22=""),M23=0),IF(M24=0,"",'Drilling Spec'!$C$30),O23)</f>
        <v/>
      </c>
      <c r="U23" s="15">
        <f>E23*'Drilling Spec'!$C$22 + L23*'Drilling Spec'!$C$23</f>
        <v>0.4809756097560976</v>
      </c>
      <c r="V23" s="15">
        <f t="shared" si="16"/>
        <v>1.9239024390243904</v>
      </c>
      <c r="W23" s="15">
        <f t="shared" si="6"/>
        <v>6.0760975609756089</v>
      </c>
      <c r="X23" s="10"/>
      <c r="Y23" s="30">
        <f>IF(W23&lt;U24,'Drilling Spec'!$C$35,0)</f>
        <v>0</v>
      </c>
      <c r="AA23" s="4">
        <f t="shared" si="19"/>
        <v>27</v>
      </c>
      <c r="AB23" s="10"/>
      <c r="AC23" s="30">
        <f>IF('04-07-25-Scen4-ExFrontloadCargo'!K24&gt;'04-07-25-Scen4-ExFrontloadCargo'!AA23,'Drilling Spec'!$C$36,)</f>
        <v>0</v>
      </c>
      <c r="AE23" s="18">
        <f>(I23-'Drilling Spec'!$C$26)/'Drilling Spec'!$C$38</f>
        <v>18.172898957859701</v>
      </c>
      <c r="AF23" s="18">
        <f t="shared" si="7"/>
        <v>4.2704928635474229</v>
      </c>
      <c r="AG23" s="34">
        <f t="shared" si="8"/>
        <v>18.172898957859701</v>
      </c>
      <c r="AH23" s="10"/>
      <c r="AI23" s="26">
        <f>IF(C23="Camp Closed",AG23,IF(AG23&lt;'Drilling Spec'!$C$39,,'Drilling Spec'!$C$39))</f>
        <v>0</v>
      </c>
      <c r="AL23" s="16">
        <f t="shared" si="9"/>
        <v>-179.03739374715821</v>
      </c>
      <c r="AM23" s="16" t="e">
        <f t="shared" si="10"/>
        <v>#N/A</v>
      </c>
      <c r="AN23">
        <f>-'Drilling Spec'!$C$29</f>
        <v>-720</v>
      </c>
      <c r="AO23">
        <f>-'Drilling Spec'!$C$27</f>
        <v>-624</v>
      </c>
      <c r="AP23">
        <f>-'Drilling Spec'!$C$28</f>
        <v>-688</v>
      </c>
      <c r="AQ23" t="e">
        <f t="shared" si="11"/>
        <v>#N/A</v>
      </c>
      <c r="AR23" t="e">
        <f>IF(X23=0,NA(),-'Drilling Spec'!$C$29*0.1)</f>
        <v>#N/A</v>
      </c>
      <c r="AS23" t="e">
        <f>IF(Y23=0,NA(),-'Drilling Spec'!$C$29*0.1)</f>
        <v>#N/A</v>
      </c>
      <c r="AT23" t="e">
        <f>IF(AB23=0,NA(),-'Drilling Spec'!$C$29*0.2)</f>
        <v>#N/A</v>
      </c>
      <c r="AU23" t="e">
        <f>IF(AC23=0,NA(),-'Drilling Spec'!$C$29*0.2)</f>
        <v>#N/A</v>
      </c>
      <c r="AV23" t="e">
        <f>IF(AH23=0,NA(),-'Drilling Spec'!$C$29*0.3)</f>
        <v>#N/A</v>
      </c>
      <c r="AW23" t="e">
        <f>IF(AI23=0,NA(),-'Drilling Spec'!$C$29*0.3)</f>
        <v>#N/A</v>
      </c>
      <c r="AX23" s="29">
        <f t="shared" si="12"/>
        <v>6.0760975609756089</v>
      </c>
      <c r="AY23" s="29">
        <f t="shared" si="13"/>
        <v>20.397507083522786</v>
      </c>
      <c r="AZ23" s="29">
        <f t="shared" si="17"/>
        <v>18.172898957859701</v>
      </c>
      <c r="BS23" s="35"/>
      <c r="BU23" s="40"/>
      <c r="BV23" s="40"/>
      <c r="BW23" s="40"/>
      <c r="BX23" s="40"/>
      <c r="BY23" s="40"/>
      <c r="BZ23" s="40"/>
      <c r="CA23" s="40"/>
    </row>
    <row r="24" spans="1:79" x14ac:dyDescent="0.35">
      <c r="A24" s="28">
        <f t="shared" si="18"/>
        <v>45994</v>
      </c>
      <c r="B24" t="str">
        <f t="shared" si="0"/>
        <v>Wed</v>
      </c>
      <c r="C24" s="10" t="s">
        <v>9</v>
      </c>
      <c r="D24" s="10">
        <v>24</v>
      </c>
      <c r="E24" s="4">
        <f t="shared" si="1"/>
        <v>24</v>
      </c>
      <c r="F24" s="4">
        <f t="shared" si="2"/>
        <v>120</v>
      </c>
      <c r="G24" s="4">
        <f t="shared" si="3"/>
        <v>1440</v>
      </c>
      <c r="H24" s="15">
        <f>(SQRT(4*I23*I23*V*V + 'Drilling Spec'!$C$42*I23 + W*('Drilling Spec'!$C$43 + 2*l*V*(s*W + 2*V*G24/(1+e)) + 'Drilling Spec'!$C$44)) - 'Drilling Spec'!$C$45)/(2*V)</f>
        <v>203.76436685764563</v>
      </c>
      <c r="I24" s="23">
        <f>IF(AND(OR(I23=0,I23=""),F24=0),IF(F25=0,"",'Drilling Spec'!$C$26),H24)</f>
        <v>203.76436685764563</v>
      </c>
      <c r="J24" s="16">
        <f>MAX(0,I24-'Drilling Spec'!$C$30)</f>
        <v>123.76436685764563</v>
      </c>
      <c r="K24" s="18">
        <f>IFERROR(J24/'Drilling Spec'!$C$31,0)</f>
        <v>8.2509577905097089</v>
      </c>
      <c r="L24" s="21">
        <f t="shared" si="4"/>
        <v>0</v>
      </c>
      <c r="M24" s="4">
        <f t="shared" si="14"/>
        <v>0</v>
      </c>
      <c r="N24" s="21">
        <f t="shared" si="5"/>
        <v>0</v>
      </c>
      <c r="O24" s="18">
        <f>(SQRT(4*O23*O23*vB*vB + 'Drilling Spec'!$C$48*O23 + WB*('Drilling Spec'!$C$49 + 2*lB*vB*(sB*WB + 2*vB*N24/(1+eB)) + 'Drilling Spec'!$C$50)) - 'Drilling Spec'!$C$51)/(2*vB)</f>
        <v>0</v>
      </c>
      <c r="P24" s="18">
        <f>IFERROR(((S24-'Drilling Spec'!$C$30)/'Drilling Spec'!$C$31)*'Drilling Spec'!$C$32,0)</f>
        <v>0</v>
      </c>
      <c r="Q24" s="18">
        <f t="shared" si="15"/>
        <v>0</v>
      </c>
      <c r="R24" s="18"/>
      <c r="S24" s="26" t="str">
        <f>IF(AND(OR(T23=0,T23=""),M24=0),IF(M25=0,"",'Drilling Spec'!$C$30),O24)</f>
        <v/>
      </c>
      <c r="U24" s="15">
        <f>E24*'Drilling Spec'!$C$22 + L24*'Drilling Spec'!$C$23</f>
        <v>0.4809756097560976</v>
      </c>
      <c r="V24" s="15">
        <f t="shared" si="16"/>
        <v>2.4048780487804882</v>
      </c>
      <c r="W24" s="15">
        <f t="shared" si="6"/>
        <v>5.5951219512195109</v>
      </c>
      <c r="X24" s="10">
        <v>6</v>
      </c>
      <c r="Y24" s="30">
        <f>IF(W24&lt;U25,'Drilling Spec'!$C$35,0)</f>
        <v>0</v>
      </c>
      <c r="AA24" s="4">
        <f t="shared" si="19"/>
        <v>27</v>
      </c>
      <c r="AB24" s="10"/>
      <c r="AC24" s="30">
        <f>IF('04-07-25-Scen4-ExFrontloadCargo'!K25&gt;'04-07-25-Scen4-ExFrontloadCargo'!AA24,'Drilling Spec'!$C$36,)</f>
        <v>0</v>
      </c>
      <c r="AE24" s="18">
        <f>(I24-'Drilling Spec'!$C$26)/'Drilling Spec'!$C$38</f>
        <v>22.294061142940937</v>
      </c>
      <c r="AF24" s="18">
        <f t="shared" si="7"/>
        <v>4.1211621850812357</v>
      </c>
      <c r="AG24" s="34">
        <f t="shared" si="8"/>
        <v>2.2940611429409365</v>
      </c>
      <c r="AH24" s="10">
        <v>20</v>
      </c>
      <c r="AI24" s="26">
        <f>IF(C24="Camp Closed",AG24,IF(AG24&lt;'Drilling Spec'!$C$39,,'Drilling Spec'!$C$39))</f>
        <v>0</v>
      </c>
      <c r="AL24" s="16">
        <f t="shared" si="9"/>
        <v>-203.76436685764563</v>
      </c>
      <c r="AM24" s="16" t="e">
        <f t="shared" si="10"/>
        <v>#N/A</v>
      </c>
      <c r="AN24">
        <f>-'Drilling Spec'!$C$29</f>
        <v>-720</v>
      </c>
      <c r="AO24">
        <f>-'Drilling Spec'!$C$27</f>
        <v>-624</v>
      </c>
      <c r="AP24">
        <f>-'Drilling Spec'!$C$28</f>
        <v>-688</v>
      </c>
      <c r="AQ24" t="e">
        <f t="shared" si="11"/>
        <v>#N/A</v>
      </c>
      <c r="AR24">
        <f>IF(X24=0,NA(),-'Drilling Spec'!$C$29*0.1)</f>
        <v>-72</v>
      </c>
      <c r="AS24" t="e">
        <f>IF(Y24=0,NA(),-'Drilling Spec'!$C$29*0.1)</f>
        <v>#N/A</v>
      </c>
      <c r="AT24" t="e">
        <f>IF(AB24=0,NA(),-'Drilling Spec'!$C$29*0.2)</f>
        <v>#N/A</v>
      </c>
      <c r="AU24" t="e">
        <f>IF(AC24=0,NA(),-'Drilling Spec'!$C$29*0.2)</f>
        <v>#N/A</v>
      </c>
      <c r="AV24">
        <f>IF(AH24=0,NA(),-'Drilling Spec'!$C$29*0.3)</f>
        <v>-216</v>
      </c>
      <c r="AW24" t="e">
        <f>IF(AI24=0,NA(),-'Drilling Spec'!$C$29*0.3)</f>
        <v>#N/A</v>
      </c>
      <c r="AX24" s="29">
        <f t="shared" si="12"/>
        <v>5.5951219512195109</v>
      </c>
      <c r="AY24" s="29">
        <f t="shared" si="13"/>
        <v>18.749042209490291</v>
      </c>
      <c r="AZ24" s="29">
        <f t="shared" si="17"/>
        <v>2.2940611429409365</v>
      </c>
      <c r="BS24" s="35"/>
      <c r="BU24" s="38" t="s">
        <v>190</v>
      </c>
      <c r="BV24" s="38"/>
      <c r="BW24" s="38"/>
      <c r="BX24" s="38"/>
      <c r="BY24" s="38"/>
      <c r="BZ24" s="38"/>
      <c r="CA24" s="38"/>
    </row>
    <row r="25" spans="1:79" x14ac:dyDescent="0.35">
      <c r="A25" s="28">
        <f t="shared" si="18"/>
        <v>45995</v>
      </c>
      <c r="B25" t="str">
        <f t="shared" si="0"/>
        <v>Thu</v>
      </c>
      <c r="C25" s="10" t="s">
        <v>9</v>
      </c>
      <c r="D25" s="10">
        <v>24</v>
      </c>
      <c r="E25" s="4">
        <f t="shared" si="1"/>
        <v>24</v>
      </c>
      <c r="F25" s="4">
        <f t="shared" si="2"/>
        <v>144</v>
      </c>
      <c r="G25" s="4">
        <f t="shared" si="3"/>
        <v>1440</v>
      </c>
      <c r="H25" s="15">
        <f>(SQRT(4*I24*I24*V*V + 'Drilling Spec'!$C$42*I24 + W*('Drilling Spec'!$C$43 + 2*l*V*(s*W + 2*V*G25/(1+e)) + 'Drilling Spec'!$C$44)) - 'Drilling Spec'!$C$45)/(2*V)</f>
        <v>227.6832514206119</v>
      </c>
      <c r="I25" s="23">
        <f>IF(AND(OR(I24=0,I24=""),F25=0),IF(F26=0,"",'Drilling Spec'!$C$26),H25)</f>
        <v>227.6832514206119</v>
      </c>
      <c r="J25" s="16">
        <f>MAX(0,I25-'Drilling Spec'!$C$30)</f>
        <v>147.6832514206119</v>
      </c>
      <c r="K25" s="18">
        <f>IFERROR(J25/'Drilling Spec'!$C$31,0)</f>
        <v>9.845550094707459</v>
      </c>
      <c r="L25" s="21">
        <f t="shared" si="4"/>
        <v>0</v>
      </c>
      <c r="M25" s="4">
        <f t="shared" si="14"/>
        <v>0</v>
      </c>
      <c r="N25" s="21">
        <f t="shared" si="5"/>
        <v>0</v>
      </c>
      <c r="O25" s="18">
        <f>(SQRT(4*O24*O24*vB*vB + 'Drilling Spec'!$C$48*O24 + WB*('Drilling Spec'!$C$49 + 2*lB*vB*(sB*WB + 2*vB*N25/(1+eB)) + 'Drilling Spec'!$C$50)) - 'Drilling Spec'!$C$51)/(2*vB)</f>
        <v>0</v>
      </c>
      <c r="P25" s="18">
        <f>IFERROR(((S25-'Drilling Spec'!$C$30)/'Drilling Spec'!$C$31)*'Drilling Spec'!$C$32,0)</f>
        <v>0</v>
      </c>
      <c r="Q25" s="18">
        <f t="shared" si="15"/>
        <v>0</v>
      </c>
      <c r="R25" s="18"/>
      <c r="S25" s="26" t="str">
        <f>IF(AND(OR(T24=0,T24=""),M25=0),IF(M26=0,"",'Drilling Spec'!$C$30),O25)</f>
        <v/>
      </c>
      <c r="U25" s="15">
        <f>E25*'Drilling Spec'!$C$22 + L25*'Drilling Spec'!$C$23</f>
        <v>0.4809756097560976</v>
      </c>
      <c r="V25" s="15">
        <f t="shared" si="16"/>
        <v>2.8858536585365857</v>
      </c>
      <c r="W25" s="15">
        <f t="shared" si="6"/>
        <v>11.114146341463414</v>
      </c>
      <c r="X25" s="10"/>
      <c r="Y25" s="30">
        <f>IF(W25&lt;U26,'Drilling Spec'!$C$35,0)</f>
        <v>0</v>
      </c>
      <c r="AA25" s="4">
        <f t="shared" si="19"/>
        <v>27</v>
      </c>
      <c r="AB25" s="10"/>
      <c r="AC25" s="30">
        <f>IF('04-07-25-Scen4-ExFrontloadCargo'!K26&gt;'04-07-25-Scen4-ExFrontloadCargo'!AA25,'Drilling Spec'!$C$36,)</f>
        <v>0</v>
      </c>
      <c r="AE25" s="18">
        <f>(I25-'Drilling Spec'!$C$26)/'Drilling Spec'!$C$38</f>
        <v>26.280541903435317</v>
      </c>
      <c r="AF25" s="18">
        <f t="shared" si="7"/>
        <v>3.9864807604943806</v>
      </c>
      <c r="AG25" s="34">
        <f t="shared" si="8"/>
        <v>6.2805419034353172</v>
      </c>
      <c r="AH25" s="10"/>
      <c r="AI25" s="26">
        <f>IF(C25="Camp Closed",AG25,IF(AG25&lt;'Drilling Spec'!$C$39,,'Drilling Spec'!$C$39))</f>
        <v>0</v>
      </c>
      <c r="AL25" s="16">
        <f t="shared" si="9"/>
        <v>-227.6832514206119</v>
      </c>
      <c r="AM25" s="16" t="e">
        <f t="shared" si="10"/>
        <v>#N/A</v>
      </c>
      <c r="AN25">
        <f>-'Drilling Spec'!$C$29</f>
        <v>-720</v>
      </c>
      <c r="AO25">
        <f>-'Drilling Spec'!$C$27</f>
        <v>-624</v>
      </c>
      <c r="AP25">
        <f>-'Drilling Spec'!$C$28</f>
        <v>-688</v>
      </c>
      <c r="AQ25" t="e">
        <f t="shared" si="11"/>
        <v>#N/A</v>
      </c>
      <c r="AR25" t="e">
        <f>IF(X25=0,NA(),-'Drilling Spec'!$C$29*0.1)</f>
        <v>#N/A</v>
      </c>
      <c r="AS25" t="e">
        <f>IF(Y25=0,NA(),-'Drilling Spec'!$C$29*0.1)</f>
        <v>#N/A</v>
      </c>
      <c r="AT25" t="e">
        <f>IF(AB25=0,NA(),-'Drilling Spec'!$C$29*0.2)</f>
        <v>#N/A</v>
      </c>
      <c r="AU25" t="e">
        <f>IF(AC25=0,NA(),-'Drilling Spec'!$C$29*0.2)</f>
        <v>#N/A</v>
      </c>
      <c r="AV25" t="e">
        <f>IF(AH25=0,NA(),-'Drilling Spec'!$C$29*0.3)</f>
        <v>#N/A</v>
      </c>
      <c r="AW25" t="e">
        <f>IF(AI25=0,NA(),-'Drilling Spec'!$C$29*0.3)</f>
        <v>#N/A</v>
      </c>
      <c r="AX25" s="29">
        <f t="shared" si="12"/>
        <v>11.114146341463414</v>
      </c>
      <c r="AY25" s="29">
        <f t="shared" si="13"/>
        <v>17.154449905292541</v>
      </c>
      <c r="AZ25" s="29">
        <f t="shared" si="17"/>
        <v>6.2805419034353172</v>
      </c>
      <c r="BS25" s="35"/>
      <c r="BU25" s="38"/>
      <c r="BV25" s="38"/>
      <c r="BW25" s="38"/>
      <c r="BX25" s="38"/>
      <c r="BY25" s="38"/>
      <c r="BZ25" s="38"/>
      <c r="CA25" s="38"/>
    </row>
    <row r="26" spans="1:79" ht="15" customHeight="1" x14ac:dyDescent="0.35">
      <c r="A26" s="28">
        <f t="shared" si="18"/>
        <v>45996</v>
      </c>
      <c r="B26" t="str">
        <f t="shared" si="0"/>
        <v>Fri</v>
      </c>
      <c r="C26" s="10" t="s">
        <v>9</v>
      </c>
      <c r="D26" s="10">
        <v>24</v>
      </c>
      <c r="E26" s="4">
        <f t="shared" si="1"/>
        <v>24</v>
      </c>
      <c r="F26" s="4">
        <f t="shared" si="2"/>
        <v>168</v>
      </c>
      <c r="G26" s="4">
        <f t="shared" si="3"/>
        <v>1440</v>
      </c>
      <c r="H26" s="15">
        <f>(SQRT(4*I25*I25*V*V + 'Drilling Spec'!$C$42*I25 + W*('Drilling Spec'!$C$43 + 2*l*V*(s*W + 2*V*G26/(1+e)) + 'Drilling Spec'!$C$44)) - 'Drilling Spec'!$C$45)/(2*V)</f>
        <v>250.8684479303349</v>
      </c>
      <c r="I26" s="23">
        <f>IF(AND(OR(I25=0,I25=""),F26=0),IF(F27=0,"",'Drilling Spec'!$C$26),H26)</f>
        <v>250.8684479303349</v>
      </c>
      <c r="J26" s="16">
        <f>MAX(0,I26-'Drilling Spec'!$C$30)</f>
        <v>170.8684479303349</v>
      </c>
      <c r="K26" s="18">
        <f>IFERROR(J26/'Drilling Spec'!$C$31,0)</f>
        <v>11.391229862022326</v>
      </c>
      <c r="L26" s="21">
        <f t="shared" si="4"/>
        <v>0</v>
      </c>
      <c r="M26" s="4">
        <f t="shared" si="14"/>
        <v>0</v>
      </c>
      <c r="N26" s="21">
        <f t="shared" si="5"/>
        <v>0</v>
      </c>
      <c r="O26" s="18">
        <f>(SQRT(4*O25*O25*vB*vB + 'Drilling Spec'!$C$48*O25 + WB*('Drilling Spec'!$C$49 + 2*lB*vB*(sB*WB + 2*vB*N26/(1+eB)) + 'Drilling Spec'!$C$50)) - 'Drilling Spec'!$C$51)/(2*vB)</f>
        <v>0</v>
      </c>
      <c r="P26" s="18">
        <f>IFERROR(((S26-'Drilling Spec'!$C$30)/'Drilling Spec'!$C$31)*'Drilling Spec'!$C$32,0)</f>
        <v>0</v>
      </c>
      <c r="Q26" s="18">
        <f t="shared" si="15"/>
        <v>0</v>
      </c>
      <c r="R26" s="18"/>
      <c r="S26" s="26" t="str">
        <f>IF(AND(OR(T25=0,T25=""),M26=0),IF(M27=0,"",'Drilling Spec'!$C$30),O26)</f>
        <v/>
      </c>
      <c r="U26" s="15">
        <f>E26*'Drilling Spec'!$C$22 + L26*'Drilling Spec'!$C$23</f>
        <v>0.4809756097560976</v>
      </c>
      <c r="V26" s="15">
        <f t="shared" si="16"/>
        <v>3.3668292682926833</v>
      </c>
      <c r="W26" s="15">
        <f t="shared" si="6"/>
        <v>10.633170731707317</v>
      </c>
      <c r="X26" s="10"/>
      <c r="Y26" s="30">
        <f>IF(W26&lt;U27,'Drilling Spec'!$C$35,0)</f>
        <v>0</v>
      </c>
      <c r="AA26" s="4">
        <f t="shared" si="19"/>
        <v>27</v>
      </c>
      <c r="AB26" s="10"/>
      <c r="AC26" s="30">
        <f>IF('04-07-25-Scen4-ExFrontloadCargo'!K27&gt;'04-07-25-Scen4-ExFrontloadCargo'!AA26,'Drilling Spec'!$C$36,)</f>
        <v>0</v>
      </c>
      <c r="AE26" s="18">
        <f>(I26-'Drilling Spec'!$C$26)/'Drilling Spec'!$C$38</f>
        <v>30.144741321722481</v>
      </c>
      <c r="AF26" s="18">
        <f t="shared" si="7"/>
        <v>3.8641994182871642</v>
      </c>
      <c r="AG26" s="34">
        <f t="shared" si="8"/>
        <v>10.144741321722481</v>
      </c>
      <c r="AH26" s="10"/>
      <c r="AI26" s="26">
        <f>IF(C26="Camp Closed",AG26,IF(AG26&lt;'Drilling Spec'!$C$39,,'Drilling Spec'!$C$39))</f>
        <v>0</v>
      </c>
      <c r="AL26" s="16">
        <f t="shared" si="9"/>
        <v>-250.8684479303349</v>
      </c>
      <c r="AM26" s="16" t="e">
        <f t="shared" si="10"/>
        <v>#N/A</v>
      </c>
      <c r="AN26">
        <f>-'Drilling Spec'!$C$29</f>
        <v>-720</v>
      </c>
      <c r="AO26">
        <f>-'Drilling Spec'!$C$27</f>
        <v>-624</v>
      </c>
      <c r="AP26">
        <f>-'Drilling Spec'!$C$28</f>
        <v>-688</v>
      </c>
      <c r="AQ26" t="e">
        <f t="shared" si="11"/>
        <v>#N/A</v>
      </c>
      <c r="AR26" t="e">
        <f>IF(X26=0,NA(),-'Drilling Spec'!$C$29*0.1)</f>
        <v>#N/A</v>
      </c>
      <c r="AS26" t="e">
        <f>IF(Y26=0,NA(),-'Drilling Spec'!$C$29*0.1)</f>
        <v>#N/A</v>
      </c>
      <c r="AT26" t="e">
        <f>IF(AB26=0,NA(),-'Drilling Spec'!$C$29*0.2)</f>
        <v>#N/A</v>
      </c>
      <c r="AU26" t="e">
        <f>IF(AC26=0,NA(),-'Drilling Spec'!$C$29*0.2)</f>
        <v>#N/A</v>
      </c>
      <c r="AV26" t="e">
        <f>IF(AH26=0,NA(),-'Drilling Spec'!$C$29*0.3)</f>
        <v>#N/A</v>
      </c>
      <c r="AW26" t="e">
        <f>IF(AI26=0,NA(),-'Drilling Spec'!$C$29*0.3)</f>
        <v>#N/A</v>
      </c>
      <c r="AX26" s="29">
        <f t="shared" si="12"/>
        <v>10.633170731707317</v>
      </c>
      <c r="AY26" s="29">
        <f t="shared" si="13"/>
        <v>15.608770137977674</v>
      </c>
      <c r="AZ26" s="29">
        <f t="shared" si="17"/>
        <v>10.144741321722481</v>
      </c>
      <c r="BS26" s="35"/>
      <c r="BT26" s="39" t="s">
        <v>188</v>
      </c>
      <c r="BU26" s="39"/>
      <c r="BV26" s="39"/>
      <c r="BW26" s="39"/>
      <c r="BX26" s="39"/>
      <c r="BY26" s="39"/>
      <c r="BZ26" s="39"/>
      <c r="CA26" s="39"/>
    </row>
    <row r="27" spans="1:79" x14ac:dyDescent="0.35">
      <c r="A27" s="28">
        <f t="shared" si="18"/>
        <v>45997</v>
      </c>
      <c r="B27" t="str">
        <f t="shared" si="0"/>
        <v>Sat</v>
      </c>
      <c r="C27" s="10" t="s">
        <v>9</v>
      </c>
      <c r="D27" s="10">
        <v>24</v>
      </c>
      <c r="E27" s="4">
        <f t="shared" si="1"/>
        <v>24</v>
      </c>
      <c r="F27" s="4">
        <f t="shared" si="2"/>
        <v>192</v>
      </c>
      <c r="G27" s="4">
        <f t="shared" si="3"/>
        <v>1440</v>
      </c>
      <c r="H27" s="15">
        <f>(SQRT(4*I26*I26*V*V + 'Drilling Spec'!$C$42*I26 + W*('Drilling Spec'!$C$43 + 2*l*V*(s*W + 2*V*G27/(1+e)) + 'Drilling Spec'!$C$44)) - 'Drilling Spec'!$C$45)/(2*V)</f>
        <v>273.38359589594342</v>
      </c>
      <c r="I27" s="23">
        <f>IF(AND(OR(I26=0,I26=""),F27=0),IF(F28=0,"",'Drilling Spec'!$C$26),H27)</f>
        <v>273.38359589594342</v>
      </c>
      <c r="J27" s="16">
        <f>MAX(0,I27-'Drilling Spec'!$C$30)</f>
        <v>193.38359589594342</v>
      </c>
      <c r="K27" s="18">
        <f>IFERROR(J27/'Drilling Spec'!$C$31,0)</f>
        <v>12.892239726396229</v>
      </c>
      <c r="L27" s="21">
        <f t="shared" si="4"/>
        <v>0</v>
      </c>
      <c r="M27" s="4">
        <f t="shared" si="14"/>
        <v>0</v>
      </c>
      <c r="N27" s="21">
        <f t="shared" si="5"/>
        <v>0</v>
      </c>
      <c r="O27" s="18">
        <f>(SQRT(4*O26*O26*vB*vB + 'Drilling Spec'!$C$48*O26 + WB*('Drilling Spec'!$C$49 + 2*lB*vB*(sB*WB + 2*vB*N27/(1+eB)) + 'Drilling Spec'!$C$50)) - 'Drilling Spec'!$C$51)/(2*vB)</f>
        <v>0</v>
      </c>
      <c r="P27" s="18">
        <f>IFERROR(((S27-'Drilling Spec'!$C$30)/'Drilling Spec'!$C$31)*'Drilling Spec'!$C$32,0)</f>
        <v>0</v>
      </c>
      <c r="Q27" s="18">
        <f t="shared" si="15"/>
        <v>0</v>
      </c>
      <c r="R27" s="18"/>
      <c r="S27" s="26" t="str">
        <f>IF(AND(OR(T26=0,T26=""),M27=0),IF(M28=0,"",'Drilling Spec'!$C$30),O27)</f>
        <v/>
      </c>
      <c r="U27" s="15">
        <f>E27*'Drilling Spec'!$C$22 + L27*'Drilling Spec'!$C$23</f>
        <v>0.4809756097560976</v>
      </c>
      <c r="V27" s="15">
        <f t="shared" si="16"/>
        <v>3.8478048780487808</v>
      </c>
      <c r="W27" s="15">
        <f t="shared" si="6"/>
        <v>10.15219512195122</v>
      </c>
      <c r="X27" s="10"/>
      <c r="Y27" s="30">
        <f>IF(W27&lt;U28,'Drilling Spec'!$C$35,0)</f>
        <v>0</v>
      </c>
      <c r="AA27" s="4">
        <f t="shared" si="19"/>
        <v>27</v>
      </c>
      <c r="AB27" s="10"/>
      <c r="AC27" s="30">
        <f>IF('04-07-25-Scen4-ExFrontloadCargo'!K28&gt;'04-07-25-Scen4-ExFrontloadCargo'!AA27,'Drilling Spec'!$C$36,)</f>
        <v>0</v>
      </c>
      <c r="AE27" s="18">
        <f>(I27-'Drilling Spec'!$C$26)/'Drilling Spec'!$C$38</f>
        <v>33.897265982657238</v>
      </c>
      <c r="AF27" s="18">
        <f t="shared" si="7"/>
        <v>3.7525246609347569</v>
      </c>
      <c r="AG27" s="34">
        <f t="shared" si="8"/>
        <v>13.897265982657238</v>
      </c>
      <c r="AH27" s="10"/>
      <c r="AI27" s="26">
        <f>IF(C27="Camp Closed",AG27,IF(AG27&lt;'Drilling Spec'!$C$39,,'Drilling Spec'!$C$39))</f>
        <v>0</v>
      </c>
      <c r="AL27" s="16">
        <f t="shared" si="9"/>
        <v>-273.38359589594342</v>
      </c>
      <c r="AM27" s="16" t="e">
        <f t="shared" si="10"/>
        <v>#N/A</v>
      </c>
      <c r="AN27">
        <f>-'Drilling Spec'!$C$29</f>
        <v>-720</v>
      </c>
      <c r="AO27">
        <f>-'Drilling Spec'!$C$27</f>
        <v>-624</v>
      </c>
      <c r="AP27">
        <f>-'Drilling Spec'!$C$28</f>
        <v>-688</v>
      </c>
      <c r="AQ27" t="e">
        <f t="shared" si="11"/>
        <v>#N/A</v>
      </c>
      <c r="AR27" t="e">
        <f>IF(X27=0,NA(),-'Drilling Spec'!$C$29*0.1)</f>
        <v>#N/A</v>
      </c>
      <c r="AS27" t="e">
        <f>IF(Y27=0,NA(),-'Drilling Spec'!$C$29*0.1)</f>
        <v>#N/A</v>
      </c>
      <c r="AT27" t="e">
        <f>IF(AB27=0,NA(),-'Drilling Spec'!$C$29*0.2)</f>
        <v>#N/A</v>
      </c>
      <c r="AU27" t="e">
        <f>IF(AC27=0,NA(),-'Drilling Spec'!$C$29*0.2)</f>
        <v>#N/A</v>
      </c>
      <c r="AV27" t="e">
        <f>IF(AH27=0,NA(),-'Drilling Spec'!$C$29*0.3)</f>
        <v>#N/A</v>
      </c>
      <c r="AW27" t="e">
        <f>IF(AI27=0,NA(),-'Drilling Spec'!$C$29*0.3)</f>
        <v>#N/A</v>
      </c>
      <c r="AX27" s="29">
        <f t="shared" si="12"/>
        <v>10.15219512195122</v>
      </c>
      <c r="AY27" s="29">
        <f t="shared" si="13"/>
        <v>14.107760273603771</v>
      </c>
      <c r="AZ27" s="29">
        <f t="shared" si="17"/>
        <v>13.897265982657238</v>
      </c>
      <c r="BS27" s="35"/>
      <c r="BT27" s="39"/>
      <c r="BU27" s="39"/>
      <c r="BV27" s="39"/>
      <c r="BW27" s="39"/>
      <c r="BX27" s="39"/>
      <c r="BY27" s="39"/>
      <c r="BZ27" s="39"/>
      <c r="CA27" s="39"/>
    </row>
    <row r="28" spans="1:79" x14ac:dyDescent="0.35">
      <c r="A28" s="28">
        <f t="shared" si="18"/>
        <v>45998</v>
      </c>
      <c r="B28" t="str">
        <f t="shared" si="0"/>
        <v>Sun</v>
      </c>
      <c r="C28" s="10" t="s">
        <v>7</v>
      </c>
      <c r="D28" s="10">
        <v>0</v>
      </c>
      <c r="E28" s="4">
        <f t="shared" si="1"/>
        <v>0</v>
      </c>
      <c r="F28" s="4">
        <f t="shared" si="2"/>
        <v>192</v>
      </c>
      <c r="G28" s="4">
        <f t="shared" si="3"/>
        <v>0</v>
      </c>
      <c r="H28" s="15">
        <f>(SQRT(4*I27*I27*V*V + 'Drilling Spec'!$C$42*I27 + W*('Drilling Spec'!$C$43 + 2*l*V*(s*W + 2*V*G28/(1+e)) + 'Drilling Spec'!$C$44)) - 'Drilling Spec'!$C$45)/(2*V)</f>
        <v>273.38359589594342</v>
      </c>
      <c r="I28" s="23">
        <f>IF(AND(OR(I27=0,I27=""),F28=0),IF(F29=0,"",'Drilling Spec'!$C$26),H28)</f>
        <v>273.38359589594342</v>
      </c>
      <c r="J28" s="16">
        <f>MAX(0,I28-'Drilling Spec'!$C$30)</f>
        <v>193.38359589594342</v>
      </c>
      <c r="K28" s="18">
        <f>IFERROR(J28/'Drilling Spec'!$C$31,0)</f>
        <v>12.892239726396229</v>
      </c>
      <c r="L28" s="21">
        <f t="shared" si="4"/>
        <v>0</v>
      </c>
      <c r="M28" s="4">
        <f t="shared" si="14"/>
        <v>0</v>
      </c>
      <c r="N28" s="21">
        <f t="shared" si="5"/>
        <v>0</v>
      </c>
      <c r="O28" s="18">
        <f>(SQRT(4*O27*O27*vB*vB + 'Drilling Spec'!$C$48*O27 + WB*('Drilling Spec'!$C$49 + 2*lB*vB*(sB*WB + 2*vB*N28/(1+eB)) + 'Drilling Spec'!$C$50)) - 'Drilling Spec'!$C$51)/(2*vB)</f>
        <v>0</v>
      </c>
      <c r="P28" s="18">
        <f>IFERROR(((S28-'Drilling Spec'!$C$30)/'Drilling Spec'!$C$31)*'Drilling Spec'!$C$32,0)</f>
        <v>0</v>
      </c>
      <c r="Q28" s="18">
        <f t="shared" si="15"/>
        <v>0</v>
      </c>
      <c r="R28" s="18"/>
      <c r="S28" s="26" t="str">
        <f>IF(AND(OR(T27=0,T27=""),M28=0),IF(M29=0,"",'Drilling Spec'!$C$30),O28)</f>
        <v/>
      </c>
      <c r="U28" s="15">
        <f>E28*'Drilling Spec'!$C$22 + L28*'Drilling Spec'!$C$23</f>
        <v>0</v>
      </c>
      <c r="V28" s="15">
        <f t="shared" si="16"/>
        <v>3.8478048780487808</v>
      </c>
      <c r="W28" s="15">
        <f t="shared" si="6"/>
        <v>10.15219512195122</v>
      </c>
      <c r="X28" s="10"/>
      <c r="Y28" s="30">
        <f>IF(W28&lt;U29,'Drilling Spec'!$C$35,0)</f>
        <v>0</v>
      </c>
      <c r="AA28" s="4">
        <f t="shared" si="19"/>
        <v>27</v>
      </c>
      <c r="AB28" s="10"/>
      <c r="AC28" s="30">
        <f>IF('04-07-25-Scen4-ExFrontloadCargo'!K29&gt;'04-07-25-Scen4-ExFrontloadCargo'!AA28,'Drilling Spec'!$C$36,)</f>
        <v>0</v>
      </c>
      <c r="AE28" s="18">
        <f>(I28-'Drilling Spec'!$C$26)/'Drilling Spec'!$C$38</f>
        <v>33.897265982657238</v>
      </c>
      <c r="AF28" s="18">
        <f t="shared" si="7"/>
        <v>0</v>
      </c>
      <c r="AG28" s="34">
        <f t="shared" si="8"/>
        <v>13.897265982657238</v>
      </c>
      <c r="AH28" s="10"/>
      <c r="AI28" s="26">
        <f>IF(C28="Camp Closed",AG28,IF(AG28&lt;'Drilling Spec'!$C$39,,'Drilling Spec'!$C$39))</f>
        <v>0</v>
      </c>
      <c r="AL28" s="16">
        <f t="shared" si="9"/>
        <v>-273.38359589594342</v>
      </c>
      <c r="AM28" s="16" t="e">
        <f t="shared" si="10"/>
        <v>#N/A</v>
      </c>
      <c r="AN28">
        <f>-'Drilling Spec'!$C$29</f>
        <v>-720</v>
      </c>
      <c r="AO28">
        <f>-'Drilling Spec'!$C$27</f>
        <v>-624</v>
      </c>
      <c r="AP28">
        <f>-'Drilling Spec'!$C$28</f>
        <v>-688</v>
      </c>
      <c r="AQ28" t="e">
        <f t="shared" si="11"/>
        <v>#N/A</v>
      </c>
      <c r="AR28" t="e">
        <f>IF(X28=0,NA(),-'Drilling Spec'!$C$29*0.1)</f>
        <v>#N/A</v>
      </c>
      <c r="AS28" t="e">
        <f>IF(Y28=0,NA(),-'Drilling Spec'!$C$29*0.1)</f>
        <v>#N/A</v>
      </c>
      <c r="AT28" t="e">
        <f>IF(AB28=0,NA(),-'Drilling Spec'!$C$29*0.2)</f>
        <v>#N/A</v>
      </c>
      <c r="AU28" t="e">
        <f>IF(AC28=0,NA(),-'Drilling Spec'!$C$29*0.2)</f>
        <v>#N/A</v>
      </c>
      <c r="AV28" t="e">
        <f>IF(AH28=0,NA(),-'Drilling Spec'!$C$29*0.3)</f>
        <v>#N/A</v>
      </c>
      <c r="AW28" t="e">
        <f>IF(AI28=0,NA(),-'Drilling Spec'!$C$29*0.3)</f>
        <v>#N/A</v>
      </c>
      <c r="AX28" s="29">
        <f t="shared" si="12"/>
        <v>10.15219512195122</v>
      </c>
      <c r="AY28" s="29">
        <f t="shared" si="13"/>
        <v>14.107760273603771</v>
      </c>
      <c r="AZ28" s="29">
        <f t="shared" si="17"/>
        <v>13.897265982657238</v>
      </c>
      <c r="BS28" s="35"/>
      <c r="BT28" s="39"/>
      <c r="BU28" s="39"/>
      <c r="BV28" s="39"/>
      <c r="BW28" s="39"/>
      <c r="BX28" s="39"/>
      <c r="BY28" s="39"/>
      <c r="BZ28" s="39"/>
      <c r="CA28" s="39"/>
    </row>
    <row r="29" spans="1:79" x14ac:dyDescent="0.35">
      <c r="A29" s="28">
        <f t="shared" si="18"/>
        <v>45999</v>
      </c>
      <c r="B29" t="str">
        <f t="shared" si="0"/>
        <v>Mon</v>
      </c>
      <c r="C29" s="10" t="s">
        <v>9</v>
      </c>
      <c r="D29" s="10">
        <v>24</v>
      </c>
      <c r="E29" s="4">
        <f t="shared" si="1"/>
        <v>24</v>
      </c>
      <c r="F29" s="4">
        <f t="shared" si="2"/>
        <v>216</v>
      </c>
      <c r="G29" s="4">
        <f t="shared" si="3"/>
        <v>1440</v>
      </c>
      <c r="H29" s="15">
        <f>(SQRT(4*I28*I28*V*V + 'Drilling Spec'!$C$42*I28 + W*('Drilling Spec'!$C$43 + 2*l*V*(s*W + 2*V*G29/(1+e)) + 'Drilling Spec'!$C$44)) - 'Drilling Spec'!$C$45)/(2*V)</f>
        <v>295.28363443552161</v>
      </c>
      <c r="I29" s="23">
        <f>IF(AND(OR(I28=0,I28=""),F29=0),IF(F30=0,"",'Drilling Spec'!$C$26),H29)</f>
        <v>295.28363443552161</v>
      </c>
      <c r="J29" s="16">
        <f>MAX(0,I29-'Drilling Spec'!$C$30)</f>
        <v>215.28363443552161</v>
      </c>
      <c r="K29" s="18">
        <f>IFERROR(J29/'Drilling Spec'!$C$31,0)</f>
        <v>14.352242295701441</v>
      </c>
      <c r="L29" s="21">
        <f t="shared" si="4"/>
        <v>0</v>
      </c>
      <c r="M29" s="4">
        <f t="shared" si="14"/>
        <v>0</v>
      </c>
      <c r="N29" s="21">
        <f t="shared" si="5"/>
        <v>0</v>
      </c>
      <c r="O29" s="18">
        <f>(SQRT(4*O28*O28*vB*vB + 'Drilling Spec'!$C$48*O28 + WB*('Drilling Spec'!$C$49 + 2*lB*vB*(sB*WB + 2*vB*N29/(1+eB)) + 'Drilling Spec'!$C$50)) - 'Drilling Spec'!$C$51)/(2*vB)</f>
        <v>0</v>
      </c>
      <c r="P29" s="18">
        <f>IFERROR(((S29-'Drilling Spec'!$C$30)/'Drilling Spec'!$C$31)*'Drilling Spec'!$C$32,0)</f>
        <v>0</v>
      </c>
      <c r="Q29" s="18">
        <f t="shared" si="15"/>
        <v>0</v>
      </c>
      <c r="R29" s="18"/>
      <c r="S29" s="26" t="str">
        <f>IF(AND(OR(T28=0,T28=""),M29=0),IF(M30=0,"",'Drilling Spec'!$C$30),O29)</f>
        <v/>
      </c>
      <c r="U29" s="15">
        <f>E29*'Drilling Spec'!$C$22 + L29*'Drilling Spec'!$C$23</f>
        <v>0.4809756097560976</v>
      </c>
      <c r="V29" s="15">
        <f t="shared" si="16"/>
        <v>4.3287804878048783</v>
      </c>
      <c r="W29" s="15">
        <f t="shared" si="6"/>
        <v>9.6712195121951225</v>
      </c>
      <c r="X29" s="10"/>
      <c r="Y29" s="30">
        <f>IF(W29&lt;U30,'Drilling Spec'!$C$35,0)</f>
        <v>0</v>
      </c>
      <c r="AA29" s="4">
        <f t="shared" si="19"/>
        <v>27</v>
      </c>
      <c r="AB29" s="10"/>
      <c r="AC29" s="30">
        <f>IF('04-07-25-Scen4-ExFrontloadCargo'!K30&gt;'04-07-25-Scen4-ExFrontloadCargo'!AA29,'Drilling Spec'!$C$36,)</f>
        <v>0</v>
      </c>
      <c r="AE29" s="18">
        <f>(I29-'Drilling Spec'!$C$26)/'Drilling Spec'!$C$38</f>
        <v>37.547272405920268</v>
      </c>
      <c r="AF29" s="18">
        <f t="shared" si="7"/>
        <v>3.6500064232630294</v>
      </c>
      <c r="AG29" s="34">
        <f t="shared" si="8"/>
        <v>17.547272405920268</v>
      </c>
      <c r="AH29" s="10"/>
      <c r="AI29" s="26">
        <f>IF(C29="Camp Closed",AG29,IF(AG29&lt;'Drilling Spec'!$C$39,,'Drilling Spec'!$C$39))</f>
        <v>0</v>
      </c>
      <c r="AL29" s="16">
        <f t="shared" si="9"/>
        <v>-295.28363443552161</v>
      </c>
      <c r="AM29" s="16" t="e">
        <f t="shared" si="10"/>
        <v>#N/A</v>
      </c>
      <c r="AN29">
        <f>-'Drilling Spec'!$C$29</f>
        <v>-720</v>
      </c>
      <c r="AO29">
        <f>-'Drilling Spec'!$C$27</f>
        <v>-624</v>
      </c>
      <c r="AP29">
        <f>-'Drilling Spec'!$C$28</f>
        <v>-688</v>
      </c>
      <c r="AQ29" t="e">
        <f t="shared" si="11"/>
        <v>#N/A</v>
      </c>
      <c r="AR29" t="e">
        <f>IF(X29=0,NA(),-'Drilling Spec'!$C$29*0.1)</f>
        <v>#N/A</v>
      </c>
      <c r="AS29" t="e">
        <f>IF(Y29=0,NA(),-'Drilling Spec'!$C$29*0.1)</f>
        <v>#N/A</v>
      </c>
      <c r="AT29" t="e">
        <f>IF(AB29=0,NA(),-'Drilling Spec'!$C$29*0.2)</f>
        <v>#N/A</v>
      </c>
      <c r="AU29" t="e">
        <f>IF(AC29=0,NA(),-'Drilling Spec'!$C$29*0.2)</f>
        <v>#N/A</v>
      </c>
      <c r="AV29" t="e">
        <f>IF(AH29=0,NA(),-'Drilling Spec'!$C$29*0.3)</f>
        <v>#N/A</v>
      </c>
      <c r="AW29" t="e">
        <f>IF(AI29=0,NA(),-'Drilling Spec'!$C$29*0.3)</f>
        <v>#N/A</v>
      </c>
      <c r="AX29" s="29">
        <f t="shared" si="12"/>
        <v>9.6712195121951225</v>
      </c>
      <c r="AY29" s="29">
        <f t="shared" si="13"/>
        <v>12.647757704298559</v>
      </c>
      <c r="AZ29" s="29">
        <f t="shared" si="17"/>
        <v>17.547272405920268</v>
      </c>
      <c r="BS29" s="35"/>
      <c r="BT29" s="39"/>
      <c r="BU29" s="39"/>
      <c r="BV29" s="39"/>
      <c r="BW29" s="39"/>
      <c r="BX29" s="39"/>
      <c r="BY29" s="39"/>
      <c r="BZ29" s="39"/>
      <c r="CA29" s="39"/>
    </row>
    <row r="30" spans="1:79" x14ac:dyDescent="0.35">
      <c r="A30" s="28">
        <f t="shared" si="18"/>
        <v>46000</v>
      </c>
      <c r="B30" t="str">
        <f t="shared" si="0"/>
        <v>Tue</v>
      </c>
      <c r="C30" s="10" t="s">
        <v>9</v>
      </c>
      <c r="D30" s="10">
        <v>24</v>
      </c>
      <c r="E30" s="4">
        <f t="shared" si="1"/>
        <v>24</v>
      </c>
      <c r="F30" s="4">
        <f t="shared" si="2"/>
        <v>240</v>
      </c>
      <c r="G30" s="4">
        <f t="shared" si="3"/>
        <v>1440</v>
      </c>
      <c r="H30" s="15">
        <f>(SQRT(4*I29*I29*V*V + 'Drilling Spec'!$C$42*I29 + W*('Drilling Spec'!$C$43 + 2*l*V*(s*W + 2*V*G30/(1+e)) + 'Drilling Spec'!$C$44)) - 'Drilling Spec'!$C$45)/(2*V)</f>
        <v>316.6163817101509</v>
      </c>
      <c r="I30" s="23">
        <f>IF(AND(OR(I29=0,I29=""),F30=0),IF(F31=0,"",'Drilling Spec'!$C$26),H30)</f>
        <v>316.6163817101509</v>
      </c>
      <c r="J30" s="16">
        <f>MAX(0,I30-'Drilling Spec'!$C$30)</f>
        <v>236.6163817101509</v>
      </c>
      <c r="K30" s="18">
        <f>IFERROR(J30/'Drilling Spec'!$C$31,0)</f>
        <v>15.774425447343393</v>
      </c>
      <c r="L30" s="21">
        <f t="shared" si="4"/>
        <v>0</v>
      </c>
      <c r="M30" s="4">
        <f t="shared" si="14"/>
        <v>0</v>
      </c>
      <c r="N30" s="21">
        <f t="shared" si="5"/>
        <v>0</v>
      </c>
      <c r="O30" s="18">
        <f>(SQRT(4*O29*O29*vB*vB + 'Drilling Spec'!$C$48*O29 + WB*('Drilling Spec'!$C$49 + 2*lB*vB*(sB*WB + 2*vB*N30/(1+eB)) + 'Drilling Spec'!$C$50)) - 'Drilling Spec'!$C$51)/(2*vB)</f>
        <v>0</v>
      </c>
      <c r="P30" s="18">
        <f>IFERROR(((S30-'Drilling Spec'!$C$30)/'Drilling Spec'!$C$31)*'Drilling Spec'!$C$32,0)</f>
        <v>0</v>
      </c>
      <c r="Q30" s="18">
        <f t="shared" si="15"/>
        <v>0</v>
      </c>
      <c r="R30" s="18"/>
      <c r="S30" s="26" t="str">
        <f>IF(AND(OR(T29=0,T29=""),M30=0),IF(M31=0,"",'Drilling Spec'!$C$30),O30)</f>
        <v/>
      </c>
      <c r="U30" s="15">
        <f>E30*'Drilling Spec'!$C$22 + L30*'Drilling Spec'!$C$23</f>
        <v>0.4809756097560976</v>
      </c>
      <c r="V30" s="15">
        <f t="shared" si="16"/>
        <v>4.8097560975609763</v>
      </c>
      <c r="W30" s="15">
        <f t="shared" si="6"/>
        <v>9.1902439024390254</v>
      </c>
      <c r="X30" s="10"/>
      <c r="Y30" s="30">
        <f>IF(W30&lt;U31,'Drilling Spec'!$C$35,0)</f>
        <v>0</v>
      </c>
      <c r="AA30" s="4">
        <f t="shared" si="19"/>
        <v>33</v>
      </c>
      <c r="AB30" s="10">
        <v>6</v>
      </c>
      <c r="AC30" s="30">
        <f>IF('04-07-25-Scen4-ExFrontloadCargo'!K31&gt;'04-07-25-Scen4-ExFrontloadCargo'!AA30,'Drilling Spec'!$C$36,)</f>
        <v>0</v>
      </c>
      <c r="AE30" s="18">
        <f>(I30-'Drilling Spec'!$C$26)/'Drilling Spec'!$C$38</f>
        <v>41.102730285025153</v>
      </c>
      <c r="AF30" s="18">
        <f t="shared" si="7"/>
        <v>3.5554578791048854</v>
      </c>
      <c r="AG30" s="34">
        <f t="shared" si="8"/>
        <v>1.102730285025153</v>
      </c>
      <c r="AH30" s="10">
        <v>20</v>
      </c>
      <c r="AI30" s="26">
        <f>IF(C30="Camp Closed",AG30,IF(AG30&lt;'Drilling Spec'!$C$39,,'Drilling Spec'!$C$39))</f>
        <v>0</v>
      </c>
      <c r="AL30" s="16">
        <f t="shared" si="9"/>
        <v>-316.6163817101509</v>
      </c>
      <c r="AM30" s="16" t="e">
        <f t="shared" si="10"/>
        <v>#N/A</v>
      </c>
      <c r="AN30">
        <f>-'Drilling Spec'!$C$29</f>
        <v>-720</v>
      </c>
      <c r="AO30">
        <f>-'Drilling Spec'!$C$27</f>
        <v>-624</v>
      </c>
      <c r="AP30">
        <f>-'Drilling Spec'!$C$28</f>
        <v>-688</v>
      </c>
      <c r="AQ30" t="e">
        <f t="shared" si="11"/>
        <v>#N/A</v>
      </c>
      <c r="AR30" t="e">
        <f>IF(X30=0,NA(),-'Drilling Spec'!$C$29*0.1)</f>
        <v>#N/A</v>
      </c>
      <c r="AS30" t="e">
        <f>IF(Y30=0,NA(),-'Drilling Spec'!$C$29*0.1)</f>
        <v>#N/A</v>
      </c>
      <c r="AT30">
        <f>IF(AB30=0,NA(),-'Drilling Spec'!$C$29*0.2)</f>
        <v>-144</v>
      </c>
      <c r="AU30" t="e">
        <f>IF(AC30=0,NA(),-'Drilling Spec'!$C$29*0.2)</f>
        <v>#N/A</v>
      </c>
      <c r="AV30">
        <f>IF(AH30=0,NA(),-'Drilling Spec'!$C$29*0.3)</f>
        <v>-216</v>
      </c>
      <c r="AW30" t="e">
        <f>IF(AI30=0,NA(),-'Drilling Spec'!$C$29*0.3)</f>
        <v>#N/A</v>
      </c>
      <c r="AX30" s="29">
        <f t="shared" si="12"/>
        <v>9.1902439024390254</v>
      </c>
      <c r="AY30" s="29">
        <f t="shared" si="13"/>
        <v>17.225574552656607</v>
      </c>
      <c r="AZ30" s="29">
        <f t="shared" si="17"/>
        <v>1.102730285025153</v>
      </c>
      <c r="BS30" s="35"/>
      <c r="BT30" s="39"/>
      <c r="BU30" s="39"/>
      <c r="BV30" s="39"/>
      <c r="BW30" s="39"/>
      <c r="BX30" s="39"/>
      <c r="BY30" s="39"/>
      <c r="BZ30" s="39"/>
      <c r="CA30" s="39"/>
    </row>
    <row r="31" spans="1:79" x14ac:dyDescent="0.35">
      <c r="A31" s="28">
        <f t="shared" si="18"/>
        <v>46001</v>
      </c>
      <c r="B31" t="str">
        <f t="shared" si="0"/>
        <v>Wed</v>
      </c>
      <c r="C31" s="10" t="s">
        <v>9</v>
      </c>
      <c r="D31" s="10">
        <v>24</v>
      </c>
      <c r="E31" s="4">
        <f t="shared" si="1"/>
        <v>24</v>
      </c>
      <c r="F31" s="4">
        <f t="shared" si="2"/>
        <v>264</v>
      </c>
      <c r="G31" s="4">
        <f t="shared" si="3"/>
        <v>1440</v>
      </c>
      <c r="H31" s="15">
        <f>(SQRT(4*I30*I30*V*V + 'Drilling Spec'!$C$42*I30 + W*('Drilling Spec'!$C$43 + 2*l*V*(s*W + 2*V*G31/(1+e)) + 'Drilling Spec'!$C$44)) - 'Drilling Spec'!$C$45)/(2*V)</f>
        <v>337.42376378429032</v>
      </c>
      <c r="I31" s="23">
        <f>IF(AND(OR(I30=0,I30=""),F31=0),IF(F32=0,"",'Drilling Spec'!$C$26),H31)</f>
        <v>337.42376378429032</v>
      </c>
      <c r="J31" s="16">
        <f>MAX(0,I31-'Drilling Spec'!$C$30)</f>
        <v>257.42376378429032</v>
      </c>
      <c r="K31" s="18">
        <f>IFERROR(J31/'Drilling Spec'!$C$31,0)</f>
        <v>17.161584252286023</v>
      </c>
      <c r="L31" s="21">
        <f t="shared" si="4"/>
        <v>0</v>
      </c>
      <c r="M31" s="4">
        <f t="shared" si="14"/>
        <v>0</v>
      </c>
      <c r="N31" s="21">
        <f t="shared" si="5"/>
        <v>0</v>
      </c>
      <c r="O31" s="18">
        <f>(SQRT(4*O30*O30*vB*vB + 'Drilling Spec'!$C$48*O30 + WB*('Drilling Spec'!$C$49 + 2*lB*vB*(sB*WB + 2*vB*N31/(1+eB)) + 'Drilling Spec'!$C$50)) - 'Drilling Spec'!$C$51)/(2*vB)</f>
        <v>0</v>
      </c>
      <c r="P31" s="18">
        <f>IFERROR(((S31-'Drilling Spec'!$C$30)/'Drilling Spec'!$C$31)*'Drilling Spec'!$C$32,0)</f>
        <v>0</v>
      </c>
      <c r="Q31" s="18">
        <f t="shared" si="15"/>
        <v>0</v>
      </c>
      <c r="R31" s="18"/>
      <c r="S31" s="26" t="str">
        <f>IF(AND(OR(T30=0,T30=""),M31=0),IF(M32=0,"",'Drilling Spec'!$C$30),O31)</f>
        <v/>
      </c>
      <c r="U31" s="15">
        <f>E31*'Drilling Spec'!$C$22 + L31*'Drilling Spec'!$C$23</f>
        <v>0.4809756097560976</v>
      </c>
      <c r="V31" s="15">
        <f t="shared" si="16"/>
        <v>5.2907317073170743</v>
      </c>
      <c r="W31" s="15">
        <f t="shared" si="6"/>
        <v>8.7092682926829283</v>
      </c>
      <c r="X31" s="10"/>
      <c r="Y31" s="30">
        <f>IF(W31&lt;U32,'Drilling Spec'!$C$35,0)</f>
        <v>0</v>
      </c>
      <c r="AA31" s="4">
        <f t="shared" si="19"/>
        <v>33</v>
      </c>
      <c r="AB31" s="10"/>
      <c r="AC31" s="30">
        <f>IF('04-07-25-Scen4-ExFrontloadCargo'!K32&gt;'04-07-25-Scen4-ExFrontloadCargo'!AA31,'Drilling Spec'!$C$36,)</f>
        <v>0</v>
      </c>
      <c r="AE31" s="18">
        <f>(I31-'Drilling Spec'!$C$26)/'Drilling Spec'!$C$38</f>
        <v>44.570627297381719</v>
      </c>
      <c r="AF31" s="18">
        <f t="shared" si="7"/>
        <v>3.4678970123565662</v>
      </c>
      <c r="AG31" s="34">
        <f t="shared" si="8"/>
        <v>4.5706272973817192</v>
      </c>
      <c r="AH31" s="10"/>
      <c r="AI31" s="26">
        <f>IF(C31="Camp Closed",AG31,IF(AG31&lt;'Drilling Spec'!$C$39,,'Drilling Spec'!$C$39))</f>
        <v>0</v>
      </c>
      <c r="AL31" s="16">
        <f t="shared" si="9"/>
        <v>-337.42376378429032</v>
      </c>
      <c r="AM31" s="16" t="e">
        <f t="shared" si="10"/>
        <v>#N/A</v>
      </c>
      <c r="AN31">
        <f>-'Drilling Spec'!$C$29</f>
        <v>-720</v>
      </c>
      <c r="AO31">
        <f>-'Drilling Spec'!$C$27</f>
        <v>-624</v>
      </c>
      <c r="AP31">
        <f>-'Drilling Spec'!$C$28</f>
        <v>-688</v>
      </c>
      <c r="AQ31" t="e">
        <f t="shared" si="11"/>
        <v>#N/A</v>
      </c>
      <c r="AR31" t="e">
        <f>IF(X31=0,NA(),-'Drilling Spec'!$C$29*0.1)</f>
        <v>#N/A</v>
      </c>
      <c r="AS31" t="e">
        <f>IF(Y31=0,NA(),-'Drilling Spec'!$C$29*0.1)</f>
        <v>#N/A</v>
      </c>
      <c r="AT31" t="e">
        <f>IF(AB31=0,NA(),-'Drilling Spec'!$C$29*0.2)</f>
        <v>#N/A</v>
      </c>
      <c r="AU31" t="e">
        <f>IF(AC31=0,NA(),-'Drilling Spec'!$C$29*0.2)</f>
        <v>#N/A</v>
      </c>
      <c r="AV31" t="e">
        <f>IF(AH31=0,NA(),-'Drilling Spec'!$C$29*0.3)</f>
        <v>#N/A</v>
      </c>
      <c r="AW31" t="e">
        <f>IF(AI31=0,NA(),-'Drilling Spec'!$C$29*0.3)</f>
        <v>#N/A</v>
      </c>
      <c r="AX31" s="29">
        <f t="shared" si="12"/>
        <v>8.7092682926829283</v>
      </c>
      <c r="AY31" s="29">
        <f t="shared" si="13"/>
        <v>15.838415747713977</v>
      </c>
      <c r="AZ31" s="29">
        <f t="shared" si="17"/>
        <v>4.5706272973817192</v>
      </c>
      <c r="BS31" s="35"/>
      <c r="BT31" s="35"/>
      <c r="BU31" s="39" t="s">
        <v>189</v>
      </c>
      <c r="BV31" s="39"/>
      <c r="BW31" s="39"/>
      <c r="BX31" s="39"/>
      <c r="BY31" s="39"/>
      <c r="BZ31" s="39"/>
      <c r="CA31" s="39"/>
    </row>
    <row r="32" spans="1:79" x14ac:dyDescent="0.35">
      <c r="A32" s="28">
        <f t="shared" si="18"/>
        <v>46002</v>
      </c>
      <c r="B32" t="str">
        <f t="shared" si="0"/>
        <v>Thu</v>
      </c>
      <c r="C32" s="10" t="s">
        <v>9</v>
      </c>
      <c r="D32" s="10">
        <v>24</v>
      </c>
      <c r="E32" s="4">
        <f t="shared" si="1"/>
        <v>24</v>
      </c>
      <c r="F32" s="4">
        <f t="shared" si="2"/>
        <v>288</v>
      </c>
      <c r="G32" s="4">
        <f t="shared" si="3"/>
        <v>1440</v>
      </c>
      <c r="H32" s="15">
        <f>(SQRT(4*I31*I31*V*V + 'Drilling Spec'!$C$42*I31 + W*('Drilling Spec'!$C$43 + 2*l*V*(s*W + 2*V*G32/(1+e)) + 'Drilling Spec'!$C$44)) - 'Drilling Spec'!$C$45)/(2*V)</f>
        <v>357.74278357270839</v>
      </c>
      <c r="I32" s="23">
        <f>IF(AND(OR(I31=0,I31=""),F32=0),IF(F33=0,"",'Drilling Spec'!$C$26),H32)</f>
        <v>357.74278357270839</v>
      </c>
      <c r="J32" s="16">
        <f>MAX(0,I32-'Drilling Spec'!$C$30)</f>
        <v>277.74278357270839</v>
      </c>
      <c r="K32" s="18">
        <f>IFERROR(J32/'Drilling Spec'!$C$31,0)</f>
        <v>18.516185571513894</v>
      </c>
      <c r="L32" s="21">
        <f t="shared" si="4"/>
        <v>0</v>
      </c>
      <c r="M32" s="4">
        <f t="shared" si="14"/>
        <v>0</v>
      </c>
      <c r="N32" s="21">
        <f t="shared" si="5"/>
        <v>0</v>
      </c>
      <c r="O32" s="18">
        <f>(SQRT(4*O31*O31*vB*vB + 'Drilling Spec'!$C$48*O31 + WB*('Drilling Spec'!$C$49 + 2*lB*vB*(sB*WB + 2*vB*N32/(1+eB)) + 'Drilling Spec'!$C$50)) - 'Drilling Spec'!$C$51)/(2*vB)</f>
        <v>0</v>
      </c>
      <c r="P32" s="18">
        <f>IFERROR(((S32-'Drilling Spec'!$C$30)/'Drilling Spec'!$C$31)*'Drilling Spec'!$C$32,0)</f>
        <v>0</v>
      </c>
      <c r="Q32" s="18">
        <f t="shared" si="15"/>
        <v>0</v>
      </c>
      <c r="R32" s="18"/>
      <c r="S32" s="26" t="str">
        <f>IF(AND(OR(T31=0,T31=""),M32=0),IF(M33=0,"",'Drilling Spec'!$C$30),O32)</f>
        <v/>
      </c>
      <c r="U32" s="15">
        <f>E32*'Drilling Spec'!$C$22 + L32*'Drilling Spec'!$C$23</f>
        <v>0.4809756097560976</v>
      </c>
      <c r="V32" s="15">
        <f t="shared" si="16"/>
        <v>5.7717073170731723</v>
      </c>
      <c r="W32" s="15">
        <f t="shared" si="6"/>
        <v>8.2282926829268312</v>
      </c>
      <c r="X32" s="10"/>
      <c r="Y32" s="30">
        <f>IF(W32&lt;U33,'Drilling Spec'!$C$35,0)</f>
        <v>0</v>
      </c>
      <c r="AA32" s="4">
        <f t="shared" si="19"/>
        <v>33</v>
      </c>
      <c r="AB32" s="10"/>
      <c r="AC32" s="30">
        <f>IF('04-07-25-Scen4-ExFrontloadCargo'!K33&gt;'04-07-25-Scen4-ExFrontloadCargo'!AA32,'Drilling Spec'!$C$36,)</f>
        <v>0</v>
      </c>
      <c r="AE32" s="18">
        <f>(I32-'Drilling Spec'!$C$26)/'Drilling Spec'!$C$38</f>
        <v>47.957130595451396</v>
      </c>
      <c r="AF32" s="18">
        <f t="shared" si="7"/>
        <v>3.3865032980696768</v>
      </c>
      <c r="AG32" s="34">
        <f t="shared" si="8"/>
        <v>7.957130595451396</v>
      </c>
      <c r="AH32" s="10"/>
      <c r="AI32" s="26">
        <f>IF(C32="Camp Closed",AG32,IF(AG32&lt;'Drilling Spec'!$C$39,,'Drilling Spec'!$C$39))</f>
        <v>0</v>
      </c>
      <c r="AL32" s="16">
        <f t="shared" si="9"/>
        <v>-357.74278357270839</v>
      </c>
      <c r="AM32" s="16" t="e">
        <f t="shared" si="10"/>
        <v>#N/A</v>
      </c>
      <c r="AN32">
        <f>-'Drilling Spec'!$C$29</f>
        <v>-720</v>
      </c>
      <c r="AO32">
        <f>-'Drilling Spec'!$C$27</f>
        <v>-624</v>
      </c>
      <c r="AP32">
        <f>-'Drilling Spec'!$C$28</f>
        <v>-688</v>
      </c>
      <c r="AQ32" t="e">
        <f t="shared" si="11"/>
        <v>#N/A</v>
      </c>
      <c r="AR32" t="e">
        <f>IF(X32=0,NA(),-'Drilling Spec'!$C$29*0.1)</f>
        <v>#N/A</v>
      </c>
      <c r="AS32" t="e">
        <f>IF(Y32=0,NA(),-'Drilling Spec'!$C$29*0.1)</f>
        <v>#N/A</v>
      </c>
      <c r="AT32" t="e">
        <f>IF(AB32=0,NA(),-'Drilling Spec'!$C$29*0.2)</f>
        <v>#N/A</v>
      </c>
      <c r="AU32" t="e">
        <f>IF(AC32=0,NA(),-'Drilling Spec'!$C$29*0.2)</f>
        <v>#N/A</v>
      </c>
      <c r="AV32" t="e">
        <f>IF(AH32=0,NA(),-'Drilling Spec'!$C$29*0.3)</f>
        <v>#N/A</v>
      </c>
      <c r="AW32" t="e">
        <f>IF(AI32=0,NA(),-'Drilling Spec'!$C$29*0.3)</f>
        <v>#N/A</v>
      </c>
      <c r="AX32" s="29">
        <f t="shared" si="12"/>
        <v>8.2282926829268312</v>
      </c>
      <c r="AY32" s="29">
        <f t="shared" si="13"/>
        <v>14.483814428486106</v>
      </c>
      <c r="AZ32" s="29">
        <f t="shared" si="17"/>
        <v>7.957130595451396</v>
      </c>
      <c r="BS32" s="35"/>
      <c r="BT32" s="35"/>
      <c r="BU32" s="39"/>
      <c r="BV32" s="39"/>
      <c r="BW32" s="39"/>
      <c r="BX32" s="39"/>
      <c r="BY32" s="39"/>
      <c r="BZ32" s="39"/>
      <c r="CA32" s="39"/>
    </row>
    <row r="33" spans="1:79" x14ac:dyDescent="0.35">
      <c r="A33" s="28">
        <f t="shared" si="18"/>
        <v>46003</v>
      </c>
      <c r="B33" t="str">
        <f t="shared" si="0"/>
        <v>Fri</v>
      </c>
      <c r="C33" s="10" t="s">
        <v>9</v>
      </c>
      <c r="D33" s="10">
        <v>24</v>
      </c>
      <c r="E33" s="4">
        <f t="shared" si="1"/>
        <v>24</v>
      </c>
      <c r="F33" s="4">
        <f t="shared" si="2"/>
        <v>312</v>
      </c>
      <c r="G33" s="4">
        <f t="shared" si="3"/>
        <v>1440</v>
      </c>
      <c r="H33" s="15">
        <f>(SQRT(4*I32*I32*V*V + 'Drilling Spec'!$C$42*I32 + W*('Drilling Spec'!$C$43 + 2*l*V*(s*W + 2*V*G33/(1+e)) + 'Drilling Spec'!$C$44)) - 'Drilling Spec'!$C$45)/(2*V)</f>
        <v>377.60629406387062</v>
      </c>
      <c r="I33" s="23">
        <f>IF(AND(OR(I32=0,I32=""),F33=0),IF(F34=0,"",'Drilling Spec'!$C$26),H33)</f>
        <v>377.60629406387062</v>
      </c>
      <c r="J33" s="16">
        <f>MAX(0,I33-'Drilling Spec'!$C$30)</f>
        <v>297.60629406387062</v>
      </c>
      <c r="K33" s="18">
        <f>IFERROR(J33/'Drilling Spec'!$C$31,0)</f>
        <v>19.840419604258042</v>
      </c>
      <c r="L33" s="21">
        <f t="shared" si="4"/>
        <v>0</v>
      </c>
      <c r="M33" s="4">
        <f t="shared" si="14"/>
        <v>0</v>
      </c>
      <c r="N33" s="21">
        <f t="shared" si="5"/>
        <v>0</v>
      </c>
      <c r="O33" s="18">
        <f>(SQRT(4*O32*O32*vB*vB + 'Drilling Spec'!$C$48*O32 + WB*('Drilling Spec'!$C$49 + 2*lB*vB*(sB*WB + 2*vB*N33/(1+eB)) + 'Drilling Spec'!$C$50)) - 'Drilling Spec'!$C$51)/(2*vB)</f>
        <v>0</v>
      </c>
      <c r="P33" s="18">
        <f>IFERROR(((S33-'Drilling Spec'!$C$30)/'Drilling Spec'!$C$31)*'Drilling Spec'!$C$32,0)</f>
        <v>0</v>
      </c>
      <c r="Q33" s="18">
        <f t="shared" si="15"/>
        <v>0</v>
      </c>
      <c r="R33" s="18"/>
      <c r="S33" s="26" t="str">
        <f>IF(AND(OR(T32=0,T32=""),M33=0),IF(M34=0,"",'Drilling Spec'!$C$30),O33)</f>
        <v/>
      </c>
      <c r="U33" s="15">
        <f>E33*'Drilling Spec'!$C$22 + L33*'Drilling Spec'!$C$23</f>
        <v>0.4809756097560976</v>
      </c>
      <c r="V33" s="15">
        <f t="shared" si="16"/>
        <v>6.2526829268292703</v>
      </c>
      <c r="W33" s="15">
        <f t="shared" si="6"/>
        <v>7.7473170731707333</v>
      </c>
      <c r="X33" s="10"/>
      <c r="Y33" s="30">
        <f>IF(W33&lt;U34,'Drilling Spec'!$C$35,0)</f>
        <v>0</v>
      </c>
      <c r="AA33" s="4">
        <f t="shared" si="19"/>
        <v>33</v>
      </c>
      <c r="AB33" s="10"/>
      <c r="AC33" s="30">
        <f>IF('04-07-25-Scen4-ExFrontloadCargo'!K34&gt;'04-07-25-Scen4-ExFrontloadCargo'!AA33,'Drilling Spec'!$C$36,)</f>
        <v>0</v>
      </c>
      <c r="AE33" s="18">
        <f>(I33-'Drilling Spec'!$C$26)/'Drilling Spec'!$C$38</f>
        <v>51.26771567731177</v>
      </c>
      <c r="AF33" s="18">
        <f t="shared" si="7"/>
        <v>3.3105850818603741</v>
      </c>
      <c r="AG33" s="34">
        <f t="shared" si="8"/>
        <v>11.26771567731177</v>
      </c>
      <c r="AH33" s="10"/>
      <c r="AI33" s="26">
        <f>IF(C33="Camp Closed",AG33,IF(AG33&lt;'Drilling Spec'!$C$39,,'Drilling Spec'!$C$39))</f>
        <v>0</v>
      </c>
      <c r="AL33" s="16">
        <f t="shared" si="9"/>
        <v>-377.60629406387062</v>
      </c>
      <c r="AM33" s="16" t="e">
        <f t="shared" si="10"/>
        <v>#N/A</v>
      </c>
      <c r="AN33">
        <f>-'Drilling Spec'!$C$29</f>
        <v>-720</v>
      </c>
      <c r="AO33">
        <f>-'Drilling Spec'!$C$27</f>
        <v>-624</v>
      </c>
      <c r="AP33">
        <f>-'Drilling Spec'!$C$28</f>
        <v>-688</v>
      </c>
      <c r="AQ33" t="e">
        <f t="shared" si="11"/>
        <v>#N/A</v>
      </c>
      <c r="AR33" t="e">
        <f>IF(X33=0,NA(),-'Drilling Spec'!$C$29*0.1)</f>
        <v>#N/A</v>
      </c>
      <c r="AS33" t="e">
        <f>IF(Y33=0,NA(),-'Drilling Spec'!$C$29*0.1)</f>
        <v>#N/A</v>
      </c>
      <c r="AT33" t="e">
        <f>IF(AB33=0,NA(),-'Drilling Spec'!$C$29*0.2)</f>
        <v>#N/A</v>
      </c>
      <c r="AU33" t="e">
        <f>IF(AC33=0,NA(),-'Drilling Spec'!$C$29*0.2)</f>
        <v>#N/A</v>
      </c>
      <c r="AV33" t="e">
        <f>IF(AH33=0,NA(),-'Drilling Spec'!$C$29*0.3)</f>
        <v>#N/A</v>
      </c>
      <c r="AW33" t="e">
        <f>IF(AI33=0,NA(),-'Drilling Spec'!$C$29*0.3)</f>
        <v>#N/A</v>
      </c>
      <c r="AX33" s="29">
        <f t="shared" si="12"/>
        <v>7.7473170731707333</v>
      </c>
      <c r="AY33" s="29">
        <f t="shared" si="13"/>
        <v>13.159580395741958</v>
      </c>
      <c r="AZ33" s="29">
        <f t="shared" si="17"/>
        <v>11.26771567731177</v>
      </c>
      <c r="BS33" s="35"/>
      <c r="BT33" s="35"/>
      <c r="BU33" s="38" t="s">
        <v>191</v>
      </c>
      <c r="BV33" s="38"/>
      <c r="BW33" s="38"/>
      <c r="BX33" s="38"/>
      <c r="BY33" s="38"/>
      <c r="BZ33" s="38"/>
      <c r="CA33" s="38"/>
    </row>
    <row r="34" spans="1:79" x14ac:dyDescent="0.35">
      <c r="A34" s="28">
        <f t="shared" si="18"/>
        <v>46004</v>
      </c>
      <c r="B34" t="str">
        <f t="shared" si="0"/>
        <v>Sat</v>
      </c>
      <c r="C34" s="10" t="s">
        <v>9</v>
      </c>
      <c r="D34" s="10">
        <v>24</v>
      </c>
      <c r="E34" s="4">
        <f t="shared" si="1"/>
        <v>24</v>
      </c>
      <c r="F34" s="4">
        <f t="shared" si="2"/>
        <v>336</v>
      </c>
      <c r="G34" s="4">
        <f t="shared" si="3"/>
        <v>1440</v>
      </c>
      <c r="H34" s="15">
        <f>(SQRT(4*I33*I33*V*V + 'Drilling Spec'!$C$42*I33 + W*('Drilling Spec'!$C$43 + 2*l*V*(s*W + 2*V*G34/(1+e)) + 'Drilling Spec'!$C$44)) - 'Drilling Spec'!$C$45)/(2*V)</f>
        <v>397.04362207560342</v>
      </c>
      <c r="I34" s="23">
        <f>IF(AND(OR(I33=0,I33=""),F34=0),IF(F35=0,"",'Drilling Spec'!$C$26),H34)</f>
        <v>397.04362207560342</v>
      </c>
      <c r="J34" s="16">
        <f>MAX(0,I34-'Drilling Spec'!$C$30)</f>
        <v>317.04362207560342</v>
      </c>
      <c r="K34" s="18">
        <f>IFERROR(J34/'Drilling Spec'!$C$31,0)</f>
        <v>21.136241471706896</v>
      </c>
      <c r="L34" s="21">
        <f t="shared" si="4"/>
        <v>0</v>
      </c>
      <c r="M34" s="4">
        <f t="shared" si="14"/>
        <v>0</v>
      </c>
      <c r="N34" s="21">
        <f t="shared" si="5"/>
        <v>0</v>
      </c>
      <c r="O34" s="18">
        <f>(SQRT(4*O33*O33*vB*vB + 'Drilling Spec'!$C$48*O33 + WB*('Drilling Spec'!$C$49 + 2*lB*vB*(sB*WB + 2*vB*N34/(1+eB)) + 'Drilling Spec'!$C$50)) - 'Drilling Spec'!$C$51)/(2*vB)</f>
        <v>0</v>
      </c>
      <c r="P34" s="18">
        <f>IFERROR(((S34-'Drilling Spec'!$C$30)/'Drilling Spec'!$C$31)*'Drilling Spec'!$C$32,0)</f>
        <v>0</v>
      </c>
      <c r="Q34" s="18">
        <f t="shared" si="15"/>
        <v>0</v>
      </c>
      <c r="R34" s="18"/>
      <c r="S34" s="26" t="str">
        <f>IF(AND(OR(T33=0,T33=""),M34=0),IF(M35=0,"",'Drilling Spec'!$C$30),O34)</f>
        <v/>
      </c>
      <c r="U34" s="15">
        <f>E34*'Drilling Spec'!$C$22 + L34*'Drilling Spec'!$C$23</f>
        <v>0.4809756097560976</v>
      </c>
      <c r="V34" s="15">
        <f t="shared" si="16"/>
        <v>6.7336585365853683</v>
      </c>
      <c r="W34" s="15">
        <f t="shared" si="6"/>
        <v>7.2663414634146353</v>
      </c>
      <c r="X34" s="10"/>
      <c r="Y34" s="30">
        <f>IF(W34&lt;U35,'Drilling Spec'!$C$35,0)</f>
        <v>0</v>
      </c>
      <c r="AA34" s="4">
        <f t="shared" si="19"/>
        <v>33</v>
      </c>
      <c r="AB34" s="10"/>
      <c r="AC34" s="30">
        <f>IF('04-07-25-Scen4-ExFrontloadCargo'!K35&gt;'04-07-25-Scen4-ExFrontloadCargo'!AA34,'Drilling Spec'!$C$36,)</f>
        <v>0</v>
      </c>
      <c r="AE34" s="18">
        <f>(I34-'Drilling Spec'!$C$26)/'Drilling Spec'!$C$38</f>
        <v>54.507270345933904</v>
      </c>
      <c r="AF34" s="18">
        <f t="shared" si="7"/>
        <v>3.2395546686221337</v>
      </c>
      <c r="AG34" s="34">
        <f t="shared" si="8"/>
        <v>14.507270345933904</v>
      </c>
      <c r="AH34" s="10"/>
      <c r="AI34" s="26">
        <f>IF(C34="Camp Closed",AG34,IF(AG34&lt;'Drilling Spec'!$C$39,,'Drilling Spec'!$C$39))</f>
        <v>0</v>
      </c>
      <c r="AL34" s="16">
        <f t="shared" si="9"/>
        <v>-397.04362207560342</v>
      </c>
      <c r="AM34" s="16" t="e">
        <f t="shared" si="10"/>
        <v>#N/A</v>
      </c>
      <c r="AN34">
        <f>-'Drilling Spec'!$C$29</f>
        <v>-720</v>
      </c>
      <c r="AO34">
        <f>-'Drilling Spec'!$C$27</f>
        <v>-624</v>
      </c>
      <c r="AP34">
        <f>-'Drilling Spec'!$C$28</f>
        <v>-688</v>
      </c>
      <c r="AQ34" t="e">
        <f t="shared" si="11"/>
        <v>#N/A</v>
      </c>
      <c r="AR34" t="e">
        <f>IF(X34=0,NA(),-'Drilling Spec'!$C$29*0.1)</f>
        <v>#N/A</v>
      </c>
      <c r="AS34" t="e">
        <f>IF(Y34=0,NA(),-'Drilling Spec'!$C$29*0.1)</f>
        <v>#N/A</v>
      </c>
      <c r="AT34" t="e">
        <f>IF(AB34=0,NA(),-'Drilling Spec'!$C$29*0.2)</f>
        <v>#N/A</v>
      </c>
      <c r="AU34" t="e">
        <f>IF(AC34=0,NA(),-'Drilling Spec'!$C$29*0.2)</f>
        <v>#N/A</v>
      </c>
      <c r="AV34" t="e">
        <f>IF(AH34=0,NA(),-'Drilling Spec'!$C$29*0.3)</f>
        <v>#N/A</v>
      </c>
      <c r="AW34" t="e">
        <f>IF(AI34=0,NA(),-'Drilling Spec'!$C$29*0.3)</f>
        <v>#N/A</v>
      </c>
      <c r="AX34" s="29">
        <f t="shared" si="12"/>
        <v>7.2663414634146353</v>
      </c>
      <c r="AY34" s="29">
        <f t="shared" si="13"/>
        <v>11.863758528293104</v>
      </c>
      <c r="AZ34" s="29">
        <f t="shared" si="17"/>
        <v>14.507270345933904</v>
      </c>
      <c r="BS34" s="35"/>
      <c r="BT34" s="35"/>
      <c r="BU34" s="38"/>
      <c r="BV34" s="38"/>
      <c r="BW34" s="38"/>
      <c r="BX34" s="38"/>
      <c r="BY34" s="38"/>
      <c r="BZ34" s="38"/>
      <c r="CA34" s="38"/>
    </row>
    <row r="35" spans="1:79" x14ac:dyDescent="0.35">
      <c r="A35" s="28">
        <f t="shared" si="18"/>
        <v>46005</v>
      </c>
      <c r="B35" t="str">
        <f t="shared" si="0"/>
        <v>Sun</v>
      </c>
      <c r="C35" s="10" t="s">
        <v>7</v>
      </c>
      <c r="D35" s="10">
        <v>0</v>
      </c>
      <c r="E35" s="4">
        <f t="shared" si="1"/>
        <v>0</v>
      </c>
      <c r="F35" s="4">
        <f t="shared" si="2"/>
        <v>336</v>
      </c>
      <c r="G35" s="4">
        <f t="shared" si="3"/>
        <v>0</v>
      </c>
      <c r="H35" s="15">
        <f>(SQRT(4*I34*I34*V*V + 'Drilling Spec'!$C$42*I34 + W*('Drilling Spec'!$C$43 + 2*l*V*(s*W + 2*V*G35/(1+e)) + 'Drilling Spec'!$C$44)) - 'Drilling Spec'!$C$45)/(2*V)</f>
        <v>397.04362207560354</v>
      </c>
      <c r="I35" s="23">
        <f>IF(AND(OR(I34=0,I34=""),F35=0),IF(F36=0,"",'Drilling Spec'!$C$26),H35)</f>
        <v>397.04362207560354</v>
      </c>
      <c r="J35" s="16">
        <f>MAX(0,I35-'Drilling Spec'!$C$30)</f>
        <v>317.04362207560354</v>
      </c>
      <c r="K35" s="18">
        <f>IFERROR(J35/'Drilling Spec'!$C$31,0)</f>
        <v>21.136241471706903</v>
      </c>
      <c r="L35" s="21">
        <f t="shared" si="4"/>
        <v>0</v>
      </c>
      <c r="M35" s="4">
        <f t="shared" si="14"/>
        <v>0</v>
      </c>
      <c r="N35" s="21">
        <f t="shared" si="5"/>
        <v>0</v>
      </c>
      <c r="O35" s="18">
        <f>(SQRT(4*O34*O34*vB*vB + 'Drilling Spec'!$C$48*O34 + WB*('Drilling Spec'!$C$49 + 2*lB*vB*(sB*WB + 2*vB*N35/(1+eB)) + 'Drilling Spec'!$C$50)) - 'Drilling Spec'!$C$51)/(2*vB)</f>
        <v>0</v>
      </c>
      <c r="P35" s="18">
        <f>IFERROR(((S35-'Drilling Spec'!$C$30)/'Drilling Spec'!$C$31)*'Drilling Spec'!$C$32,0)</f>
        <v>0</v>
      </c>
      <c r="Q35" s="18">
        <f t="shared" si="15"/>
        <v>0</v>
      </c>
      <c r="R35" s="18"/>
      <c r="S35" s="26" t="str">
        <f>IF(AND(OR(T34=0,T34=""),M35=0),IF(M36=0,"",'Drilling Spec'!$C$30),O35)</f>
        <v/>
      </c>
      <c r="U35" s="15">
        <f>E35*'Drilling Spec'!$C$22 + L35*'Drilling Spec'!$C$23</f>
        <v>0</v>
      </c>
      <c r="V35" s="15">
        <f t="shared" si="16"/>
        <v>6.7336585365853683</v>
      </c>
      <c r="W35" s="15">
        <f t="shared" si="6"/>
        <v>7.2663414634146353</v>
      </c>
      <c r="X35" s="10"/>
      <c r="Y35" s="30">
        <f>IF(W35&lt;U36,'Drilling Spec'!$C$35,0)</f>
        <v>0</v>
      </c>
      <c r="AA35" s="4">
        <f t="shared" si="19"/>
        <v>33</v>
      </c>
      <c r="AB35" s="10"/>
      <c r="AC35" s="30">
        <f>IF('04-07-25-Scen4-ExFrontloadCargo'!K36&gt;'04-07-25-Scen4-ExFrontloadCargo'!AA35,'Drilling Spec'!$C$36,)</f>
        <v>0</v>
      </c>
      <c r="AE35" s="18">
        <f>(I35-'Drilling Spec'!$C$26)/'Drilling Spec'!$C$38</f>
        <v>54.507270345933925</v>
      </c>
      <c r="AF35" s="18">
        <f t="shared" si="7"/>
        <v>2.1316282072803006E-14</v>
      </c>
      <c r="AG35" s="34">
        <f t="shared" si="8"/>
        <v>14.507270345933925</v>
      </c>
      <c r="AH35" s="10"/>
      <c r="AI35" s="26">
        <f>IF(C35="Camp Closed",AG35,IF(AG35&lt;'Drilling Spec'!$C$39,,'Drilling Spec'!$C$39))</f>
        <v>0</v>
      </c>
      <c r="AL35" s="16">
        <f t="shared" si="9"/>
        <v>-397.04362207560354</v>
      </c>
      <c r="AM35" s="16" t="e">
        <f t="shared" si="10"/>
        <v>#N/A</v>
      </c>
      <c r="AN35">
        <f>-'Drilling Spec'!$C$29</f>
        <v>-720</v>
      </c>
      <c r="AO35">
        <f>-'Drilling Spec'!$C$27</f>
        <v>-624</v>
      </c>
      <c r="AP35">
        <f>-'Drilling Spec'!$C$28</f>
        <v>-688</v>
      </c>
      <c r="AQ35" t="e">
        <f t="shared" si="11"/>
        <v>#N/A</v>
      </c>
      <c r="AR35" t="e">
        <f>IF(X35=0,NA(),-'Drilling Spec'!$C$29*0.1)</f>
        <v>#N/A</v>
      </c>
      <c r="AS35" t="e">
        <f>IF(Y35=0,NA(),-'Drilling Spec'!$C$29*0.1)</f>
        <v>#N/A</v>
      </c>
      <c r="AT35" t="e">
        <f>IF(AB35=0,NA(),-'Drilling Spec'!$C$29*0.2)</f>
        <v>#N/A</v>
      </c>
      <c r="AU35" t="e">
        <f>IF(AC35=0,NA(),-'Drilling Spec'!$C$29*0.2)</f>
        <v>#N/A</v>
      </c>
      <c r="AV35" t="e">
        <f>IF(AH35=0,NA(),-'Drilling Spec'!$C$29*0.3)</f>
        <v>#N/A</v>
      </c>
      <c r="AW35" t="e">
        <f>IF(AI35=0,NA(),-'Drilling Spec'!$C$29*0.3)</f>
        <v>#N/A</v>
      </c>
      <c r="AX35" s="29">
        <f t="shared" si="12"/>
        <v>7.2663414634146353</v>
      </c>
      <c r="AY35" s="29">
        <f t="shared" si="13"/>
        <v>11.863758528293097</v>
      </c>
      <c r="AZ35" s="29">
        <f t="shared" si="17"/>
        <v>14.507270345933925</v>
      </c>
      <c r="BS35" s="35"/>
      <c r="BT35" s="39" t="s">
        <v>192</v>
      </c>
      <c r="BU35" s="39"/>
      <c r="BV35" s="39"/>
      <c r="BW35" s="39"/>
      <c r="BX35" s="39"/>
      <c r="BY35" s="39"/>
      <c r="BZ35" s="39"/>
      <c r="CA35" s="39"/>
    </row>
    <row r="36" spans="1:79" x14ac:dyDescent="0.35">
      <c r="A36" s="28">
        <f t="shared" si="18"/>
        <v>46006</v>
      </c>
      <c r="B36" t="str">
        <f t="shared" si="0"/>
        <v>Mon</v>
      </c>
      <c r="C36" s="10" t="s">
        <v>9</v>
      </c>
      <c r="D36" s="10">
        <v>24</v>
      </c>
      <c r="E36" s="4">
        <f t="shared" si="1"/>
        <v>24</v>
      </c>
      <c r="F36" s="4">
        <f t="shared" si="2"/>
        <v>360</v>
      </c>
      <c r="G36" s="4">
        <f t="shared" si="3"/>
        <v>1440</v>
      </c>
      <c r="H36" s="15">
        <f>(SQRT(4*I35*I35*V*V + 'Drilling Spec'!$C$42*I35 + W*('Drilling Spec'!$C$43 + 2*l*V*(s*W + 2*V*G36/(1+e)) + 'Drilling Spec'!$C$44)) - 'Drilling Spec'!$C$45)/(2*V)</f>
        <v>416.08107640916666</v>
      </c>
      <c r="I36" s="23">
        <f>IF(AND(OR(I35=0,I35=""),F36=0),IF(F37=0,"",'Drilling Spec'!$C$26),H36)</f>
        <v>416.08107640916666</v>
      </c>
      <c r="J36" s="16">
        <f>MAX(0,I36-'Drilling Spec'!$C$30)</f>
        <v>336.08107640916666</v>
      </c>
      <c r="K36" s="18">
        <f>IFERROR(J36/'Drilling Spec'!$C$31,0)</f>
        <v>22.405405093944445</v>
      </c>
      <c r="L36" s="21">
        <f t="shared" si="4"/>
        <v>0</v>
      </c>
      <c r="M36" s="4">
        <f t="shared" si="14"/>
        <v>0</v>
      </c>
      <c r="N36" s="21">
        <f t="shared" si="5"/>
        <v>0</v>
      </c>
      <c r="O36" s="18">
        <f>(SQRT(4*O35*O35*vB*vB + 'Drilling Spec'!$C$48*O35 + WB*('Drilling Spec'!$C$49 + 2*lB*vB*(sB*WB + 2*vB*N36/(1+eB)) + 'Drilling Spec'!$C$50)) - 'Drilling Spec'!$C$51)/(2*vB)</f>
        <v>0</v>
      </c>
      <c r="P36" s="18">
        <f>IFERROR(((S36-'Drilling Spec'!$C$30)/'Drilling Spec'!$C$31)*'Drilling Spec'!$C$32,0)</f>
        <v>0</v>
      </c>
      <c r="Q36" s="18">
        <f t="shared" si="15"/>
        <v>0</v>
      </c>
      <c r="R36" s="18"/>
      <c r="S36" s="26" t="str">
        <f>IF(AND(OR(T35=0,T35=""),M36=0),IF(M37=0,"",'Drilling Spec'!$C$30),O36)</f>
        <v/>
      </c>
      <c r="U36" s="15">
        <f>E36*'Drilling Spec'!$C$22 + L36*'Drilling Spec'!$C$23</f>
        <v>0.4809756097560976</v>
      </c>
      <c r="V36" s="15">
        <f t="shared" si="16"/>
        <v>7.2146341463414663</v>
      </c>
      <c r="W36" s="15">
        <f t="shared" si="6"/>
        <v>6.7853658536585373</v>
      </c>
      <c r="X36" s="10"/>
      <c r="Y36" s="30">
        <f>IF(W36&lt;U37,'Drilling Spec'!$C$35,0)</f>
        <v>0</v>
      </c>
      <c r="AA36" s="4">
        <f t="shared" si="19"/>
        <v>33</v>
      </c>
      <c r="AB36" s="10"/>
      <c r="AC36" s="30">
        <f>IF('04-07-25-Scen4-ExFrontloadCargo'!K37&gt;'04-07-25-Scen4-ExFrontloadCargo'!AA36,'Drilling Spec'!$C$36,)</f>
        <v>0</v>
      </c>
      <c r="AE36" s="18">
        <f>(I36-'Drilling Spec'!$C$26)/'Drilling Spec'!$C$38</f>
        <v>57.680179401527774</v>
      </c>
      <c r="AF36" s="18">
        <f t="shared" si="7"/>
        <v>3.1729090555938484</v>
      </c>
      <c r="AG36" s="34">
        <f t="shared" si="8"/>
        <v>17.680179401527774</v>
      </c>
      <c r="AH36" s="10"/>
      <c r="AI36" s="26">
        <f>IF(C36="Camp Closed",AG36,IF(AG36&lt;'Drilling Spec'!$C$39,,'Drilling Spec'!$C$39))</f>
        <v>0</v>
      </c>
      <c r="AL36" s="16">
        <f t="shared" si="9"/>
        <v>-416.08107640916666</v>
      </c>
      <c r="AM36" s="16" t="e">
        <f t="shared" si="10"/>
        <v>#N/A</v>
      </c>
      <c r="AN36">
        <f>-'Drilling Spec'!$C$29</f>
        <v>-720</v>
      </c>
      <c r="AO36">
        <f>-'Drilling Spec'!$C$27</f>
        <v>-624</v>
      </c>
      <c r="AP36">
        <f>-'Drilling Spec'!$C$28</f>
        <v>-688</v>
      </c>
      <c r="AQ36" t="e">
        <f t="shared" si="11"/>
        <v>#N/A</v>
      </c>
      <c r="AR36" t="e">
        <f>IF(X36=0,NA(),-'Drilling Spec'!$C$29*0.1)</f>
        <v>#N/A</v>
      </c>
      <c r="AS36" t="e">
        <f>IF(Y36=0,NA(),-'Drilling Spec'!$C$29*0.1)</f>
        <v>#N/A</v>
      </c>
      <c r="AT36" t="e">
        <f>IF(AB36=0,NA(),-'Drilling Spec'!$C$29*0.2)</f>
        <v>#N/A</v>
      </c>
      <c r="AU36" t="e">
        <f>IF(AC36=0,NA(),-'Drilling Spec'!$C$29*0.2)</f>
        <v>#N/A</v>
      </c>
      <c r="AV36" t="e">
        <f>IF(AH36=0,NA(),-'Drilling Spec'!$C$29*0.3)</f>
        <v>#N/A</v>
      </c>
      <c r="AW36" t="e">
        <f>IF(AI36=0,NA(),-'Drilling Spec'!$C$29*0.3)</f>
        <v>#N/A</v>
      </c>
      <c r="AX36" s="29">
        <f t="shared" si="12"/>
        <v>6.7853658536585373</v>
      </c>
      <c r="AY36" s="29">
        <f t="shared" si="13"/>
        <v>10.594594906055555</v>
      </c>
      <c r="AZ36" s="29">
        <f t="shared" si="17"/>
        <v>17.680179401527774</v>
      </c>
      <c r="BS36" s="35"/>
      <c r="BT36" s="39"/>
      <c r="BU36" s="39"/>
      <c r="BV36" s="39"/>
      <c r="BW36" s="39"/>
      <c r="BX36" s="39"/>
      <c r="BY36" s="39"/>
      <c r="BZ36" s="39"/>
      <c r="CA36" s="39"/>
    </row>
    <row r="37" spans="1:79" x14ac:dyDescent="0.35">
      <c r="A37" s="28">
        <f t="shared" si="18"/>
        <v>46007</v>
      </c>
      <c r="B37" t="str">
        <f t="shared" si="0"/>
        <v>Tue</v>
      </c>
      <c r="C37" s="10" t="s">
        <v>9</v>
      </c>
      <c r="D37" s="10">
        <v>24</v>
      </c>
      <c r="E37" s="4">
        <f t="shared" si="1"/>
        <v>24</v>
      </c>
      <c r="F37" s="4">
        <f t="shared" si="2"/>
        <v>384</v>
      </c>
      <c r="G37" s="4">
        <f t="shared" si="3"/>
        <v>1440</v>
      </c>
      <c r="H37" s="15">
        <f>(SQRT(4*I36*I36*V*V + 'Drilling Spec'!$C$42*I36 + W*('Drilling Spec'!$C$43 + 2*l*V*(s*W + 2*V*G37/(1+e)) + 'Drilling Spec'!$C$44)) - 'Drilling Spec'!$C$45)/(2*V)</f>
        <v>434.74236555649435</v>
      </c>
      <c r="I37" s="23">
        <f>IF(AND(OR(I36=0,I36=""),F37=0),IF(F38=0,"",'Drilling Spec'!$C$26),H37)</f>
        <v>434.74236555649435</v>
      </c>
      <c r="J37" s="16">
        <f>MAX(0,I37-'Drilling Spec'!$C$30)</f>
        <v>354.74236555649435</v>
      </c>
      <c r="K37" s="18">
        <f>IFERROR(J37/'Drilling Spec'!$C$31,0)</f>
        <v>23.649491037099622</v>
      </c>
      <c r="L37" s="21">
        <f t="shared" si="4"/>
        <v>0</v>
      </c>
      <c r="M37" s="4">
        <f t="shared" si="14"/>
        <v>0</v>
      </c>
      <c r="N37" s="21">
        <f t="shared" si="5"/>
        <v>0</v>
      </c>
      <c r="O37" s="18">
        <f>(SQRT(4*O36*O36*vB*vB + 'Drilling Spec'!$C$48*O36 + WB*('Drilling Spec'!$C$49 + 2*lB*vB*(sB*WB + 2*vB*N37/(1+eB)) + 'Drilling Spec'!$C$50)) - 'Drilling Spec'!$C$51)/(2*vB)</f>
        <v>0</v>
      </c>
      <c r="P37" s="18">
        <f>IFERROR(((S37-'Drilling Spec'!$C$30)/'Drilling Spec'!$C$31)*'Drilling Spec'!$C$32,0)</f>
        <v>0</v>
      </c>
      <c r="Q37" s="18">
        <f t="shared" si="15"/>
        <v>0</v>
      </c>
      <c r="R37" s="18"/>
      <c r="S37" s="26" t="str">
        <f>IF(AND(OR(T36=0,T36=""),M37=0),IF(M38=0,"",'Drilling Spec'!$C$30),O37)</f>
        <v/>
      </c>
      <c r="U37" s="15">
        <f>E37*'Drilling Spec'!$C$22 + L37*'Drilling Spec'!$C$23</f>
        <v>0.4809756097560976</v>
      </c>
      <c r="V37" s="15">
        <f t="shared" si="16"/>
        <v>7.6956097560975643</v>
      </c>
      <c r="W37" s="15">
        <f t="shared" si="6"/>
        <v>6.3043902439024393</v>
      </c>
      <c r="X37" s="10">
        <v>4</v>
      </c>
      <c r="Y37" s="30">
        <f>IF(W37&lt;U38,'Drilling Spec'!$C$35,0)</f>
        <v>0</v>
      </c>
      <c r="AA37" s="4">
        <f t="shared" si="19"/>
        <v>35</v>
      </c>
      <c r="AB37" s="10">
        <v>2</v>
      </c>
      <c r="AC37" s="30">
        <f>IF('04-07-25-Scen4-ExFrontloadCargo'!K38&gt;'04-07-25-Scen4-ExFrontloadCargo'!AA37,'Drilling Spec'!$C$36,)</f>
        <v>0</v>
      </c>
      <c r="AE37" s="18">
        <f>(I37-'Drilling Spec'!$C$26)/'Drilling Spec'!$C$38</f>
        <v>60.790394259415727</v>
      </c>
      <c r="AF37" s="18">
        <f t="shared" si="7"/>
        <v>3.1102148578879536</v>
      </c>
      <c r="AG37" s="34">
        <f t="shared" si="8"/>
        <v>0.79039425941572716</v>
      </c>
      <c r="AH37" s="10">
        <v>20</v>
      </c>
      <c r="AI37" s="26">
        <f>IF(C37="Camp Closed",AG37,IF(AG37&lt;'Drilling Spec'!$C$39,,'Drilling Spec'!$C$39))</f>
        <v>0</v>
      </c>
      <c r="AL37" s="16">
        <f t="shared" si="9"/>
        <v>-434.74236555649435</v>
      </c>
      <c r="AM37" s="16" t="e">
        <f t="shared" si="10"/>
        <v>#N/A</v>
      </c>
      <c r="AN37">
        <f>-'Drilling Spec'!$C$29</f>
        <v>-720</v>
      </c>
      <c r="AO37">
        <f>-'Drilling Spec'!$C$27</f>
        <v>-624</v>
      </c>
      <c r="AP37">
        <f>-'Drilling Spec'!$C$28</f>
        <v>-688</v>
      </c>
      <c r="AQ37" t="e">
        <f t="shared" si="11"/>
        <v>#N/A</v>
      </c>
      <c r="AR37">
        <f>IF(X37=0,NA(),-'Drilling Spec'!$C$29*0.1)</f>
        <v>-72</v>
      </c>
      <c r="AS37" t="e">
        <f>IF(Y37=0,NA(),-'Drilling Spec'!$C$29*0.1)</f>
        <v>#N/A</v>
      </c>
      <c r="AT37">
        <f>IF(AB37=0,NA(),-'Drilling Spec'!$C$29*0.2)</f>
        <v>-144</v>
      </c>
      <c r="AU37" t="e">
        <f>IF(AC37=0,NA(),-'Drilling Spec'!$C$29*0.2)</f>
        <v>#N/A</v>
      </c>
      <c r="AV37">
        <f>IF(AH37=0,NA(),-'Drilling Spec'!$C$29*0.3)</f>
        <v>-216</v>
      </c>
      <c r="AW37" t="e">
        <f>IF(AI37=0,NA(),-'Drilling Spec'!$C$29*0.3)</f>
        <v>#N/A</v>
      </c>
      <c r="AX37" s="29">
        <f t="shared" si="12"/>
        <v>6.3043902439024393</v>
      </c>
      <c r="AY37" s="29">
        <f t="shared" si="13"/>
        <v>11.350508962900378</v>
      </c>
      <c r="AZ37" s="29">
        <f t="shared" si="17"/>
        <v>0.79039425941572716</v>
      </c>
      <c r="BS37" s="35"/>
      <c r="BT37" s="39"/>
      <c r="BU37" s="39"/>
      <c r="BV37" s="39"/>
      <c r="BW37" s="39"/>
      <c r="BX37" s="39"/>
      <c r="BY37" s="39"/>
      <c r="BZ37" s="39"/>
      <c r="CA37" s="39"/>
    </row>
    <row r="38" spans="1:79" x14ac:dyDescent="0.35">
      <c r="A38" s="28">
        <f t="shared" si="18"/>
        <v>46008</v>
      </c>
      <c r="B38" t="str">
        <f t="shared" si="0"/>
        <v>Wed</v>
      </c>
      <c r="C38" s="10" t="s">
        <v>9</v>
      </c>
      <c r="D38" s="10">
        <v>24</v>
      </c>
      <c r="E38" s="4">
        <f t="shared" si="1"/>
        <v>24</v>
      </c>
      <c r="F38" s="4">
        <f t="shared" si="2"/>
        <v>408</v>
      </c>
      <c r="G38" s="4">
        <f t="shared" si="3"/>
        <v>1440</v>
      </c>
      <c r="H38" s="15">
        <f>(SQRT(4*I37*I37*V*V + 'Drilling Spec'!$C$42*I37 + W*('Drilling Spec'!$C$43 + 2*l*V*(s*W + 2*V*G38/(1+e)) + 'Drilling Spec'!$C$44)) - 'Drilling Spec'!$C$45)/(2*V)</f>
        <v>453.04894389158022</v>
      </c>
      <c r="I38" s="23">
        <f>IF(AND(OR(I37=0,I37=""),F38=0),IF(F39=0,"",'Drilling Spec'!$C$26),H38)</f>
        <v>453.04894389158022</v>
      </c>
      <c r="J38" s="16">
        <f>MAX(0,I38-'Drilling Spec'!$C$30)</f>
        <v>373.04894389158022</v>
      </c>
      <c r="K38" s="18">
        <f>IFERROR(J38/'Drilling Spec'!$C$31,0)</f>
        <v>24.869929592772014</v>
      </c>
      <c r="L38" s="21">
        <f t="shared" si="4"/>
        <v>0</v>
      </c>
      <c r="M38" s="4">
        <f t="shared" si="14"/>
        <v>0</v>
      </c>
      <c r="N38" s="21">
        <f t="shared" si="5"/>
        <v>0</v>
      </c>
      <c r="O38" s="18">
        <f>(SQRT(4*O37*O37*vB*vB + 'Drilling Spec'!$C$48*O37 + WB*('Drilling Spec'!$C$49 + 2*lB*vB*(sB*WB + 2*vB*N38/(1+eB)) + 'Drilling Spec'!$C$50)) - 'Drilling Spec'!$C$51)/(2*vB)</f>
        <v>0</v>
      </c>
      <c r="P38" s="18">
        <f>IFERROR(((S38-'Drilling Spec'!$C$30)/'Drilling Spec'!$C$31)*'Drilling Spec'!$C$32,0)</f>
        <v>0</v>
      </c>
      <c r="Q38" s="18">
        <f t="shared" si="15"/>
        <v>0</v>
      </c>
      <c r="R38" s="18"/>
      <c r="S38" s="26" t="str">
        <f>IF(AND(OR(T37=0,T37=""),M38=0),IF(M39=0,"",'Drilling Spec'!$C$30),O38)</f>
        <v/>
      </c>
      <c r="U38" s="15">
        <f>E38*'Drilling Spec'!$C$22 + L38*'Drilling Spec'!$C$23</f>
        <v>0.4809756097560976</v>
      </c>
      <c r="V38" s="15">
        <f t="shared" si="16"/>
        <v>8.1765853658536614</v>
      </c>
      <c r="W38" s="15">
        <f t="shared" si="6"/>
        <v>9.8234146341463422</v>
      </c>
      <c r="X38" s="10"/>
      <c r="Y38" s="30">
        <f>IF(W38&lt;U39,'Drilling Spec'!$C$35,0)</f>
        <v>0</v>
      </c>
      <c r="AA38" s="4">
        <f t="shared" si="19"/>
        <v>35</v>
      </c>
      <c r="AB38" s="10"/>
      <c r="AC38" s="30">
        <f>IF('04-07-25-Scen4-ExFrontloadCargo'!K39&gt;'04-07-25-Scen4-ExFrontloadCargo'!AA38,'Drilling Spec'!$C$36,)</f>
        <v>0</v>
      </c>
      <c r="AE38" s="18">
        <f>(I38-'Drilling Spec'!$C$26)/'Drilling Spec'!$C$38</f>
        <v>63.841490648596704</v>
      </c>
      <c r="AF38" s="18">
        <f t="shared" si="7"/>
        <v>3.0510963891809766</v>
      </c>
      <c r="AG38" s="34">
        <f t="shared" si="8"/>
        <v>3.8414906485967037</v>
      </c>
      <c r="AH38" s="10"/>
      <c r="AI38" s="26">
        <f>IF(C38="Camp Closed",AG38,IF(AG38&lt;'Drilling Spec'!$C$39,,'Drilling Spec'!$C$39))</f>
        <v>0</v>
      </c>
      <c r="AL38" s="16">
        <f t="shared" si="9"/>
        <v>-453.04894389158022</v>
      </c>
      <c r="AM38" s="16" t="e">
        <f t="shared" si="10"/>
        <v>#N/A</v>
      </c>
      <c r="AN38">
        <f>-'Drilling Spec'!$C$29</f>
        <v>-720</v>
      </c>
      <c r="AO38">
        <f>-'Drilling Spec'!$C$27</f>
        <v>-624</v>
      </c>
      <c r="AP38">
        <f>-'Drilling Spec'!$C$28</f>
        <v>-688</v>
      </c>
      <c r="AQ38" t="e">
        <f t="shared" si="11"/>
        <v>#N/A</v>
      </c>
      <c r="AR38" t="e">
        <f>IF(X38=0,NA(),-'Drilling Spec'!$C$29*0.1)</f>
        <v>#N/A</v>
      </c>
      <c r="AS38" t="e">
        <f>IF(Y38=0,NA(),-'Drilling Spec'!$C$29*0.1)</f>
        <v>#N/A</v>
      </c>
      <c r="AT38" t="e">
        <f>IF(AB38=0,NA(),-'Drilling Spec'!$C$29*0.2)</f>
        <v>#N/A</v>
      </c>
      <c r="AU38" t="e">
        <f>IF(AC38=0,NA(),-'Drilling Spec'!$C$29*0.2)</f>
        <v>#N/A</v>
      </c>
      <c r="AV38" t="e">
        <f>IF(AH38=0,NA(),-'Drilling Spec'!$C$29*0.3)</f>
        <v>#N/A</v>
      </c>
      <c r="AW38" t="e">
        <f>IF(AI38=0,NA(),-'Drilling Spec'!$C$29*0.3)</f>
        <v>#N/A</v>
      </c>
      <c r="AX38" s="29">
        <f t="shared" si="12"/>
        <v>9.8234146341463422</v>
      </c>
      <c r="AY38" s="29">
        <f t="shared" si="13"/>
        <v>10.130070407227986</v>
      </c>
      <c r="AZ38" s="29">
        <f t="shared" si="17"/>
        <v>3.8414906485967037</v>
      </c>
      <c r="BS38" s="35"/>
      <c r="BT38" s="39" t="s">
        <v>193</v>
      </c>
      <c r="BU38" s="39"/>
      <c r="BV38" s="39"/>
      <c r="BW38" s="39"/>
      <c r="BX38" s="39"/>
      <c r="BY38" s="39"/>
      <c r="BZ38" s="39"/>
      <c r="CA38" s="39"/>
    </row>
    <row r="39" spans="1:79" x14ac:dyDescent="0.35">
      <c r="A39" s="28">
        <f t="shared" si="18"/>
        <v>46009</v>
      </c>
      <c r="B39" t="str">
        <f t="shared" si="0"/>
        <v>Thu</v>
      </c>
      <c r="C39" s="10" t="s">
        <v>9</v>
      </c>
      <c r="D39" s="10">
        <v>24</v>
      </c>
      <c r="E39" s="4">
        <f t="shared" si="1"/>
        <v>24</v>
      </c>
      <c r="F39" s="4">
        <f t="shared" si="2"/>
        <v>432</v>
      </c>
      <c r="G39" s="4">
        <f t="shared" si="3"/>
        <v>1440</v>
      </c>
      <c r="H39" s="15">
        <f>(SQRT(4*I38*I38*V*V + 'Drilling Spec'!$C$42*I38 + W*('Drilling Spec'!$C$43 + 2*l*V*(s*W + 2*V*G39/(1+e)) + 'Drilling Spec'!$C$44)) - 'Drilling Spec'!$C$45)/(2*V)</f>
        <v>471.02030076512392</v>
      </c>
      <c r="I39" s="23">
        <f>IF(AND(OR(I38=0,I38=""),F39=0),IF(F40=0,"",'Drilling Spec'!$C$26),H39)</f>
        <v>471.02030076512392</v>
      </c>
      <c r="J39" s="16">
        <f>MAX(0,I39-'Drilling Spec'!$C$30)</f>
        <v>391.02030076512392</v>
      </c>
      <c r="K39" s="18">
        <f>IFERROR(J39/'Drilling Spec'!$C$31,0)</f>
        <v>26.068020051008261</v>
      </c>
      <c r="L39" s="21">
        <f t="shared" si="4"/>
        <v>0</v>
      </c>
      <c r="M39" s="4">
        <f t="shared" si="14"/>
        <v>0</v>
      </c>
      <c r="N39" s="21">
        <f t="shared" si="5"/>
        <v>0</v>
      </c>
      <c r="O39" s="18">
        <f>(SQRT(4*O38*O38*vB*vB + 'Drilling Spec'!$C$48*O38 + WB*('Drilling Spec'!$C$49 + 2*lB*vB*(sB*WB + 2*vB*N39/(1+eB)) + 'Drilling Spec'!$C$50)) - 'Drilling Spec'!$C$51)/(2*vB)</f>
        <v>0</v>
      </c>
      <c r="P39" s="18">
        <f>IFERROR(((S39-'Drilling Spec'!$C$30)/'Drilling Spec'!$C$31)*'Drilling Spec'!$C$32,0)</f>
        <v>0</v>
      </c>
      <c r="Q39" s="18">
        <f t="shared" si="15"/>
        <v>0</v>
      </c>
      <c r="R39" s="18"/>
      <c r="S39" s="26" t="str">
        <f>IF(AND(OR(T38=0,T38=""),M39=0),IF(M40=0,"",'Drilling Spec'!$C$30),O39)</f>
        <v/>
      </c>
      <c r="U39" s="15">
        <f>E39*'Drilling Spec'!$C$22 + L39*'Drilling Spec'!$C$23</f>
        <v>0.4809756097560976</v>
      </c>
      <c r="V39" s="15">
        <f t="shared" si="16"/>
        <v>8.6575609756097585</v>
      </c>
      <c r="W39" s="15">
        <f t="shared" si="6"/>
        <v>9.3424390243902451</v>
      </c>
      <c r="X39" s="10"/>
      <c r="Y39" s="30">
        <f>IF(W39&lt;U40,'Drilling Spec'!$C$35,0)</f>
        <v>0</v>
      </c>
      <c r="AA39" s="4">
        <f t="shared" si="19"/>
        <v>35</v>
      </c>
      <c r="AB39" s="10"/>
      <c r="AC39" s="30">
        <f>IF('04-07-25-Scen4-ExFrontloadCargo'!K40&gt;'04-07-25-Scen4-ExFrontloadCargo'!AA39,'Drilling Spec'!$C$36,)</f>
        <v>0</v>
      </c>
      <c r="AE39" s="18">
        <f>(I39-'Drilling Spec'!$C$26)/'Drilling Spec'!$C$38</f>
        <v>66.836716794187325</v>
      </c>
      <c r="AF39" s="18">
        <f t="shared" si="7"/>
        <v>2.9952261455906211</v>
      </c>
      <c r="AG39" s="34">
        <f t="shared" si="8"/>
        <v>6.8367167941873248</v>
      </c>
      <c r="AH39" s="10"/>
      <c r="AI39" s="26">
        <f>IF(C39="Camp Closed",AG39,IF(AG39&lt;'Drilling Spec'!$C$39,,'Drilling Spec'!$C$39))</f>
        <v>0</v>
      </c>
      <c r="AL39" s="16">
        <f t="shared" si="9"/>
        <v>-471.02030076512392</v>
      </c>
      <c r="AM39" s="16" t="e">
        <f t="shared" si="10"/>
        <v>#N/A</v>
      </c>
      <c r="AN39">
        <f>-'Drilling Spec'!$C$29</f>
        <v>-720</v>
      </c>
      <c r="AO39">
        <f>-'Drilling Spec'!$C$27</f>
        <v>-624</v>
      </c>
      <c r="AP39">
        <f>-'Drilling Spec'!$C$28</f>
        <v>-688</v>
      </c>
      <c r="AQ39" t="e">
        <f t="shared" si="11"/>
        <v>#N/A</v>
      </c>
      <c r="AR39" t="e">
        <f>IF(X39=0,NA(),-'Drilling Spec'!$C$29*0.1)</f>
        <v>#N/A</v>
      </c>
      <c r="AS39" t="e">
        <f>IF(Y39=0,NA(),-'Drilling Spec'!$C$29*0.1)</f>
        <v>#N/A</v>
      </c>
      <c r="AT39" t="e">
        <f>IF(AB39=0,NA(),-'Drilling Spec'!$C$29*0.2)</f>
        <v>#N/A</v>
      </c>
      <c r="AU39" t="e">
        <f>IF(AC39=0,NA(),-'Drilling Spec'!$C$29*0.2)</f>
        <v>#N/A</v>
      </c>
      <c r="AV39" t="e">
        <f>IF(AH39=0,NA(),-'Drilling Spec'!$C$29*0.3)</f>
        <v>#N/A</v>
      </c>
      <c r="AW39" t="e">
        <f>IF(AI39=0,NA(),-'Drilling Spec'!$C$29*0.3)</f>
        <v>#N/A</v>
      </c>
      <c r="AX39" s="29">
        <f t="shared" si="12"/>
        <v>9.3424390243902451</v>
      </c>
      <c r="AY39" s="29">
        <f t="shared" si="13"/>
        <v>8.9319799489917386</v>
      </c>
      <c r="AZ39" s="29">
        <f t="shared" si="17"/>
        <v>6.8367167941873248</v>
      </c>
      <c r="BS39" s="35"/>
      <c r="BT39" s="39"/>
      <c r="BU39" s="39"/>
      <c r="BV39" s="39"/>
      <c r="BW39" s="39"/>
      <c r="BX39" s="39"/>
      <c r="BY39" s="39"/>
      <c r="BZ39" s="39"/>
      <c r="CA39" s="39"/>
    </row>
    <row r="40" spans="1:79" x14ac:dyDescent="0.35">
      <c r="A40" s="28">
        <f t="shared" si="18"/>
        <v>46010</v>
      </c>
      <c r="B40" t="str">
        <f t="shared" si="0"/>
        <v>Fri</v>
      </c>
      <c r="C40" s="10" t="s">
        <v>9</v>
      </c>
      <c r="D40" s="10">
        <v>24</v>
      </c>
      <c r="E40" s="4">
        <f t="shared" si="1"/>
        <v>24</v>
      </c>
      <c r="F40" s="4">
        <f t="shared" si="2"/>
        <v>456</v>
      </c>
      <c r="G40" s="4">
        <f t="shared" si="3"/>
        <v>1440</v>
      </c>
      <c r="H40" s="15">
        <f>(SQRT(4*I39*I39*V*V + 'Drilling Spec'!$C$42*I39 + W*('Drilling Spec'!$C$43 + 2*l*V*(s*W + 2*V*G40/(1+e)) + 'Drilling Spec'!$C$44)) - 'Drilling Spec'!$C$45)/(2*V)</f>
        <v>488.67420360675374</v>
      </c>
      <c r="I40" s="23">
        <f>IF(AND(OR(I39=0,I39=""),F40=0),IF(F41=0,"",'Drilling Spec'!$C$26),H40)</f>
        <v>488.67420360675374</v>
      </c>
      <c r="J40" s="16">
        <f>MAX(0,I40-'Drilling Spec'!$C$30)</f>
        <v>408.67420360675374</v>
      </c>
      <c r="K40" s="18">
        <f>IFERROR(J40/'Drilling Spec'!$C$31,0)</f>
        <v>27.244946907116915</v>
      </c>
      <c r="L40" s="21">
        <f t="shared" si="4"/>
        <v>0</v>
      </c>
      <c r="M40" s="4">
        <f t="shared" si="14"/>
        <v>0</v>
      </c>
      <c r="N40" s="21">
        <f t="shared" si="5"/>
        <v>0</v>
      </c>
      <c r="O40" s="18">
        <f>(SQRT(4*O39*O39*vB*vB + 'Drilling Spec'!$C$48*O39 + WB*('Drilling Spec'!$C$49 + 2*lB*vB*(sB*WB + 2*vB*N40/(1+eB)) + 'Drilling Spec'!$C$50)) - 'Drilling Spec'!$C$51)/(2*vB)</f>
        <v>0</v>
      </c>
      <c r="P40" s="18">
        <f>IFERROR(((S40-'Drilling Spec'!$C$30)/'Drilling Spec'!$C$31)*'Drilling Spec'!$C$32,0)</f>
        <v>0</v>
      </c>
      <c r="Q40" s="18">
        <f t="shared" si="15"/>
        <v>0</v>
      </c>
      <c r="R40" s="18"/>
      <c r="S40" s="26" t="str">
        <f>IF(AND(OR(T39=0,T39=""),M40=0),IF(M41=0,"",'Drilling Spec'!$C$30),O40)</f>
        <v/>
      </c>
      <c r="U40" s="15">
        <f>E40*'Drilling Spec'!$C$22 + L40*'Drilling Spec'!$C$23</f>
        <v>0.4809756097560976</v>
      </c>
      <c r="V40" s="15">
        <f t="shared" si="16"/>
        <v>9.1385365853658556</v>
      </c>
      <c r="W40" s="15">
        <f t="shared" si="6"/>
        <v>8.861463414634148</v>
      </c>
      <c r="X40" s="10"/>
      <c r="Y40" s="30">
        <f>IF(W40&lt;U41,'Drilling Spec'!$C$35,0)</f>
        <v>0</v>
      </c>
      <c r="AA40" s="4">
        <f t="shared" si="19"/>
        <v>35</v>
      </c>
      <c r="AB40" s="10"/>
      <c r="AC40" s="30">
        <f>IF('04-07-25-Scen4-ExFrontloadCargo'!K41&gt;'04-07-25-Scen4-ExFrontloadCargo'!AA40,'Drilling Spec'!$C$36,)</f>
        <v>0</v>
      </c>
      <c r="AE40" s="18">
        <f>(I40-'Drilling Spec'!$C$26)/'Drilling Spec'!$C$38</f>
        <v>69.779033934458951</v>
      </c>
      <c r="AF40" s="18">
        <f t="shared" si="7"/>
        <v>2.9423171402716264</v>
      </c>
      <c r="AG40" s="34">
        <f t="shared" si="8"/>
        <v>9.7790339344589512</v>
      </c>
      <c r="AH40" s="10"/>
      <c r="AI40" s="26">
        <f>IF(C40="Camp Closed",AG40,IF(AG40&lt;'Drilling Spec'!$C$39,,'Drilling Spec'!$C$39))</f>
        <v>0</v>
      </c>
      <c r="AL40" s="16">
        <f t="shared" si="9"/>
        <v>-488.67420360675374</v>
      </c>
      <c r="AM40" s="16" t="e">
        <f t="shared" si="10"/>
        <v>#N/A</v>
      </c>
      <c r="AN40">
        <f>-'Drilling Spec'!$C$29</f>
        <v>-720</v>
      </c>
      <c r="AO40">
        <f>-'Drilling Spec'!$C$27</f>
        <v>-624</v>
      </c>
      <c r="AP40">
        <f>-'Drilling Spec'!$C$28</f>
        <v>-688</v>
      </c>
      <c r="AQ40" t="e">
        <f t="shared" si="11"/>
        <v>#N/A</v>
      </c>
      <c r="AR40" t="e">
        <f>IF(X40=0,NA(),-'Drilling Spec'!$C$29*0.1)</f>
        <v>#N/A</v>
      </c>
      <c r="AS40" t="e">
        <f>IF(Y40=0,NA(),-'Drilling Spec'!$C$29*0.1)</f>
        <v>#N/A</v>
      </c>
      <c r="AT40" t="e">
        <f>IF(AB40=0,NA(),-'Drilling Spec'!$C$29*0.2)</f>
        <v>#N/A</v>
      </c>
      <c r="AU40" t="e">
        <f>IF(AC40=0,NA(),-'Drilling Spec'!$C$29*0.2)</f>
        <v>#N/A</v>
      </c>
      <c r="AV40" t="e">
        <f>IF(AH40=0,NA(),-'Drilling Spec'!$C$29*0.3)</f>
        <v>#N/A</v>
      </c>
      <c r="AW40" t="e">
        <f>IF(AI40=0,NA(),-'Drilling Spec'!$C$29*0.3)</f>
        <v>#N/A</v>
      </c>
      <c r="AX40" s="29">
        <f t="shared" si="12"/>
        <v>8.861463414634148</v>
      </c>
      <c r="AY40" s="29">
        <f t="shared" si="13"/>
        <v>7.7550530928830845</v>
      </c>
      <c r="AZ40" s="29">
        <f t="shared" si="17"/>
        <v>9.7790339344589512</v>
      </c>
      <c r="BS40" s="35"/>
      <c r="BT40" s="35"/>
      <c r="BU40" s="35"/>
      <c r="BV40" s="35"/>
      <c r="BW40" s="35"/>
      <c r="BX40" s="35"/>
      <c r="BY40" s="35"/>
      <c r="BZ40" s="35"/>
    </row>
    <row r="41" spans="1:79" x14ac:dyDescent="0.35">
      <c r="A41" s="28">
        <f t="shared" si="18"/>
        <v>46011</v>
      </c>
      <c r="B41" t="str">
        <f t="shared" si="0"/>
        <v>Sat</v>
      </c>
      <c r="C41" s="10" t="s">
        <v>9</v>
      </c>
      <c r="D41" s="10">
        <v>24</v>
      </c>
      <c r="E41" s="4">
        <f t="shared" si="1"/>
        <v>24</v>
      </c>
      <c r="F41" s="4">
        <f t="shared" si="2"/>
        <v>480</v>
      </c>
      <c r="G41" s="4">
        <f t="shared" si="3"/>
        <v>1440</v>
      </c>
      <c r="H41" s="15">
        <f>(SQRT(4*I40*I40*V*V + 'Drilling Spec'!$C$42*I40 + W*('Drilling Spec'!$C$43 + 2*l*V*(s*W + 2*V*G41/(1+e)) + 'Drilling Spec'!$C$44)) - 'Drilling Spec'!$C$45)/(2*V)</f>
        <v>506.02690367370093</v>
      </c>
      <c r="I41" s="23">
        <f>IF(AND(OR(I40=0,I40=""),F41=0),IF(F42=0,"",'Drilling Spec'!$C$26),H41)</f>
        <v>506.02690367370093</v>
      </c>
      <c r="J41" s="16">
        <f>MAX(0,I41-'Drilling Spec'!$C$30)</f>
        <v>426.02690367370093</v>
      </c>
      <c r="K41" s="18">
        <f>IFERROR(J41/'Drilling Spec'!$C$31,0)</f>
        <v>28.401793578246728</v>
      </c>
      <c r="L41" s="21">
        <f t="shared" si="4"/>
        <v>0</v>
      </c>
      <c r="M41" s="4">
        <f t="shared" si="14"/>
        <v>0</v>
      </c>
      <c r="N41" s="21">
        <f t="shared" si="5"/>
        <v>0</v>
      </c>
      <c r="O41" s="18">
        <f>(SQRT(4*O40*O40*vB*vB + 'Drilling Spec'!$C$48*O40 + WB*('Drilling Spec'!$C$49 + 2*lB*vB*(sB*WB + 2*vB*N41/(1+eB)) + 'Drilling Spec'!$C$50)) - 'Drilling Spec'!$C$51)/(2*vB)</f>
        <v>0</v>
      </c>
      <c r="P41" s="18">
        <f>IFERROR(((S41-'Drilling Spec'!$C$30)/'Drilling Spec'!$C$31)*'Drilling Spec'!$C$32,0)</f>
        <v>0</v>
      </c>
      <c r="Q41" s="18">
        <f t="shared" si="15"/>
        <v>0</v>
      </c>
      <c r="R41" s="18"/>
      <c r="S41" s="26" t="str">
        <f>IF(AND(OR(T40=0,T40=""),M41=0),IF(M42=0,"",'Drilling Spec'!$C$30),O41)</f>
        <v/>
      </c>
      <c r="U41" s="15">
        <f>E41*'Drilling Spec'!$C$22 + L41*'Drilling Spec'!$C$23</f>
        <v>0.4809756097560976</v>
      </c>
      <c r="V41" s="15">
        <f t="shared" si="16"/>
        <v>9.6195121951219527</v>
      </c>
      <c r="W41" s="15">
        <f t="shared" si="6"/>
        <v>8.3804878048780509</v>
      </c>
      <c r="X41" s="10"/>
      <c r="Y41" s="30">
        <f>IF(W41&lt;U42,'Drilling Spec'!$C$35,0)</f>
        <v>0</v>
      </c>
      <c r="AA41" s="4">
        <f t="shared" si="19"/>
        <v>35</v>
      </c>
      <c r="AB41" s="10"/>
      <c r="AC41" s="30">
        <f>IF('04-07-25-Scen4-ExFrontloadCargo'!K42&gt;'04-07-25-Scen4-ExFrontloadCargo'!AA41,'Drilling Spec'!$C$36,)</f>
        <v>0</v>
      </c>
      <c r="AE41" s="18">
        <f>(I41-'Drilling Spec'!$C$26)/'Drilling Spec'!$C$38</f>
        <v>72.671150612283483</v>
      </c>
      <c r="AF41" s="18">
        <f t="shared" si="7"/>
        <v>2.8921166778245322</v>
      </c>
      <c r="AG41" s="34">
        <f t="shared" si="8"/>
        <v>12.671150612283483</v>
      </c>
      <c r="AH41" s="10"/>
      <c r="AI41" s="26">
        <f>IF(C41="Camp Closed",AG41,IF(AG41&lt;'Drilling Spec'!$C$39,,'Drilling Spec'!$C$39))</f>
        <v>0</v>
      </c>
      <c r="AL41" s="16">
        <f t="shared" si="9"/>
        <v>-506.02690367370093</v>
      </c>
      <c r="AM41" s="16" t="e">
        <f t="shared" si="10"/>
        <v>#N/A</v>
      </c>
      <c r="AN41">
        <f>-'Drilling Spec'!$C$29</f>
        <v>-720</v>
      </c>
      <c r="AO41">
        <f>-'Drilling Spec'!$C$27</f>
        <v>-624</v>
      </c>
      <c r="AP41">
        <f>-'Drilling Spec'!$C$28</f>
        <v>-688</v>
      </c>
      <c r="AQ41" t="e">
        <f t="shared" si="11"/>
        <v>#N/A</v>
      </c>
      <c r="AR41" t="e">
        <f>IF(X41=0,NA(),-'Drilling Spec'!$C$29*0.1)</f>
        <v>#N/A</v>
      </c>
      <c r="AS41" t="e">
        <f>IF(Y41=0,NA(),-'Drilling Spec'!$C$29*0.1)</f>
        <v>#N/A</v>
      </c>
      <c r="AT41" t="e">
        <f>IF(AB41=0,NA(),-'Drilling Spec'!$C$29*0.2)</f>
        <v>#N/A</v>
      </c>
      <c r="AU41" t="e">
        <f>IF(AC41=0,NA(),-'Drilling Spec'!$C$29*0.2)</f>
        <v>#N/A</v>
      </c>
      <c r="AV41" t="e">
        <f>IF(AH41=0,NA(),-'Drilling Spec'!$C$29*0.3)</f>
        <v>#N/A</v>
      </c>
      <c r="AW41" t="e">
        <f>IF(AI41=0,NA(),-'Drilling Spec'!$C$29*0.3)</f>
        <v>#N/A</v>
      </c>
      <c r="AX41" s="29">
        <f t="shared" si="12"/>
        <v>8.3804878048780509</v>
      </c>
      <c r="AY41" s="29">
        <f t="shared" si="13"/>
        <v>6.5982064217532717</v>
      </c>
      <c r="AZ41" s="29">
        <f t="shared" si="17"/>
        <v>12.671150612283483</v>
      </c>
      <c r="BS41" s="35"/>
      <c r="BT41" s="35"/>
      <c r="BU41" s="35"/>
      <c r="BV41" s="35"/>
      <c r="BW41" s="35"/>
      <c r="BX41" s="35"/>
      <c r="BY41" s="35"/>
      <c r="BZ41" s="35"/>
    </row>
    <row r="42" spans="1:79" x14ac:dyDescent="0.35">
      <c r="A42" s="28">
        <f t="shared" si="18"/>
        <v>46012</v>
      </c>
      <c r="B42" t="str">
        <f t="shared" si="0"/>
        <v>Sun</v>
      </c>
      <c r="C42" s="10" t="s">
        <v>7</v>
      </c>
      <c r="D42" s="10">
        <v>0</v>
      </c>
      <c r="E42" s="4">
        <f t="shared" si="1"/>
        <v>0</v>
      </c>
      <c r="F42" s="4">
        <f t="shared" si="2"/>
        <v>480</v>
      </c>
      <c r="G42" s="4">
        <f t="shared" si="3"/>
        <v>0</v>
      </c>
      <c r="H42" s="15">
        <f>(SQRT(4*I41*I41*V*V + 'Drilling Spec'!$C$42*I41 + W*('Drilling Spec'!$C$43 + 2*l*V*(s*W + 2*V*G42/(1+e)) + 'Drilling Spec'!$C$44)) - 'Drilling Spec'!$C$45)/(2*V)</f>
        <v>506.02690367370093</v>
      </c>
      <c r="I42" s="23">
        <f>IF(AND(OR(I41=0,I41=""),F42=0),IF(F43=0,"",'Drilling Spec'!$C$26),H42)</f>
        <v>506.02690367370093</v>
      </c>
      <c r="J42" s="16">
        <f>MAX(0,I42-'Drilling Spec'!$C$30)</f>
        <v>426.02690367370093</v>
      </c>
      <c r="K42" s="18">
        <f>IFERROR(J42/'Drilling Spec'!$C$31,0)</f>
        <v>28.401793578246728</v>
      </c>
      <c r="L42" s="21">
        <f t="shared" si="4"/>
        <v>0</v>
      </c>
      <c r="M42" s="4">
        <f t="shared" si="14"/>
        <v>0</v>
      </c>
      <c r="N42" s="21">
        <f t="shared" si="5"/>
        <v>0</v>
      </c>
      <c r="O42" s="18">
        <f>(SQRT(4*O41*O41*vB*vB + 'Drilling Spec'!$C$48*O41 + WB*('Drilling Spec'!$C$49 + 2*lB*vB*(sB*WB + 2*vB*N42/(1+eB)) + 'Drilling Spec'!$C$50)) - 'Drilling Spec'!$C$51)/(2*vB)</f>
        <v>0</v>
      </c>
      <c r="P42" s="18">
        <f>IFERROR(((S42-'Drilling Spec'!$C$30)/'Drilling Spec'!$C$31)*'Drilling Spec'!$C$32,0)</f>
        <v>0</v>
      </c>
      <c r="Q42" s="18">
        <f t="shared" si="15"/>
        <v>0</v>
      </c>
      <c r="R42" s="18"/>
      <c r="S42" s="26" t="str">
        <f>IF(AND(OR(T41=0,T41=""),M42=0),IF(M43=0,"",'Drilling Spec'!$C$30),O42)</f>
        <v/>
      </c>
      <c r="U42" s="15">
        <f>E42*'Drilling Spec'!$C$22 + L42*'Drilling Spec'!$C$23</f>
        <v>0</v>
      </c>
      <c r="V42" s="15">
        <f t="shared" si="16"/>
        <v>9.6195121951219527</v>
      </c>
      <c r="W42" s="15">
        <f t="shared" si="6"/>
        <v>8.3804878048780509</v>
      </c>
      <c r="X42" s="10"/>
      <c r="Y42" s="30">
        <f>IF(W42&lt;U43,'Drilling Spec'!$C$35,0)</f>
        <v>0</v>
      </c>
      <c r="AA42" s="4">
        <f t="shared" si="19"/>
        <v>35</v>
      </c>
      <c r="AB42" s="10"/>
      <c r="AC42" s="30">
        <f>IF('04-07-25-Scen4-ExFrontloadCargo'!K43&gt;'04-07-25-Scen4-ExFrontloadCargo'!AA42,'Drilling Spec'!$C$36,)</f>
        <v>0</v>
      </c>
      <c r="AE42" s="18">
        <f>(I42-'Drilling Spec'!$C$26)/'Drilling Spec'!$C$38</f>
        <v>72.671150612283483</v>
      </c>
      <c r="AF42" s="18">
        <f t="shared" si="7"/>
        <v>0</v>
      </c>
      <c r="AG42" s="34">
        <f t="shared" si="8"/>
        <v>12.671150612283483</v>
      </c>
      <c r="AH42" s="10"/>
      <c r="AI42" s="26">
        <f>IF(C42="Camp Closed",AG42,IF(AG42&lt;'Drilling Spec'!$C$39,,'Drilling Spec'!$C$39))</f>
        <v>0</v>
      </c>
      <c r="AL42" s="16">
        <f t="shared" si="9"/>
        <v>-506.02690367370093</v>
      </c>
      <c r="AM42" s="16" t="e">
        <f t="shared" si="10"/>
        <v>#N/A</v>
      </c>
      <c r="AN42">
        <f>-'Drilling Spec'!$C$29</f>
        <v>-720</v>
      </c>
      <c r="AO42">
        <f>-'Drilling Spec'!$C$27</f>
        <v>-624</v>
      </c>
      <c r="AP42">
        <f>-'Drilling Spec'!$C$28</f>
        <v>-688</v>
      </c>
      <c r="AQ42" t="e">
        <f t="shared" si="11"/>
        <v>#N/A</v>
      </c>
      <c r="AR42" t="e">
        <f>IF(X42=0,NA(),-'Drilling Spec'!$C$29*0.1)</f>
        <v>#N/A</v>
      </c>
      <c r="AS42" t="e">
        <f>IF(Y42=0,NA(),-'Drilling Spec'!$C$29*0.1)</f>
        <v>#N/A</v>
      </c>
      <c r="AT42" t="e">
        <f>IF(AB42=0,NA(),-'Drilling Spec'!$C$29*0.2)</f>
        <v>#N/A</v>
      </c>
      <c r="AU42" t="e">
        <f>IF(AC42=0,NA(),-'Drilling Spec'!$C$29*0.2)</f>
        <v>#N/A</v>
      </c>
      <c r="AV42" t="e">
        <f>IF(AH42=0,NA(),-'Drilling Spec'!$C$29*0.3)</f>
        <v>#N/A</v>
      </c>
      <c r="AW42" t="e">
        <f>IF(AI42=0,NA(),-'Drilling Spec'!$C$29*0.3)</f>
        <v>#N/A</v>
      </c>
      <c r="AX42" s="29">
        <f t="shared" si="12"/>
        <v>8.3804878048780509</v>
      </c>
      <c r="AY42" s="29">
        <f t="shared" si="13"/>
        <v>6.5982064217532717</v>
      </c>
      <c r="AZ42" s="29">
        <f t="shared" si="17"/>
        <v>12.671150612283483</v>
      </c>
      <c r="BS42" s="35"/>
      <c r="BT42" s="35"/>
      <c r="BU42" s="35"/>
      <c r="BV42" s="35"/>
      <c r="BW42" s="35"/>
      <c r="BX42" s="35"/>
      <c r="BY42" s="35"/>
      <c r="BZ42" s="35"/>
    </row>
    <row r="43" spans="1:79" x14ac:dyDescent="0.35">
      <c r="A43" s="28">
        <f t="shared" si="18"/>
        <v>46013</v>
      </c>
      <c r="B43" t="str">
        <f t="shared" si="0"/>
        <v>Mon</v>
      </c>
      <c r="C43" s="10" t="s">
        <v>9</v>
      </c>
      <c r="D43" s="10">
        <v>24</v>
      </c>
      <c r="E43" s="4">
        <f t="shared" si="1"/>
        <v>24</v>
      </c>
      <c r="F43" s="4">
        <f t="shared" si="2"/>
        <v>504</v>
      </c>
      <c r="G43" s="4">
        <f t="shared" si="3"/>
        <v>1440</v>
      </c>
      <c r="H43" s="15">
        <f>(SQRT(4*I42*I42*V*V + 'Drilling Spec'!$C$42*I42 + W*('Drilling Spec'!$C$43 + 2*l*V*(s*W + 2*V*G43/(1+e)) + 'Drilling Spec'!$C$44)) - 'Drilling Spec'!$C$45)/(2*V)</f>
        <v>523.09331123018524</v>
      </c>
      <c r="I43" s="23">
        <f>IF(AND(OR(I42=0,I42=""),F43=0),IF(F44=0,"",'Drilling Spec'!$C$26),H43)</f>
        <v>523.09331123018524</v>
      </c>
      <c r="J43" s="16">
        <f>MAX(0,I43-'Drilling Spec'!$C$30)</f>
        <v>443.09331123018524</v>
      </c>
      <c r="K43" s="18">
        <f>IFERROR(J43/'Drilling Spec'!$C$31,0)</f>
        <v>29.539554082012348</v>
      </c>
      <c r="L43" s="21">
        <f t="shared" si="4"/>
        <v>0</v>
      </c>
      <c r="M43" s="4">
        <f t="shared" si="14"/>
        <v>0</v>
      </c>
      <c r="N43" s="21">
        <f t="shared" si="5"/>
        <v>0</v>
      </c>
      <c r="O43" s="18">
        <f>(SQRT(4*O42*O42*vB*vB + 'Drilling Spec'!$C$48*O42 + WB*('Drilling Spec'!$C$49 + 2*lB*vB*(sB*WB + 2*vB*N43/(1+eB)) + 'Drilling Spec'!$C$50)) - 'Drilling Spec'!$C$51)/(2*vB)</f>
        <v>0</v>
      </c>
      <c r="P43" s="18">
        <f>IFERROR(((S43-'Drilling Spec'!$C$30)/'Drilling Spec'!$C$31)*'Drilling Spec'!$C$32,0)</f>
        <v>0</v>
      </c>
      <c r="Q43" s="18">
        <f t="shared" si="15"/>
        <v>0</v>
      </c>
      <c r="R43" s="18"/>
      <c r="S43" s="26" t="str">
        <f>IF(AND(OR(T42=0,T42=""),M43=0),IF(M44=0,"",'Drilling Spec'!$C$30),O43)</f>
        <v/>
      </c>
      <c r="U43" s="15">
        <f>E43*'Drilling Spec'!$C$22 + L43*'Drilling Spec'!$C$23</f>
        <v>0.4809756097560976</v>
      </c>
      <c r="V43" s="15">
        <f t="shared" si="16"/>
        <v>10.10048780487805</v>
      </c>
      <c r="W43" s="15">
        <f t="shared" si="6"/>
        <v>7.8995121951219529</v>
      </c>
      <c r="X43" s="10"/>
      <c r="Y43" s="30">
        <f>IF(W43&lt;U44,'Drilling Spec'!$C$35,0)</f>
        <v>0</v>
      </c>
      <c r="AA43" s="4">
        <f t="shared" si="19"/>
        <v>35</v>
      </c>
      <c r="AB43" s="10"/>
      <c r="AC43" s="30">
        <f>IF('04-07-25-Scen4-ExFrontloadCargo'!K44&gt;'04-07-25-Scen4-ExFrontloadCargo'!AA43,'Drilling Spec'!$C$36,)</f>
        <v>0</v>
      </c>
      <c r="AE43" s="18">
        <f>(I43-'Drilling Spec'!$C$26)/'Drilling Spec'!$C$38</f>
        <v>75.515551871697539</v>
      </c>
      <c r="AF43" s="18">
        <f t="shared" si="7"/>
        <v>2.844401259414056</v>
      </c>
      <c r="AG43" s="34">
        <f t="shared" si="8"/>
        <v>15.515551871697539</v>
      </c>
      <c r="AH43" s="10"/>
      <c r="AI43" s="26">
        <f>IF(C43="Camp Closed",AG43,IF(AG43&lt;'Drilling Spec'!$C$39,,'Drilling Spec'!$C$39))</f>
        <v>0</v>
      </c>
      <c r="AL43" s="16">
        <f t="shared" si="9"/>
        <v>-523.09331123018524</v>
      </c>
      <c r="AM43" s="16" t="e">
        <f t="shared" si="10"/>
        <v>#N/A</v>
      </c>
      <c r="AN43">
        <f>-'Drilling Spec'!$C$29</f>
        <v>-720</v>
      </c>
      <c r="AO43">
        <f>-'Drilling Spec'!$C$27</f>
        <v>-624</v>
      </c>
      <c r="AP43">
        <f>-'Drilling Spec'!$C$28</f>
        <v>-688</v>
      </c>
      <c r="AQ43" t="e">
        <f t="shared" si="11"/>
        <v>#N/A</v>
      </c>
      <c r="AR43" t="e">
        <f>IF(X43=0,NA(),-'Drilling Spec'!$C$29*0.1)</f>
        <v>#N/A</v>
      </c>
      <c r="AS43" t="e">
        <f>IF(Y43=0,NA(),-'Drilling Spec'!$C$29*0.1)</f>
        <v>#N/A</v>
      </c>
      <c r="AT43" t="e">
        <f>IF(AB43=0,NA(),-'Drilling Spec'!$C$29*0.2)</f>
        <v>#N/A</v>
      </c>
      <c r="AU43" t="e">
        <f>IF(AC43=0,NA(),-'Drilling Spec'!$C$29*0.2)</f>
        <v>#N/A</v>
      </c>
      <c r="AV43" t="e">
        <f>IF(AH43=0,NA(),-'Drilling Spec'!$C$29*0.3)</f>
        <v>#N/A</v>
      </c>
      <c r="AW43" t="e">
        <f>IF(AI43=0,NA(),-'Drilling Spec'!$C$29*0.3)</f>
        <v>#N/A</v>
      </c>
      <c r="AX43" s="29">
        <f t="shared" si="12"/>
        <v>7.8995121951219529</v>
      </c>
      <c r="AY43" s="29">
        <f t="shared" si="13"/>
        <v>5.4604459179876521</v>
      </c>
      <c r="AZ43" s="29">
        <f t="shared" si="17"/>
        <v>15.515551871697539</v>
      </c>
      <c r="BS43" s="35"/>
      <c r="BT43" s="35"/>
      <c r="BU43" s="35"/>
      <c r="BV43" s="35"/>
      <c r="BW43" s="35"/>
      <c r="BX43" s="35"/>
      <c r="BY43" s="35"/>
      <c r="BZ43" s="35"/>
    </row>
    <row r="44" spans="1:79" x14ac:dyDescent="0.35">
      <c r="A44" s="28">
        <f t="shared" si="18"/>
        <v>46014</v>
      </c>
      <c r="B44" t="str">
        <f t="shared" si="0"/>
        <v>Tue</v>
      </c>
      <c r="C44" s="10" t="s">
        <v>9</v>
      </c>
      <c r="D44" s="10">
        <v>24</v>
      </c>
      <c r="E44" s="4">
        <f t="shared" si="1"/>
        <v>24</v>
      </c>
      <c r="F44" s="4">
        <f t="shared" si="2"/>
        <v>528</v>
      </c>
      <c r="G44" s="4">
        <f t="shared" si="3"/>
        <v>1440</v>
      </c>
      <c r="H44" s="15">
        <f>(SQRT(4*I43*I43*V*V + 'Drilling Spec'!$C$42*I43 + W*('Drilling Spec'!$C$43 + 2*l*V*(s*W + 2*V*G44/(1+e)) + 'Drilling Spec'!$C$44)) - 'Drilling Spec'!$C$45)/(2*V)</f>
        <v>539.8871455319337</v>
      </c>
      <c r="I44" s="23">
        <f>IF(AND(OR(I43=0,I43=""),F44=0),IF(F45=0,"",'Drilling Spec'!$C$26),H44)</f>
        <v>539.8871455319337</v>
      </c>
      <c r="J44" s="16">
        <f>MAX(0,I44-'Drilling Spec'!$C$30)</f>
        <v>459.8871455319337</v>
      </c>
      <c r="K44" s="18">
        <f>IFERROR(J44/'Drilling Spec'!$C$31,0)</f>
        <v>30.659143035462247</v>
      </c>
      <c r="L44" s="21">
        <f t="shared" si="4"/>
        <v>0</v>
      </c>
      <c r="M44" s="4">
        <f t="shared" si="14"/>
        <v>0</v>
      </c>
      <c r="N44" s="21">
        <f t="shared" si="5"/>
        <v>0</v>
      </c>
      <c r="O44" s="18">
        <f>(SQRT(4*O43*O43*vB*vB + 'Drilling Spec'!$C$48*O43 + WB*('Drilling Spec'!$C$49 + 2*lB*vB*(sB*WB + 2*vB*N44/(1+eB)) + 'Drilling Spec'!$C$50)) - 'Drilling Spec'!$C$51)/(2*vB)</f>
        <v>0</v>
      </c>
      <c r="P44" s="18">
        <f>IFERROR(((S44-'Drilling Spec'!$C$30)/'Drilling Spec'!$C$31)*'Drilling Spec'!$C$32,0)</f>
        <v>0</v>
      </c>
      <c r="Q44" s="18">
        <f t="shared" si="15"/>
        <v>0</v>
      </c>
      <c r="R44" s="18"/>
      <c r="S44" s="26" t="str">
        <f>IF(AND(OR(T43=0,T43=""),M44=0),IF(M45=0,"",'Drilling Spec'!$C$30),O44)</f>
        <v/>
      </c>
      <c r="U44" s="15">
        <f>E44*'Drilling Spec'!$C$22 + L44*'Drilling Spec'!$C$23</f>
        <v>0.4809756097560976</v>
      </c>
      <c r="V44" s="15">
        <f t="shared" si="16"/>
        <v>10.581463414634147</v>
      </c>
      <c r="W44" s="15">
        <f t="shared" si="6"/>
        <v>7.4185365853658549</v>
      </c>
      <c r="X44" s="10"/>
      <c r="Y44" s="30">
        <f>IF(W44&lt;U45,'Drilling Spec'!$C$35,0)</f>
        <v>0</v>
      </c>
      <c r="AA44" s="4">
        <f t="shared" si="19"/>
        <v>35</v>
      </c>
      <c r="AB44" s="10"/>
      <c r="AC44" s="30">
        <f>IF('04-07-25-Scen4-ExFrontloadCargo'!K45&gt;'04-07-25-Scen4-ExFrontloadCargo'!AA44,'Drilling Spec'!$C$36,)</f>
        <v>0</v>
      </c>
      <c r="AE44" s="18">
        <f>(I44-'Drilling Spec'!$C$26)/'Drilling Spec'!$C$38</f>
        <v>78.314524255322283</v>
      </c>
      <c r="AF44" s="18">
        <f t="shared" si="7"/>
        <v>2.7989723836247435</v>
      </c>
      <c r="AG44" s="34">
        <f t="shared" si="8"/>
        <v>18.314524255322283</v>
      </c>
      <c r="AH44" s="10"/>
      <c r="AI44" s="26">
        <f>IF(C44="Camp Closed",AG44,IF(AG44&lt;'Drilling Spec'!$C$39,,'Drilling Spec'!$C$39))</f>
        <v>0</v>
      </c>
      <c r="AL44" s="16">
        <f t="shared" si="9"/>
        <v>-539.8871455319337</v>
      </c>
      <c r="AM44" s="16" t="e">
        <f t="shared" si="10"/>
        <v>#N/A</v>
      </c>
      <c r="AN44">
        <f>-'Drilling Spec'!$C$29</f>
        <v>-720</v>
      </c>
      <c r="AO44">
        <f>-'Drilling Spec'!$C$27</f>
        <v>-624</v>
      </c>
      <c r="AP44">
        <f>-'Drilling Spec'!$C$28</f>
        <v>-688</v>
      </c>
      <c r="AQ44" t="e">
        <f t="shared" si="11"/>
        <v>#N/A</v>
      </c>
      <c r="AR44" t="e">
        <f>IF(X44=0,NA(),-'Drilling Spec'!$C$29*0.1)</f>
        <v>#N/A</v>
      </c>
      <c r="AS44" t="e">
        <f>IF(Y44=0,NA(),-'Drilling Spec'!$C$29*0.1)</f>
        <v>#N/A</v>
      </c>
      <c r="AT44" t="e">
        <f>IF(AB44=0,NA(),-'Drilling Spec'!$C$29*0.2)</f>
        <v>#N/A</v>
      </c>
      <c r="AU44" t="e">
        <f>IF(AC44=0,NA(),-'Drilling Spec'!$C$29*0.2)</f>
        <v>#N/A</v>
      </c>
      <c r="AV44" t="e">
        <f>IF(AH44=0,NA(),-'Drilling Spec'!$C$29*0.3)</f>
        <v>#N/A</v>
      </c>
      <c r="AW44" t="e">
        <f>IF(AI44=0,NA(),-'Drilling Spec'!$C$29*0.3)</f>
        <v>#N/A</v>
      </c>
      <c r="AX44" s="29">
        <f t="shared" si="12"/>
        <v>7.4185365853658549</v>
      </c>
      <c r="AY44" s="29">
        <f t="shared" si="13"/>
        <v>4.3408569645377533</v>
      </c>
      <c r="AZ44" s="29">
        <f t="shared" si="17"/>
        <v>18.314524255322283</v>
      </c>
      <c r="BS44" s="35"/>
      <c r="BT44" s="35"/>
      <c r="BU44" s="35"/>
      <c r="BV44" s="35"/>
      <c r="BW44" s="35"/>
      <c r="BX44" s="35"/>
      <c r="BY44" s="35"/>
      <c r="BZ44" s="35"/>
    </row>
    <row r="45" spans="1:79" x14ac:dyDescent="0.35">
      <c r="A45" s="28">
        <f t="shared" si="18"/>
        <v>46015</v>
      </c>
      <c r="B45" t="str">
        <f t="shared" si="0"/>
        <v>Wed</v>
      </c>
      <c r="C45" s="10" t="s">
        <v>9</v>
      </c>
      <c r="D45" s="10">
        <v>24</v>
      </c>
      <c r="E45" s="4">
        <f t="shared" si="1"/>
        <v>24</v>
      </c>
      <c r="F45" s="4">
        <f t="shared" si="2"/>
        <v>552</v>
      </c>
      <c r="G45" s="4">
        <f t="shared" si="3"/>
        <v>1440</v>
      </c>
      <c r="H45" s="15">
        <f>(SQRT(4*I44*I44*V*V + 'Drilling Spec'!$C$42*I44 + W*('Drilling Spec'!$C$43 + 2*l*V*(s*W + 2*V*G45/(1+e)) + 'Drilling Spec'!$C$44)) - 'Drilling Spec'!$C$45)/(2*V)</f>
        <v>556.42106390803474</v>
      </c>
      <c r="I45" s="23">
        <f>IF(AND(OR(I44=0,I44=""),F45=0),IF(F46=0,"",'Drilling Spec'!$C$26),H45)</f>
        <v>556.42106390803474</v>
      </c>
      <c r="J45" s="16">
        <f>MAX(0,I45-'Drilling Spec'!$C$30)</f>
        <v>476.42106390803474</v>
      </c>
      <c r="K45" s="18">
        <f>IFERROR(J45/'Drilling Spec'!$C$31,0)</f>
        <v>31.761404260535649</v>
      </c>
      <c r="L45" s="21">
        <f t="shared" si="4"/>
        <v>0</v>
      </c>
      <c r="M45" s="4">
        <f t="shared" si="14"/>
        <v>0</v>
      </c>
      <c r="N45" s="21">
        <f t="shared" si="5"/>
        <v>0</v>
      </c>
      <c r="O45" s="18">
        <f>(SQRT(4*O44*O44*vB*vB + 'Drilling Spec'!$C$48*O44 + WB*('Drilling Spec'!$C$49 + 2*lB*vB*(sB*WB + 2*vB*N45/(1+eB)) + 'Drilling Spec'!$C$50)) - 'Drilling Spec'!$C$51)/(2*vB)</f>
        <v>0</v>
      </c>
      <c r="P45" s="18">
        <f>IFERROR(((S45-'Drilling Spec'!$C$30)/'Drilling Spec'!$C$31)*'Drilling Spec'!$C$32,0)</f>
        <v>0</v>
      </c>
      <c r="Q45" s="18">
        <f t="shared" si="15"/>
        <v>0</v>
      </c>
      <c r="R45" s="18"/>
      <c r="S45" s="26" t="str">
        <f>IF(AND(OR(T44=0,T44=""),M45=0),IF(M46=0,"",'Drilling Spec'!$C$30),O45)</f>
        <v/>
      </c>
      <c r="U45" s="15">
        <f>E45*'Drilling Spec'!$C$22 + L45*'Drilling Spec'!$C$23</f>
        <v>0.4809756097560976</v>
      </c>
      <c r="V45" s="15">
        <f t="shared" si="16"/>
        <v>11.062439024390244</v>
      </c>
      <c r="W45" s="15">
        <f t="shared" si="6"/>
        <v>6.9375609756097569</v>
      </c>
      <c r="X45" s="10"/>
      <c r="Y45" s="30">
        <f>IF(W45&lt;U46,'Drilling Spec'!$C$35,0)</f>
        <v>0</v>
      </c>
      <c r="AA45" s="4">
        <f t="shared" si="19"/>
        <v>41</v>
      </c>
      <c r="AB45" s="10">
        <v>6</v>
      </c>
      <c r="AC45" s="30">
        <f>IF('04-07-25-Scen4-ExFrontloadCargo'!K46&gt;'04-07-25-Scen4-ExFrontloadCargo'!AA45,'Drilling Spec'!$C$36,)</f>
        <v>0</v>
      </c>
      <c r="AE45" s="18">
        <f>(I45-'Drilling Spec'!$C$26)/'Drilling Spec'!$C$38</f>
        <v>81.07017731800579</v>
      </c>
      <c r="AF45" s="18">
        <f t="shared" si="7"/>
        <v>2.755653062683507</v>
      </c>
      <c r="AG45" s="34">
        <f t="shared" si="8"/>
        <v>1.0701773180057899</v>
      </c>
      <c r="AH45" s="10">
        <v>20</v>
      </c>
      <c r="AI45" s="26">
        <f>IF(C45="Camp Closed",AG45,IF(AG45&lt;'Drilling Spec'!$C$39,,'Drilling Spec'!$C$39))</f>
        <v>0</v>
      </c>
      <c r="AL45" s="16">
        <f t="shared" si="9"/>
        <v>-556.42106390803474</v>
      </c>
      <c r="AM45" s="16" t="e">
        <f t="shared" si="10"/>
        <v>#N/A</v>
      </c>
      <c r="AN45">
        <f>-'Drilling Spec'!$C$29</f>
        <v>-720</v>
      </c>
      <c r="AO45">
        <f>-'Drilling Spec'!$C$27</f>
        <v>-624</v>
      </c>
      <c r="AP45">
        <f>-'Drilling Spec'!$C$28</f>
        <v>-688</v>
      </c>
      <c r="AQ45" t="e">
        <f t="shared" si="11"/>
        <v>#N/A</v>
      </c>
      <c r="AR45" t="e">
        <f>IF(X45=0,NA(),-'Drilling Spec'!$C$29*0.1)</f>
        <v>#N/A</v>
      </c>
      <c r="AS45" t="e">
        <f>IF(Y45=0,NA(),-'Drilling Spec'!$C$29*0.1)</f>
        <v>#N/A</v>
      </c>
      <c r="AT45">
        <f>IF(AB45=0,NA(),-'Drilling Spec'!$C$29*0.2)</f>
        <v>-144</v>
      </c>
      <c r="AU45" t="e">
        <f>IF(AC45=0,NA(),-'Drilling Spec'!$C$29*0.2)</f>
        <v>#N/A</v>
      </c>
      <c r="AV45">
        <f>IF(AH45=0,NA(),-'Drilling Spec'!$C$29*0.3)</f>
        <v>-216</v>
      </c>
      <c r="AW45" t="e">
        <f>IF(AI45=0,NA(),-'Drilling Spec'!$C$29*0.3)</f>
        <v>#N/A</v>
      </c>
      <c r="AX45" s="29">
        <f t="shared" si="12"/>
        <v>6.9375609756097569</v>
      </c>
      <c r="AY45" s="29">
        <f t="shared" si="13"/>
        <v>9.2385957394643512</v>
      </c>
      <c r="AZ45" s="29">
        <f t="shared" si="17"/>
        <v>1.0701773180057899</v>
      </c>
      <c r="BS45" s="35"/>
      <c r="BT45" s="35"/>
      <c r="BU45" s="35"/>
      <c r="BV45" s="35"/>
      <c r="BW45" s="35"/>
      <c r="BX45" s="35"/>
      <c r="BY45" s="35"/>
      <c r="BZ45" s="35"/>
    </row>
    <row r="46" spans="1:79" x14ac:dyDescent="0.35">
      <c r="A46" s="28">
        <f t="shared" si="18"/>
        <v>46016</v>
      </c>
      <c r="B46" t="str">
        <f t="shared" si="0"/>
        <v>Thu</v>
      </c>
      <c r="C46" s="10" t="s">
        <v>7</v>
      </c>
      <c r="D46" s="10">
        <v>0</v>
      </c>
      <c r="E46" s="4">
        <f t="shared" si="1"/>
        <v>0</v>
      </c>
      <c r="F46" s="4">
        <f t="shared" si="2"/>
        <v>552</v>
      </c>
      <c r="G46" s="4">
        <f t="shared" si="3"/>
        <v>0</v>
      </c>
      <c r="H46" s="15">
        <f>(SQRT(4*I45*I45*V*V + 'Drilling Spec'!$C$42*I45 + W*('Drilling Spec'!$C$43 + 2*l*V*(s*W + 2*V*G46/(1+e)) + 'Drilling Spec'!$C$44)) - 'Drilling Spec'!$C$45)/(2*V)</f>
        <v>556.42106390803474</v>
      </c>
      <c r="I46" s="23">
        <f>IF(AND(OR(I45=0,I45=""),F46=0),IF(F47=0,"",'Drilling Spec'!$C$26),H46)</f>
        <v>556.42106390803474</v>
      </c>
      <c r="J46" s="16">
        <f>MAX(0,I46-'Drilling Spec'!$C$30)</f>
        <v>476.42106390803474</v>
      </c>
      <c r="K46" s="18">
        <f>IFERROR(J46/'Drilling Spec'!$C$31,0)</f>
        <v>31.761404260535649</v>
      </c>
      <c r="L46" s="21">
        <f t="shared" si="4"/>
        <v>0</v>
      </c>
      <c r="M46" s="4">
        <f t="shared" si="14"/>
        <v>0</v>
      </c>
      <c r="N46" s="21">
        <f t="shared" si="5"/>
        <v>0</v>
      </c>
      <c r="O46" s="18">
        <f>(SQRT(4*O45*O45*vB*vB + 'Drilling Spec'!$C$48*O45 + WB*('Drilling Spec'!$C$49 + 2*lB*vB*(sB*WB + 2*vB*N46/(1+eB)) + 'Drilling Spec'!$C$50)) - 'Drilling Spec'!$C$51)/(2*vB)</f>
        <v>0</v>
      </c>
      <c r="P46" s="18">
        <f>IFERROR(((S46-'Drilling Spec'!$C$30)/'Drilling Spec'!$C$31)*'Drilling Spec'!$C$32,0)</f>
        <v>0</v>
      </c>
      <c r="Q46" s="18">
        <f t="shared" si="15"/>
        <v>0</v>
      </c>
      <c r="R46" s="18"/>
      <c r="S46" s="26" t="str">
        <f>IF(AND(OR(T45=0,T45=""),M46=0),IF(M47=0,"",'Drilling Spec'!$C$30),O46)</f>
        <v/>
      </c>
      <c r="U46" s="15">
        <f>E46*'Drilling Spec'!$C$22 + L46*'Drilling Spec'!$C$23</f>
        <v>0</v>
      </c>
      <c r="V46" s="15">
        <f t="shared" si="16"/>
        <v>11.062439024390244</v>
      </c>
      <c r="W46" s="15">
        <f t="shared" si="6"/>
        <v>6.9375609756097569</v>
      </c>
      <c r="X46" s="10"/>
      <c r="Y46" s="30">
        <f>IF(W46&lt;U47,'Drilling Spec'!$C$35,0)</f>
        <v>0</v>
      </c>
      <c r="AA46" s="4">
        <f t="shared" si="19"/>
        <v>41</v>
      </c>
      <c r="AB46" s="10"/>
      <c r="AC46" s="30">
        <f>IF('04-07-25-Scen4-ExFrontloadCargo'!K47&gt;'04-07-25-Scen4-ExFrontloadCargo'!AA46,'Drilling Spec'!$C$36,)</f>
        <v>0</v>
      </c>
      <c r="AE46" s="18">
        <f>(I46-'Drilling Spec'!$C$26)/'Drilling Spec'!$C$38</f>
        <v>81.07017731800579</v>
      </c>
      <c r="AF46" s="18">
        <f t="shared" si="7"/>
        <v>0</v>
      </c>
      <c r="AG46" s="34">
        <f t="shared" si="8"/>
        <v>1.0701773180057899</v>
      </c>
      <c r="AH46" s="10"/>
      <c r="AI46" s="26">
        <f>IF(C46="Camp Closed",AG46,IF(AG46&lt;'Drilling Spec'!$C$39,,'Drilling Spec'!$C$39))</f>
        <v>0</v>
      </c>
      <c r="AL46" s="16">
        <f t="shared" si="9"/>
        <v>-556.42106390803474</v>
      </c>
      <c r="AM46" s="16" t="e">
        <f t="shared" si="10"/>
        <v>#N/A</v>
      </c>
      <c r="AN46">
        <f>-'Drilling Spec'!$C$29</f>
        <v>-720</v>
      </c>
      <c r="AO46">
        <f>-'Drilling Spec'!$C$27</f>
        <v>-624</v>
      </c>
      <c r="AP46">
        <f>-'Drilling Spec'!$C$28</f>
        <v>-688</v>
      </c>
      <c r="AQ46" t="e">
        <f t="shared" si="11"/>
        <v>#N/A</v>
      </c>
      <c r="AR46" t="e">
        <f>IF(X46=0,NA(),-'Drilling Spec'!$C$29*0.1)</f>
        <v>#N/A</v>
      </c>
      <c r="AS46" t="e">
        <f>IF(Y46=0,NA(),-'Drilling Spec'!$C$29*0.1)</f>
        <v>#N/A</v>
      </c>
      <c r="AT46" t="e">
        <f>IF(AB46=0,NA(),-'Drilling Spec'!$C$29*0.2)</f>
        <v>#N/A</v>
      </c>
      <c r="AU46" t="e">
        <f>IF(AC46=0,NA(),-'Drilling Spec'!$C$29*0.2)</f>
        <v>#N/A</v>
      </c>
      <c r="AV46" t="e">
        <f>IF(AH46=0,NA(),-'Drilling Spec'!$C$29*0.3)</f>
        <v>#N/A</v>
      </c>
      <c r="AW46" t="e">
        <f>IF(AI46=0,NA(),-'Drilling Spec'!$C$29*0.3)</f>
        <v>#N/A</v>
      </c>
      <c r="AX46" s="29">
        <f t="shared" si="12"/>
        <v>6.9375609756097569</v>
      </c>
      <c r="AY46" s="29">
        <f t="shared" si="13"/>
        <v>9.2385957394643512</v>
      </c>
      <c r="AZ46" s="29">
        <f t="shared" si="17"/>
        <v>1.0701773180057899</v>
      </c>
      <c r="BA46" s="5" t="s">
        <v>110</v>
      </c>
      <c r="BB46" s="5">
        <f>COUNTIF(C3:C112,"Drilling")</f>
        <v>41</v>
      </c>
      <c r="BC46" s="5" t="s">
        <v>112</v>
      </c>
      <c r="BD46" s="5">
        <f>MAX(F3:F112)</f>
        <v>824</v>
      </c>
      <c r="BE46" s="5" t="s">
        <v>111</v>
      </c>
      <c r="BS46" s="35"/>
      <c r="BT46" s="35"/>
      <c r="BU46" s="35"/>
      <c r="BV46" s="35"/>
      <c r="BW46" s="35"/>
      <c r="BX46" s="35"/>
      <c r="BY46" s="35"/>
      <c r="BZ46" s="35"/>
    </row>
    <row r="47" spans="1:79" x14ac:dyDescent="0.35">
      <c r="A47" s="28">
        <f t="shared" si="18"/>
        <v>46017</v>
      </c>
      <c r="B47" t="str">
        <f t="shared" si="0"/>
        <v>Fri</v>
      </c>
      <c r="C47" s="10" t="s">
        <v>9</v>
      </c>
      <c r="D47" s="10">
        <v>24</v>
      </c>
      <c r="E47" s="4">
        <f t="shared" si="1"/>
        <v>24</v>
      </c>
      <c r="F47" s="4">
        <f t="shared" si="2"/>
        <v>576</v>
      </c>
      <c r="G47" s="4">
        <f t="shared" si="3"/>
        <v>1440</v>
      </c>
      <c r="H47" s="15">
        <f>(SQRT(4*I46*I46*V*V + 'Drilling Spec'!$C$42*I46 + W*('Drilling Spec'!$C$43 + 2*l*V*(s*W + 2*V*G47/(1+e)) + 'Drilling Spec'!$C$44)) - 'Drilling Spec'!$C$45)/(2*V)</f>
        <v>572.70677339402732</v>
      </c>
      <c r="I47" s="23">
        <f>IF(AND(OR(I46=0,I46=""),F47=0),IF(F48=0,"",'Drilling Spec'!$C$26),H47)</f>
        <v>572.70677339402732</v>
      </c>
      <c r="J47" s="16">
        <f>MAX(0,I47-'Drilling Spec'!$C$30)</f>
        <v>492.70677339402732</v>
      </c>
      <c r="K47" s="18">
        <f>IFERROR(J47/'Drilling Spec'!$C$31,0)</f>
        <v>32.847118226268485</v>
      </c>
      <c r="L47" s="21">
        <f t="shared" si="4"/>
        <v>0</v>
      </c>
      <c r="M47" s="4">
        <f t="shared" si="14"/>
        <v>0</v>
      </c>
      <c r="N47" s="21">
        <f t="shared" si="5"/>
        <v>0</v>
      </c>
      <c r="O47" s="18">
        <f>(SQRT(4*O46*O46*vB*vB + 'Drilling Spec'!$C$48*O46 + WB*('Drilling Spec'!$C$49 + 2*lB*vB*(sB*WB + 2*vB*N47/(1+eB)) + 'Drilling Spec'!$C$50)) - 'Drilling Spec'!$C$51)/(2*vB)</f>
        <v>0</v>
      </c>
      <c r="P47" s="18">
        <f>IFERROR(((S47-'Drilling Spec'!$C$30)/'Drilling Spec'!$C$31)*'Drilling Spec'!$C$32,0)</f>
        <v>0</v>
      </c>
      <c r="Q47" s="18">
        <f t="shared" si="15"/>
        <v>0</v>
      </c>
      <c r="R47" s="18"/>
      <c r="S47" s="26" t="str">
        <f>IF(AND(OR(T46=0,T46=""),M47=0),IF(M48=0,"",'Drilling Spec'!$C$30),O47)</f>
        <v/>
      </c>
      <c r="U47" s="15">
        <f>E47*'Drilling Spec'!$C$22 + L47*'Drilling Spec'!$C$23</f>
        <v>0.4809756097560976</v>
      </c>
      <c r="V47" s="15">
        <f t="shared" si="16"/>
        <v>11.543414634146341</v>
      </c>
      <c r="W47" s="15">
        <f t="shared" si="6"/>
        <v>6.4565853658536589</v>
      </c>
      <c r="X47" s="10"/>
      <c r="Y47" s="30">
        <f>IF(W47&lt;U48,'Drilling Spec'!$C$35,0)</f>
        <v>0</v>
      </c>
      <c r="AA47" s="4">
        <f t="shared" si="19"/>
        <v>41</v>
      </c>
      <c r="AB47" s="10"/>
      <c r="AC47" s="30">
        <f>IF('04-07-25-Scen4-ExFrontloadCargo'!K48&gt;'04-07-25-Scen4-ExFrontloadCargo'!AA47,'Drilling Spec'!$C$36,)</f>
        <v>0</v>
      </c>
      <c r="AE47" s="18">
        <f>(I47-'Drilling Spec'!$C$26)/'Drilling Spec'!$C$38</f>
        <v>83.784462232337887</v>
      </c>
      <c r="AF47" s="18">
        <f t="shared" si="7"/>
        <v>2.7142849143320973</v>
      </c>
      <c r="AG47" s="34">
        <f t="shared" si="8"/>
        <v>3.7844622323378871</v>
      </c>
      <c r="AH47" s="10"/>
      <c r="AI47" s="26">
        <f>IF(C47="Camp Closed",AG47,IF(AG47&lt;'Drilling Spec'!$C$39,,'Drilling Spec'!$C$39))</f>
        <v>0</v>
      </c>
      <c r="AL47" s="16">
        <f t="shared" si="9"/>
        <v>-572.70677339402732</v>
      </c>
      <c r="AM47" s="16" t="e">
        <f t="shared" si="10"/>
        <v>#N/A</v>
      </c>
      <c r="AN47">
        <f>-'Drilling Spec'!$C$29</f>
        <v>-720</v>
      </c>
      <c r="AO47">
        <f>-'Drilling Spec'!$C$27</f>
        <v>-624</v>
      </c>
      <c r="AP47">
        <f>-'Drilling Spec'!$C$28</f>
        <v>-688</v>
      </c>
      <c r="AQ47" t="e">
        <f t="shared" si="11"/>
        <v>#N/A</v>
      </c>
      <c r="AR47" t="e">
        <f>IF(X47=0,NA(),-'Drilling Spec'!$C$29*0.1)</f>
        <v>#N/A</v>
      </c>
      <c r="AS47" t="e">
        <f>IF(Y47=0,NA(),-'Drilling Spec'!$C$29*0.1)</f>
        <v>#N/A</v>
      </c>
      <c r="AT47" t="e">
        <f>IF(AB47=0,NA(),-'Drilling Spec'!$C$29*0.2)</f>
        <v>#N/A</v>
      </c>
      <c r="AU47" t="e">
        <f>IF(AC47=0,NA(),-'Drilling Spec'!$C$29*0.2)</f>
        <v>#N/A</v>
      </c>
      <c r="AV47" t="e">
        <f>IF(AH47=0,NA(),-'Drilling Spec'!$C$29*0.3)</f>
        <v>#N/A</v>
      </c>
      <c r="AW47" t="e">
        <f>IF(AI47=0,NA(),-'Drilling Spec'!$C$29*0.3)</f>
        <v>#N/A</v>
      </c>
      <c r="AX47" s="29">
        <f t="shared" si="12"/>
        <v>6.4565853658536589</v>
      </c>
      <c r="AY47" s="29">
        <f t="shared" si="13"/>
        <v>8.1528817737315151</v>
      </c>
      <c r="AZ47" s="29">
        <f t="shared" si="17"/>
        <v>3.7844622323378871</v>
      </c>
      <c r="BA47" s="5" t="s">
        <v>109</v>
      </c>
      <c r="BB47" s="5">
        <f>COUNTIF(C3:C112,"Bailing")</f>
        <v>6</v>
      </c>
      <c r="BC47" s="5" t="s">
        <v>112</v>
      </c>
      <c r="BD47" s="5">
        <f>MAX(M3:M112)</f>
        <v>132</v>
      </c>
      <c r="BE47" s="5" t="s">
        <v>111</v>
      </c>
      <c r="BS47" s="35"/>
      <c r="BT47" s="35"/>
      <c r="BU47" s="35"/>
      <c r="BV47" s="35"/>
      <c r="BW47" s="35"/>
      <c r="BX47" s="35"/>
      <c r="BY47" s="35"/>
      <c r="BZ47" s="35"/>
    </row>
    <row r="48" spans="1:79" x14ac:dyDescent="0.35">
      <c r="A48" s="28">
        <f t="shared" si="18"/>
        <v>46018</v>
      </c>
      <c r="B48" t="str">
        <f t="shared" si="0"/>
        <v>Sat</v>
      </c>
      <c r="C48" s="10" t="s">
        <v>9</v>
      </c>
      <c r="D48" s="10">
        <v>24</v>
      </c>
      <c r="E48" s="4">
        <f t="shared" si="1"/>
        <v>24</v>
      </c>
      <c r="F48" s="4">
        <f t="shared" si="2"/>
        <v>600</v>
      </c>
      <c r="G48" s="4">
        <f t="shared" si="3"/>
        <v>1440</v>
      </c>
      <c r="H48" s="15">
        <f>(SQRT(4*I47*I47*V*V + 'Drilling Spec'!$C$42*I47 + W*('Drilling Spec'!$C$43 + 2*l*V*(s*W + 2*V*G48/(1+e)) + 'Drilling Spec'!$C$44)) - 'Drilling Spec'!$C$45)/(2*V)</f>
        <v>588.75512771525223</v>
      </c>
      <c r="I48" s="23">
        <f>IF(AND(OR(I47=0,I47=""),F48=0),IF(F49=0,"",'Drilling Spec'!$C$26),H48)</f>
        <v>588.75512771525223</v>
      </c>
      <c r="J48" s="16">
        <f>MAX(0,I48-'Drilling Spec'!$C$30)</f>
        <v>508.75512771525223</v>
      </c>
      <c r="K48" s="18">
        <f>IFERROR(J48/'Drilling Spec'!$C$31,0)</f>
        <v>33.917008514350151</v>
      </c>
      <c r="L48" s="21">
        <f t="shared" si="4"/>
        <v>0</v>
      </c>
      <c r="M48" s="4">
        <f t="shared" si="14"/>
        <v>0</v>
      </c>
      <c r="N48" s="21">
        <f t="shared" si="5"/>
        <v>0</v>
      </c>
      <c r="O48" s="18">
        <f>(SQRT(4*O47*O47*vB*vB + 'Drilling Spec'!$C$48*O47 + WB*('Drilling Spec'!$C$49 + 2*lB*vB*(sB*WB + 2*vB*N48/(1+eB)) + 'Drilling Spec'!$C$50)) - 'Drilling Spec'!$C$51)/(2*vB)</f>
        <v>0</v>
      </c>
      <c r="P48" s="18">
        <f>IFERROR(((S48-'Drilling Spec'!$C$30)/'Drilling Spec'!$C$31)*'Drilling Spec'!$C$32,0)</f>
        <v>0</v>
      </c>
      <c r="Q48" s="18">
        <f t="shared" si="15"/>
        <v>0</v>
      </c>
      <c r="R48" s="18"/>
      <c r="S48" s="26" t="str">
        <f>IF(AND(OR(T47=0,T47=""),M48=0),IF(M49=0,"",'Drilling Spec'!$C$30),O48)</f>
        <v/>
      </c>
      <c r="U48" s="15">
        <f>E48*'Drilling Spec'!$C$22 + L48*'Drilling Spec'!$C$23</f>
        <v>0.4809756097560976</v>
      </c>
      <c r="V48" s="15">
        <f t="shared" si="16"/>
        <v>12.024390243902438</v>
      </c>
      <c r="W48" s="15">
        <f t="shared" si="6"/>
        <v>5.975609756097561</v>
      </c>
      <c r="X48" s="10"/>
      <c r="Y48" s="30">
        <f>IF(W48&lt;U49,'Drilling Spec'!$C$35,0)</f>
        <v>0</v>
      </c>
      <c r="AA48" s="4">
        <f t="shared" si="19"/>
        <v>41</v>
      </c>
      <c r="AB48" s="10"/>
      <c r="AC48" s="30">
        <f>IF('04-07-25-Scen4-ExFrontloadCargo'!K49&gt;'04-07-25-Scen4-ExFrontloadCargo'!AA48,'Drilling Spec'!$C$36,)</f>
        <v>0</v>
      </c>
      <c r="AE48" s="18">
        <f>(I48-'Drilling Spec'!$C$26)/'Drilling Spec'!$C$38</f>
        <v>86.459187952542038</v>
      </c>
      <c r="AF48" s="18">
        <f t="shared" si="7"/>
        <v>2.674725720204151</v>
      </c>
      <c r="AG48" s="34">
        <f t="shared" si="8"/>
        <v>6.4591879525420381</v>
      </c>
      <c r="AH48" s="10"/>
      <c r="AI48" s="26">
        <f>IF(C48="Camp Closed",AG48,IF(AG48&lt;'Drilling Spec'!$C$39,,'Drilling Spec'!$C$39))</f>
        <v>0</v>
      </c>
      <c r="AL48" s="16">
        <f t="shared" si="9"/>
        <v>-588.75512771525223</v>
      </c>
      <c r="AM48" s="16" t="e">
        <f t="shared" si="10"/>
        <v>#N/A</v>
      </c>
      <c r="AN48">
        <f>-'Drilling Spec'!$C$29</f>
        <v>-720</v>
      </c>
      <c r="AO48">
        <f>-'Drilling Spec'!$C$27</f>
        <v>-624</v>
      </c>
      <c r="AP48">
        <f>-'Drilling Spec'!$C$28</f>
        <v>-688</v>
      </c>
      <c r="AQ48" t="e">
        <f t="shared" si="11"/>
        <v>#N/A</v>
      </c>
      <c r="AR48" t="e">
        <f>IF(X48=0,NA(),-'Drilling Spec'!$C$29*0.1)</f>
        <v>#N/A</v>
      </c>
      <c r="AS48" t="e">
        <f>IF(Y48=0,NA(),-'Drilling Spec'!$C$29*0.1)</f>
        <v>#N/A</v>
      </c>
      <c r="AT48" t="e">
        <f>IF(AB48=0,NA(),-'Drilling Spec'!$C$29*0.2)</f>
        <v>#N/A</v>
      </c>
      <c r="AU48" t="e">
        <f>IF(AC48=0,NA(),-'Drilling Spec'!$C$29*0.2)</f>
        <v>#N/A</v>
      </c>
      <c r="AV48" t="e">
        <f>IF(AH48=0,NA(),-'Drilling Spec'!$C$29*0.3)</f>
        <v>#N/A</v>
      </c>
      <c r="AW48" t="e">
        <f>IF(AI48=0,NA(),-'Drilling Spec'!$C$29*0.3)</f>
        <v>#N/A</v>
      </c>
      <c r="AX48" s="29">
        <f t="shared" si="12"/>
        <v>5.975609756097561</v>
      </c>
      <c r="AY48" s="29">
        <f t="shared" si="13"/>
        <v>7.082991485649849</v>
      </c>
      <c r="AZ48" s="29">
        <f t="shared" si="17"/>
        <v>6.4591879525420381</v>
      </c>
      <c r="BS48" s="35"/>
      <c r="BT48" s="35"/>
      <c r="BU48" s="35"/>
      <c r="BV48" s="35"/>
      <c r="BW48" s="35"/>
      <c r="BX48" s="35"/>
      <c r="BY48" s="35"/>
      <c r="BZ48" s="35"/>
    </row>
    <row r="49" spans="1:78" x14ac:dyDescent="0.35">
      <c r="A49" s="28">
        <f t="shared" si="18"/>
        <v>46019</v>
      </c>
      <c r="B49" t="str">
        <f t="shared" si="0"/>
        <v>Sun</v>
      </c>
      <c r="C49" s="10" t="s">
        <v>9</v>
      </c>
      <c r="D49" s="10">
        <v>16</v>
      </c>
      <c r="E49" s="4">
        <f t="shared" si="1"/>
        <v>16</v>
      </c>
      <c r="F49" s="4">
        <f t="shared" si="2"/>
        <v>616</v>
      </c>
      <c r="G49" s="4">
        <f t="shared" si="3"/>
        <v>960</v>
      </c>
      <c r="H49" s="15">
        <f>(SQRT(4*I48*I48*V*V + 'Drilling Spec'!$C$42*I48 + W*('Drilling Spec'!$C$43 + 2*l*V*(s*W + 2*V*G49/(1+e)) + 'Drilling Spec'!$C$44)) - 'Drilling Spec'!$C$45)/(2*V)</f>
        <v>599.32717621184452</v>
      </c>
      <c r="I49" s="23">
        <f>IF(AND(OR(I48=0,I48=""),F49=0),IF(F50=0,"",'Drilling Spec'!$C$26),H49)</f>
        <v>599.32717621184452</v>
      </c>
      <c r="J49" s="16">
        <f>MAX(0,I49-'Drilling Spec'!$C$30)</f>
        <v>519.32717621184452</v>
      </c>
      <c r="K49" s="18">
        <f>IFERROR(J49/'Drilling Spec'!$C$31,0)</f>
        <v>34.621811747456299</v>
      </c>
      <c r="L49" s="21">
        <f t="shared" si="4"/>
        <v>0</v>
      </c>
      <c r="M49" s="4">
        <f t="shared" si="14"/>
        <v>0</v>
      </c>
      <c r="N49" s="21">
        <f t="shared" si="5"/>
        <v>0</v>
      </c>
      <c r="O49" s="18">
        <f>(SQRT(4*O48*O48*vB*vB + 'Drilling Spec'!$C$48*O48 + WB*('Drilling Spec'!$C$49 + 2*lB*vB*(sB*WB + 2*vB*N49/(1+eB)) + 'Drilling Spec'!$C$50)) - 'Drilling Spec'!$C$51)/(2*vB)</f>
        <v>0</v>
      </c>
      <c r="P49" s="18">
        <f>IFERROR(((S49-'Drilling Spec'!$C$30)/'Drilling Spec'!$C$31)*'Drilling Spec'!$C$32,0)</f>
        <v>0</v>
      </c>
      <c r="Q49" s="18">
        <f t="shared" si="15"/>
        <v>0</v>
      </c>
      <c r="R49" s="18"/>
      <c r="S49" s="26" t="str">
        <f>IF(AND(OR(T48=0,T48=""),M49=0),IF(M50=0,"",'Drilling Spec'!$C$30),O49)</f>
        <v/>
      </c>
      <c r="U49" s="15">
        <f>E49*'Drilling Spec'!$C$22 + L49*'Drilling Spec'!$C$23</f>
        <v>0.32065040650406507</v>
      </c>
      <c r="V49" s="15">
        <f t="shared" si="16"/>
        <v>12.345040650406503</v>
      </c>
      <c r="W49" s="15">
        <f t="shared" si="6"/>
        <v>5.6549593495934962</v>
      </c>
      <c r="X49" s="10"/>
      <c r="Y49" s="30">
        <f>IF(W49&lt;U50,'Drilling Spec'!$C$35,0)</f>
        <v>0</v>
      </c>
      <c r="AA49" s="4">
        <f t="shared" si="19"/>
        <v>41</v>
      </c>
      <c r="AB49" s="10"/>
      <c r="AC49" s="30">
        <f>IF('04-07-25-Scen4-ExFrontloadCargo'!K50&gt;'04-07-25-Scen4-ExFrontloadCargo'!AA49,'Drilling Spec'!$C$36,)</f>
        <v>0</v>
      </c>
      <c r="AE49" s="18">
        <f>(I49-'Drilling Spec'!$C$26)/'Drilling Spec'!$C$38</f>
        <v>88.221196035307415</v>
      </c>
      <c r="AF49" s="18">
        <f t="shared" si="7"/>
        <v>1.7620080827653766</v>
      </c>
      <c r="AG49" s="34">
        <f t="shared" si="8"/>
        <v>8.2211960353074147</v>
      </c>
      <c r="AH49" s="10"/>
      <c r="AI49" s="26">
        <f>IF(C49="Camp Closed",AG49,IF(AG49&lt;'Drilling Spec'!$C$39,,'Drilling Spec'!$C$39))</f>
        <v>0</v>
      </c>
      <c r="AL49" s="16">
        <f t="shared" si="9"/>
        <v>-599.32717621184452</v>
      </c>
      <c r="AM49" s="16" t="e">
        <f t="shared" si="10"/>
        <v>#N/A</v>
      </c>
      <c r="AN49">
        <f>-'Drilling Spec'!$C$29</f>
        <v>-720</v>
      </c>
      <c r="AO49">
        <f>-'Drilling Spec'!$C$27</f>
        <v>-624</v>
      </c>
      <c r="AP49">
        <f>-'Drilling Spec'!$C$28</f>
        <v>-688</v>
      </c>
      <c r="AQ49" t="e">
        <f t="shared" si="11"/>
        <v>#N/A</v>
      </c>
      <c r="AR49" t="e">
        <f>IF(X49=0,NA(),-'Drilling Spec'!$C$29*0.1)</f>
        <v>#N/A</v>
      </c>
      <c r="AS49" t="e">
        <f>IF(Y49=0,NA(),-'Drilling Spec'!$C$29*0.1)</f>
        <v>#N/A</v>
      </c>
      <c r="AT49" t="e">
        <f>IF(AB49=0,NA(),-'Drilling Spec'!$C$29*0.2)</f>
        <v>#N/A</v>
      </c>
      <c r="AU49" t="e">
        <f>IF(AC49=0,NA(),-'Drilling Spec'!$C$29*0.2)</f>
        <v>#N/A</v>
      </c>
      <c r="AV49" t="e">
        <f>IF(AH49=0,NA(),-'Drilling Spec'!$C$29*0.3)</f>
        <v>#N/A</v>
      </c>
      <c r="AW49" t="e">
        <f>IF(AI49=0,NA(),-'Drilling Spec'!$C$29*0.3)</f>
        <v>#N/A</v>
      </c>
      <c r="AX49" s="29">
        <f t="shared" si="12"/>
        <v>5.6549593495934962</v>
      </c>
      <c r="AY49" s="29">
        <f t="shared" si="13"/>
        <v>6.3781882525437013</v>
      </c>
      <c r="AZ49" s="29">
        <f t="shared" si="17"/>
        <v>8.2211960353074147</v>
      </c>
      <c r="BA49" s="5" t="s">
        <v>117</v>
      </c>
      <c r="BB49" s="5">
        <f>BB52-BB50</f>
        <v>65</v>
      </c>
      <c r="BC49" s="5" t="s">
        <v>112</v>
      </c>
      <c r="BD49" s="5">
        <f>SUM(D3:D112)</f>
        <v>1184</v>
      </c>
      <c r="BE49" s="5" t="s">
        <v>111</v>
      </c>
      <c r="BS49" s="35"/>
      <c r="BT49" s="35"/>
      <c r="BU49" s="35"/>
      <c r="BV49" s="35"/>
      <c r="BW49" s="35"/>
      <c r="BX49" s="35"/>
      <c r="BY49" s="35"/>
      <c r="BZ49" s="35"/>
    </row>
    <row r="50" spans="1:78" x14ac:dyDescent="0.35">
      <c r="A50" s="28">
        <f t="shared" si="18"/>
        <v>46020</v>
      </c>
      <c r="B50" t="str">
        <f t="shared" si="0"/>
        <v>Mon</v>
      </c>
      <c r="C50" s="10" t="s">
        <v>9</v>
      </c>
      <c r="D50" s="10">
        <v>16</v>
      </c>
      <c r="E50" s="4">
        <f t="shared" si="1"/>
        <v>16</v>
      </c>
      <c r="F50" s="4">
        <f t="shared" si="2"/>
        <v>632</v>
      </c>
      <c r="G50" s="4">
        <f t="shared" si="3"/>
        <v>960</v>
      </c>
      <c r="H50" s="15">
        <f>(SQRT(4*I49*I49*V*V + 'Drilling Spec'!$C$42*I49 + W*('Drilling Spec'!$C$43 + 2*l*V*(s*W + 2*V*G50/(1+e)) + 'Drilling Spec'!$C$44)) - 'Drilling Spec'!$C$45)/(2*V)</f>
        <v>609.8010439157448</v>
      </c>
      <c r="I50" s="23">
        <f>IF(AND(OR(I49=0,I49=""),F50=0),IF(F51=0,"",'Drilling Spec'!$C$26),H50)</f>
        <v>609.8010439157448</v>
      </c>
      <c r="J50" s="16">
        <f>MAX(0,I50-'Drilling Spec'!$C$30)</f>
        <v>529.8010439157448</v>
      </c>
      <c r="K50" s="18">
        <f>IFERROR(J50/'Drilling Spec'!$C$31,0)</f>
        <v>35.320069594382986</v>
      </c>
      <c r="L50" s="21">
        <f t="shared" si="4"/>
        <v>0</v>
      </c>
      <c r="M50" s="4">
        <f t="shared" si="14"/>
        <v>0</v>
      </c>
      <c r="N50" s="21">
        <f t="shared" si="5"/>
        <v>0</v>
      </c>
      <c r="O50" s="18">
        <f>(SQRT(4*O49*O49*vB*vB + 'Drilling Spec'!$C$48*O49 + WB*('Drilling Spec'!$C$49 + 2*lB*vB*(sB*WB + 2*vB*N50/(1+eB)) + 'Drilling Spec'!$C$50)) - 'Drilling Spec'!$C$51)/(2*vB)</f>
        <v>0</v>
      </c>
      <c r="P50" s="18">
        <f>IFERROR(((S50-'Drilling Spec'!$C$30)/'Drilling Spec'!$C$31)*'Drilling Spec'!$C$32,0)</f>
        <v>0</v>
      </c>
      <c r="Q50" s="18">
        <f t="shared" si="15"/>
        <v>0</v>
      </c>
      <c r="R50" s="18"/>
      <c r="S50" s="26" t="str">
        <f>IF(AND(OR(T49=0,T49=""),M50=0),IF(M51=0,"",'Drilling Spec'!$C$30),O50)</f>
        <v/>
      </c>
      <c r="U50" s="15">
        <f>E50*'Drilling Spec'!$C$22 + L50*'Drilling Spec'!$C$23</f>
        <v>0.32065040650406507</v>
      </c>
      <c r="V50" s="15">
        <f t="shared" si="16"/>
        <v>12.665691056910568</v>
      </c>
      <c r="W50" s="15">
        <f t="shared" si="6"/>
        <v>5.3343089430894315</v>
      </c>
      <c r="X50" s="10"/>
      <c r="Y50" s="30">
        <f>IF(W50&lt;U51,'Drilling Spec'!$C$35,0)</f>
        <v>0</v>
      </c>
      <c r="AA50" s="4">
        <f t="shared" si="19"/>
        <v>41</v>
      </c>
      <c r="AB50" s="10"/>
      <c r="AC50" s="30">
        <f>IF('04-07-25-Scen4-ExFrontloadCargo'!K51&gt;'04-07-25-Scen4-ExFrontloadCargo'!AA50,'Drilling Spec'!$C$36,)</f>
        <v>0</v>
      </c>
      <c r="AE50" s="18">
        <f>(I50-'Drilling Spec'!$C$26)/'Drilling Spec'!$C$38</f>
        <v>89.966840652624128</v>
      </c>
      <c r="AF50" s="18">
        <f t="shared" si="7"/>
        <v>1.7456446173167137</v>
      </c>
      <c r="AG50" s="34">
        <f t="shared" si="8"/>
        <v>9.9668406526241284</v>
      </c>
      <c r="AH50" s="10"/>
      <c r="AI50" s="26">
        <f>IF(C50="Camp Closed",AG50,IF(AG50&lt;'Drilling Spec'!$C$39,,'Drilling Spec'!$C$39))</f>
        <v>0</v>
      </c>
      <c r="AL50" s="16">
        <f t="shared" si="9"/>
        <v>-609.8010439157448</v>
      </c>
      <c r="AM50" s="16" t="e">
        <f t="shared" si="10"/>
        <v>#N/A</v>
      </c>
      <c r="AN50">
        <f>-'Drilling Spec'!$C$29</f>
        <v>-720</v>
      </c>
      <c r="AO50">
        <f>-'Drilling Spec'!$C$27</f>
        <v>-624</v>
      </c>
      <c r="AP50">
        <f>-'Drilling Spec'!$C$28</f>
        <v>-688</v>
      </c>
      <c r="AQ50" t="e">
        <f t="shared" si="11"/>
        <v>#N/A</v>
      </c>
      <c r="AR50" t="e">
        <f>IF(X50=0,NA(),-'Drilling Spec'!$C$29*0.1)</f>
        <v>#N/A</v>
      </c>
      <c r="AS50" t="e">
        <f>IF(Y50=0,NA(),-'Drilling Spec'!$C$29*0.1)</f>
        <v>#N/A</v>
      </c>
      <c r="AT50" t="e">
        <f>IF(AB50=0,NA(),-'Drilling Spec'!$C$29*0.2)</f>
        <v>#N/A</v>
      </c>
      <c r="AU50" t="e">
        <f>IF(AC50=0,NA(),-'Drilling Spec'!$C$29*0.2)</f>
        <v>#N/A</v>
      </c>
      <c r="AV50" t="e">
        <f>IF(AH50=0,NA(),-'Drilling Spec'!$C$29*0.3)</f>
        <v>#N/A</v>
      </c>
      <c r="AW50" t="e">
        <f>IF(AI50=0,NA(),-'Drilling Spec'!$C$29*0.3)</f>
        <v>#N/A</v>
      </c>
      <c r="AX50" s="29">
        <f t="shared" si="12"/>
        <v>5.3343089430894315</v>
      </c>
      <c r="AY50" s="29">
        <f t="shared" si="13"/>
        <v>5.6799304056170143</v>
      </c>
      <c r="AZ50" s="29">
        <f t="shared" si="17"/>
        <v>9.9668406526241284</v>
      </c>
      <c r="BA50" s="5" t="s">
        <v>108</v>
      </c>
      <c r="BB50" s="5">
        <f>COUNTIF(C3:C112,"REST")</f>
        <v>10</v>
      </c>
      <c r="BC50" s="5" t="s">
        <v>112</v>
      </c>
      <c r="BS50" s="35"/>
      <c r="BT50" s="35"/>
      <c r="BU50" s="35"/>
      <c r="BV50" s="35"/>
      <c r="BW50" s="35"/>
      <c r="BX50" s="35"/>
      <c r="BY50" s="35"/>
      <c r="BZ50" s="35"/>
    </row>
    <row r="51" spans="1:78" x14ac:dyDescent="0.35">
      <c r="A51" s="28">
        <f t="shared" si="18"/>
        <v>46021</v>
      </c>
      <c r="B51" t="str">
        <f t="shared" si="0"/>
        <v>Tue</v>
      </c>
      <c r="C51" s="10" t="s">
        <v>9</v>
      </c>
      <c r="D51" s="10">
        <v>16</v>
      </c>
      <c r="E51" s="4">
        <f t="shared" si="1"/>
        <v>16</v>
      </c>
      <c r="F51" s="4">
        <f t="shared" si="2"/>
        <v>648</v>
      </c>
      <c r="G51" s="4">
        <f t="shared" si="3"/>
        <v>960</v>
      </c>
      <c r="H51" s="15">
        <f>(SQRT(4*I50*I50*V*V + 'Drilling Spec'!$C$42*I50 + W*('Drilling Spec'!$C$43 + 2*l*V*(s*W + 2*V*G51/(1+e)) + 'Drilling Spec'!$C$44)) - 'Drilling Spec'!$C$45)/(2*V)</f>
        <v>620.17941642361586</v>
      </c>
      <c r="I51" s="23">
        <f>IF(AND(OR(I50=0,I50=""),F51=0),IF(F52=0,"",'Drilling Spec'!$C$26),H51)</f>
        <v>620.17941642361586</v>
      </c>
      <c r="J51" s="16">
        <f>MAX(0,I51-'Drilling Spec'!$C$30)</f>
        <v>540.17941642361586</v>
      </c>
      <c r="K51" s="18">
        <f>IFERROR(J51/'Drilling Spec'!$C$31,0)</f>
        <v>36.011961094907726</v>
      </c>
      <c r="L51" s="21">
        <f t="shared" si="4"/>
        <v>0</v>
      </c>
      <c r="M51" s="4">
        <f>(M50+L51)</f>
        <v>0</v>
      </c>
      <c r="N51" s="21">
        <f t="shared" si="5"/>
        <v>0</v>
      </c>
      <c r="O51" s="18">
        <f>(SQRT(4*O50*O50*vB*vB + 'Drilling Spec'!$C$48*O50 + WB*('Drilling Spec'!$C$49 + 2*lB*vB*(sB*WB + 2*vB*N51/(1+eB)) + 'Drilling Spec'!$C$50)) - 'Drilling Spec'!$C$51)/(2*vB)</f>
        <v>0</v>
      </c>
      <c r="P51" s="18">
        <f>IFERROR(((S51-'Drilling Spec'!$C$30)/'Drilling Spec'!$C$31)*'Drilling Spec'!$C$32,0)</f>
        <v>0</v>
      </c>
      <c r="Q51" s="18">
        <f t="shared" si="15"/>
        <v>0</v>
      </c>
      <c r="R51" s="18"/>
      <c r="S51" s="26" t="str">
        <f>IF(AND(OR(T50=0,T50=""),M51=0),IF(M52=0,"",'Drilling Spec'!$C$30),O51)</f>
        <v/>
      </c>
      <c r="U51" s="15">
        <f>E51*'Drilling Spec'!$C$22 + L51*'Drilling Spec'!$C$23</f>
        <v>0.32065040650406507</v>
      </c>
      <c r="V51" s="15">
        <f t="shared" si="16"/>
        <v>12.986341463414632</v>
      </c>
      <c r="W51" s="15">
        <f t="shared" si="6"/>
        <v>5.0136585365853668</v>
      </c>
      <c r="X51" s="10"/>
      <c r="Y51" s="30">
        <f>IF(W51&lt;U52,'Drilling Spec'!$C$35,0)</f>
        <v>0</v>
      </c>
      <c r="AA51" s="4">
        <f t="shared" si="19"/>
        <v>41</v>
      </c>
      <c r="AB51" s="10"/>
      <c r="AC51" s="30">
        <f>IF('04-07-25-Scen4-ExFrontloadCargo'!K52&gt;'04-07-25-Scen4-ExFrontloadCargo'!AA51,'Drilling Spec'!$C$36,)</f>
        <v>0</v>
      </c>
      <c r="AE51" s="18">
        <f>(I51-'Drilling Spec'!$C$26)/'Drilling Spec'!$C$38</f>
        <v>91.696569403935982</v>
      </c>
      <c r="AF51" s="18">
        <f t="shared" si="7"/>
        <v>1.7297287513118533</v>
      </c>
      <c r="AG51" s="34">
        <f t="shared" si="8"/>
        <v>11.696569403935982</v>
      </c>
      <c r="AH51" s="10"/>
      <c r="AI51" s="26">
        <f>IF(C51="Camp Closed",AG51,IF(AG51&lt;'Drilling Spec'!$C$39,,'Drilling Spec'!$C$39))</f>
        <v>0</v>
      </c>
      <c r="AL51" s="16">
        <f t="shared" si="9"/>
        <v>-620.17941642361586</v>
      </c>
      <c r="AM51" s="16" t="e">
        <f t="shared" si="10"/>
        <v>#N/A</v>
      </c>
      <c r="AN51">
        <f>-'Drilling Spec'!$C$29</f>
        <v>-720</v>
      </c>
      <c r="AO51">
        <f>-'Drilling Spec'!$C$27</f>
        <v>-624</v>
      </c>
      <c r="AP51">
        <f>-'Drilling Spec'!$C$28</f>
        <v>-688</v>
      </c>
      <c r="AQ51" t="e">
        <f t="shared" si="11"/>
        <v>#N/A</v>
      </c>
      <c r="AR51" t="e">
        <f>IF(X51=0,NA(),-'Drilling Spec'!$C$29*0.1)</f>
        <v>#N/A</v>
      </c>
      <c r="AS51" t="e">
        <f>IF(Y51=0,NA(),-'Drilling Spec'!$C$29*0.1)</f>
        <v>#N/A</v>
      </c>
      <c r="AT51" t="e">
        <f>IF(AB51=0,NA(),-'Drilling Spec'!$C$29*0.2)</f>
        <v>#N/A</v>
      </c>
      <c r="AU51" t="e">
        <f>IF(AC51=0,NA(),-'Drilling Spec'!$C$29*0.2)</f>
        <v>#N/A</v>
      </c>
      <c r="AV51" t="e">
        <f>IF(AH51=0,NA(),-'Drilling Spec'!$C$29*0.3)</f>
        <v>#N/A</v>
      </c>
      <c r="AW51" t="e">
        <f>IF(AI51=0,NA(),-'Drilling Spec'!$C$29*0.3)</f>
        <v>#N/A</v>
      </c>
      <c r="AX51" s="29">
        <f t="shared" si="12"/>
        <v>5.0136585365853668</v>
      </c>
      <c r="AY51" s="29">
        <f t="shared" si="13"/>
        <v>4.9880389050922744</v>
      </c>
      <c r="AZ51" s="29">
        <f t="shared" si="17"/>
        <v>11.696569403935982</v>
      </c>
      <c r="BS51" s="35"/>
      <c r="BT51" s="35"/>
      <c r="BU51" s="35"/>
      <c r="BV51" s="35"/>
      <c r="BW51" s="35"/>
      <c r="BX51" s="35"/>
      <c r="BY51" s="35"/>
      <c r="BZ51" s="35"/>
    </row>
    <row r="52" spans="1:78" x14ac:dyDescent="0.35">
      <c r="A52" s="28">
        <f t="shared" si="18"/>
        <v>46022</v>
      </c>
      <c r="B52" t="str">
        <f t="shared" si="0"/>
        <v>Wed</v>
      </c>
      <c r="C52" s="10" t="s">
        <v>7</v>
      </c>
      <c r="D52" s="10">
        <v>0</v>
      </c>
      <c r="E52" s="4">
        <f t="shared" si="1"/>
        <v>0</v>
      </c>
      <c r="F52" s="4">
        <f t="shared" si="2"/>
        <v>648</v>
      </c>
      <c r="G52" s="4">
        <f t="shared" si="3"/>
        <v>0</v>
      </c>
      <c r="H52" s="15">
        <f>(SQRT(4*I51*I51*V*V + 'Drilling Spec'!$C$42*I51 + W*('Drilling Spec'!$C$43 + 2*l*V*(s*W + 2*V*G52/(1+e)) + 'Drilling Spec'!$C$44)) - 'Drilling Spec'!$C$45)/(2*V)</f>
        <v>620.17941642361586</v>
      </c>
      <c r="I52" s="23">
        <f>IF(AND(OR(I51=0,I51=""),F52=0),IF(F53=0,"",'Drilling Spec'!$C$26),H52)</f>
        <v>620.17941642361586</v>
      </c>
      <c r="J52" s="16">
        <f>MAX(0,I52-'Drilling Spec'!$C$30)</f>
        <v>540.17941642361586</v>
      </c>
      <c r="K52" s="18">
        <f>IFERROR(J52/'Drilling Spec'!$C$31,0)</f>
        <v>36.011961094907726</v>
      </c>
      <c r="L52" s="21">
        <f t="shared" si="4"/>
        <v>0</v>
      </c>
      <c r="M52" s="4">
        <f t="shared" si="14"/>
        <v>0</v>
      </c>
      <c r="N52" s="21">
        <f t="shared" si="5"/>
        <v>0</v>
      </c>
      <c r="O52" s="18">
        <f>(SQRT(4*O51*O51*vB*vB + 'Drilling Spec'!$C$48*O51 + WB*('Drilling Spec'!$C$49 + 2*lB*vB*(sB*WB + 2*vB*N52/(1+eB)) + 'Drilling Spec'!$C$50)) - 'Drilling Spec'!$C$51)/(2*vB)</f>
        <v>0</v>
      </c>
      <c r="P52" s="18">
        <f>IFERROR(((S52-'Drilling Spec'!$C$30)/'Drilling Spec'!$C$31)*'Drilling Spec'!$C$32,0)</f>
        <v>0</v>
      </c>
      <c r="Q52" s="18">
        <f t="shared" si="15"/>
        <v>0</v>
      </c>
      <c r="R52" s="18"/>
      <c r="S52" s="26" t="str">
        <f>IF(AND(OR(T51=0,T51=""),M52=0),IF(M53=0,"",'Drilling Spec'!$C$30),O52)</f>
        <v/>
      </c>
      <c r="U52" s="15">
        <f>E52*'Drilling Spec'!$C$22 + L52*'Drilling Spec'!$C$23</f>
        <v>0</v>
      </c>
      <c r="V52" s="15">
        <f t="shared" si="16"/>
        <v>12.986341463414632</v>
      </c>
      <c r="W52" s="15">
        <f t="shared" si="6"/>
        <v>5.0136585365853668</v>
      </c>
      <c r="X52" s="10"/>
      <c r="Y52" s="30">
        <f>IF(W52&lt;U53,'Drilling Spec'!$C$35,0)</f>
        <v>0</v>
      </c>
      <c r="AA52" s="4">
        <f t="shared" si="19"/>
        <v>41</v>
      </c>
      <c r="AB52" s="10"/>
      <c r="AC52" s="30">
        <f>IF('04-07-25-Scen4-ExFrontloadCargo'!K53&gt;'04-07-25-Scen4-ExFrontloadCargo'!AA52,'Drilling Spec'!$C$36,)</f>
        <v>0</v>
      </c>
      <c r="AE52" s="18">
        <f>(I52-'Drilling Spec'!$C$26)/'Drilling Spec'!$C$38</f>
        <v>91.696569403935982</v>
      </c>
      <c r="AF52" s="18">
        <f t="shared" si="7"/>
        <v>0</v>
      </c>
      <c r="AG52" s="34">
        <f t="shared" si="8"/>
        <v>11.696569403935982</v>
      </c>
      <c r="AH52" s="10"/>
      <c r="AI52" s="26">
        <f>IF(C52="Camp Closed",AG52,IF(AG52&lt;'Drilling Spec'!$C$39,,'Drilling Spec'!$C$39))</f>
        <v>0</v>
      </c>
      <c r="AL52" s="16">
        <f t="shared" si="9"/>
        <v>-620.17941642361586</v>
      </c>
      <c r="AM52" s="16" t="e">
        <f t="shared" si="10"/>
        <v>#N/A</v>
      </c>
      <c r="AN52">
        <f>-'Drilling Spec'!$C$29</f>
        <v>-720</v>
      </c>
      <c r="AO52">
        <f>-'Drilling Spec'!$C$27</f>
        <v>-624</v>
      </c>
      <c r="AP52">
        <f>-'Drilling Spec'!$C$28</f>
        <v>-688</v>
      </c>
      <c r="AQ52" t="e">
        <f t="shared" si="11"/>
        <v>#N/A</v>
      </c>
      <c r="AR52" t="e">
        <f>IF(X52=0,NA(),-'Drilling Spec'!$C$29*0.1)</f>
        <v>#N/A</v>
      </c>
      <c r="AS52" t="e">
        <f>IF(Y52=0,NA(),-'Drilling Spec'!$C$29*0.1)</f>
        <v>#N/A</v>
      </c>
      <c r="AT52" t="e">
        <f>IF(AB52=0,NA(),-'Drilling Spec'!$C$29*0.2)</f>
        <v>#N/A</v>
      </c>
      <c r="AU52" t="e">
        <f>IF(AC52=0,NA(),-'Drilling Spec'!$C$29*0.2)</f>
        <v>#N/A</v>
      </c>
      <c r="AV52" t="e">
        <f>IF(AH52=0,NA(),-'Drilling Spec'!$C$29*0.3)</f>
        <v>#N/A</v>
      </c>
      <c r="AW52" t="e">
        <f>IF(AI52=0,NA(),-'Drilling Spec'!$C$29*0.3)</f>
        <v>#N/A</v>
      </c>
      <c r="AX52" s="29">
        <f t="shared" si="12"/>
        <v>5.0136585365853668</v>
      </c>
      <c r="AY52" s="29">
        <f t="shared" si="13"/>
        <v>4.9880389050922744</v>
      </c>
      <c r="AZ52" s="29">
        <f t="shared" si="17"/>
        <v>11.696569403935982</v>
      </c>
      <c r="BA52" s="5" t="s">
        <v>113</v>
      </c>
      <c r="BB52" s="5">
        <f>_xlfn.XLOOKUP("Camp Closed",C3:C112,A3:A112)-_xlfn.XLOOKUP("Open Camp",C3:C112,A3:A112)</f>
        <v>75</v>
      </c>
      <c r="BC52" s="5" t="s">
        <v>112</v>
      </c>
      <c r="BS52" s="35"/>
      <c r="BT52" s="35"/>
      <c r="BU52" s="35"/>
      <c r="BV52" s="35"/>
      <c r="BW52" s="35"/>
      <c r="BX52" s="35"/>
      <c r="BY52" s="35"/>
      <c r="BZ52" s="35"/>
    </row>
    <row r="53" spans="1:78" x14ac:dyDescent="0.35">
      <c r="A53" s="28">
        <f t="shared" si="18"/>
        <v>46023</v>
      </c>
      <c r="B53" t="str">
        <f t="shared" si="0"/>
        <v>Thu</v>
      </c>
      <c r="C53" s="10" t="s">
        <v>9</v>
      </c>
      <c r="D53" s="10">
        <v>16</v>
      </c>
      <c r="E53" s="4">
        <f t="shared" si="1"/>
        <v>16</v>
      </c>
      <c r="F53" s="4">
        <f t="shared" si="2"/>
        <v>664</v>
      </c>
      <c r="G53" s="4">
        <f t="shared" si="3"/>
        <v>960</v>
      </c>
      <c r="H53" s="15">
        <f>(SQRT(4*I52*I52*V*V + 'Drilling Spec'!$C$42*I52 + W*('Drilling Spec'!$C$43 + 2*l*V*(s*W + 2*V*G53/(1+e)) + 'Drilling Spec'!$C$44)) - 'Drilling Spec'!$C$45)/(2*V)</f>
        <v>630.46485908550176</v>
      </c>
      <c r="I53" s="23">
        <f>IF(AND(OR(I52=0,I52=""),F53=0),IF(F54=0,"",'Drilling Spec'!$C$26),H53)</f>
        <v>630.46485908550176</v>
      </c>
      <c r="J53" s="16">
        <f>MAX(0,I53-'Drilling Spec'!$C$30)</f>
        <v>550.46485908550176</v>
      </c>
      <c r="K53" s="18">
        <f>IFERROR(J53/'Drilling Spec'!$C$31,0)</f>
        <v>36.697657272366783</v>
      </c>
      <c r="L53" s="21">
        <f t="shared" si="4"/>
        <v>0</v>
      </c>
      <c r="M53" s="4">
        <f>(M52+L53)</f>
        <v>0</v>
      </c>
      <c r="N53" s="21">
        <f t="shared" si="5"/>
        <v>0</v>
      </c>
      <c r="O53" s="18">
        <f>(SQRT(4*O52*O52*vB*vB + 'Drilling Spec'!$C$48*O52 + WB*('Drilling Spec'!$C$49 + 2*lB*vB*(sB*WB + 2*vB*N53/(1+eB)) + 'Drilling Spec'!$C$50)) - 'Drilling Spec'!$C$51)/(2*vB)</f>
        <v>0</v>
      </c>
      <c r="P53" s="18">
        <f>IFERROR(((S53-'Drilling Spec'!$C$30)/'Drilling Spec'!$C$31)*'Drilling Spec'!$C$32,0)</f>
        <v>0</v>
      </c>
      <c r="Q53" s="18">
        <f t="shared" si="15"/>
        <v>0</v>
      </c>
      <c r="R53" s="18"/>
      <c r="S53" s="26" t="str">
        <f>IF(AND(OR(T52=0,T52=""),M53=0),IF(M54=0,"",'Drilling Spec'!$C$30),O53)</f>
        <v/>
      </c>
      <c r="U53" s="15">
        <f>E53*'Drilling Spec'!$C$22 + L53*'Drilling Spec'!$C$23</f>
        <v>0.32065040650406507</v>
      </c>
      <c r="V53" s="15">
        <f t="shared" si="16"/>
        <v>13.306991869918697</v>
      </c>
      <c r="W53" s="15">
        <f t="shared" si="6"/>
        <v>4.693008130081302</v>
      </c>
      <c r="X53" s="10"/>
      <c r="Y53" s="30">
        <f>IF(W53&lt;U54,'Drilling Spec'!$C$35,0)</f>
        <v>0</v>
      </c>
      <c r="AA53" s="4">
        <f t="shared" si="19"/>
        <v>41</v>
      </c>
      <c r="AB53" s="10"/>
      <c r="AC53" s="30">
        <f>IF('04-07-25-Scen4-ExFrontloadCargo'!K54&gt;'04-07-25-Scen4-ExFrontloadCargo'!AA53,'Drilling Spec'!$C$36,)</f>
        <v>0</v>
      </c>
      <c r="AE53" s="18">
        <f>(I53-'Drilling Spec'!$C$26)/'Drilling Spec'!$C$38</f>
        <v>93.410809847583621</v>
      </c>
      <c r="AF53" s="18">
        <f t="shared" si="7"/>
        <v>1.7142404436476397</v>
      </c>
      <c r="AG53" s="34">
        <f t="shared" si="8"/>
        <v>13.410809847583621</v>
      </c>
      <c r="AH53" s="10"/>
      <c r="AI53" s="26">
        <f>IF(C53="Camp Closed",AG53,IF(AG53&lt;'Drilling Spec'!$C$39,,'Drilling Spec'!$C$39))</f>
        <v>0</v>
      </c>
      <c r="AL53" s="16">
        <f t="shared" si="9"/>
        <v>-630.46485908550176</v>
      </c>
      <c r="AM53" s="16" t="e">
        <f t="shared" si="10"/>
        <v>#N/A</v>
      </c>
      <c r="AN53">
        <f>-'Drilling Spec'!$C$29</f>
        <v>-720</v>
      </c>
      <c r="AO53">
        <f>-'Drilling Spec'!$C$27</f>
        <v>-624</v>
      </c>
      <c r="AP53">
        <f>-'Drilling Spec'!$C$28</f>
        <v>-688</v>
      </c>
      <c r="AQ53" t="e">
        <f t="shared" si="11"/>
        <v>#N/A</v>
      </c>
      <c r="AR53" t="e">
        <f>IF(X53=0,NA(),-'Drilling Spec'!$C$29*0.1)</f>
        <v>#N/A</v>
      </c>
      <c r="AS53" t="e">
        <f>IF(Y53=0,NA(),-'Drilling Spec'!$C$29*0.1)</f>
        <v>#N/A</v>
      </c>
      <c r="AT53" t="e">
        <f>IF(AB53=0,NA(),-'Drilling Spec'!$C$29*0.2)</f>
        <v>#N/A</v>
      </c>
      <c r="AU53" t="e">
        <f>IF(AC53=0,NA(),-'Drilling Spec'!$C$29*0.2)</f>
        <v>#N/A</v>
      </c>
      <c r="AV53" t="e">
        <f>IF(AH53=0,NA(),-'Drilling Spec'!$C$29*0.3)</f>
        <v>#N/A</v>
      </c>
      <c r="AW53" t="e">
        <f>IF(AI53=0,NA(),-'Drilling Spec'!$C$29*0.3)</f>
        <v>#N/A</v>
      </c>
      <c r="AX53" s="29">
        <f t="shared" si="12"/>
        <v>4.693008130081302</v>
      </c>
      <c r="AY53" s="29">
        <f t="shared" si="13"/>
        <v>4.3023427276332171</v>
      </c>
      <c r="AZ53" s="29">
        <f t="shared" si="17"/>
        <v>13.410809847583621</v>
      </c>
      <c r="BA53" s="5" t="s">
        <v>114</v>
      </c>
      <c r="BB53" s="5">
        <f>'04-07-25-Scen4-ExFrontloadCargo'!BF5-A3 - BB52</f>
        <v>7</v>
      </c>
      <c r="BC53" s="5" t="s">
        <v>112</v>
      </c>
    </row>
    <row r="54" spans="1:78" x14ac:dyDescent="0.35">
      <c r="A54" s="28">
        <f t="shared" si="18"/>
        <v>46024</v>
      </c>
      <c r="B54" t="str">
        <f t="shared" si="0"/>
        <v>Fri</v>
      </c>
      <c r="C54" s="10" t="s">
        <v>9</v>
      </c>
      <c r="D54" s="10">
        <v>16</v>
      </c>
      <c r="E54" s="4">
        <f t="shared" si="1"/>
        <v>16</v>
      </c>
      <c r="F54" s="4">
        <f t="shared" si="2"/>
        <v>680</v>
      </c>
      <c r="G54" s="4">
        <f t="shared" si="3"/>
        <v>960</v>
      </c>
      <c r="H54" s="15">
        <f>(SQRT(4*I53*I53*V*V + 'Drilling Spec'!$C$42*I53 + W*('Drilling Spec'!$C$43 + 2*l*V*(s*W + 2*V*G54/(1+e)) + 'Drilling Spec'!$C$44)) - 'Drilling Spec'!$C$45)/(2*V)</f>
        <v>640.65982441009044</v>
      </c>
      <c r="I54" s="23">
        <f>IF(AND(OR(I53=0,I53=""),F54=0),IF(F55=0,"",'Drilling Spec'!$C$26),H54)</f>
        <v>640.65982441009044</v>
      </c>
      <c r="J54" s="16">
        <f>MAX(0,I54-'Drilling Spec'!$C$30)</f>
        <v>560.65982441009044</v>
      </c>
      <c r="K54" s="18">
        <f>IFERROR(J54/'Drilling Spec'!$C$31,0)</f>
        <v>37.377321627339363</v>
      </c>
      <c r="L54" s="21">
        <f t="shared" si="4"/>
        <v>0</v>
      </c>
      <c r="M54" s="4">
        <f t="shared" si="14"/>
        <v>0</v>
      </c>
      <c r="N54" s="21">
        <f t="shared" si="5"/>
        <v>0</v>
      </c>
      <c r="O54" s="18">
        <f>(SQRT(4*O53*O53*vB*vB + 'Drilling Spec'!$C$48*O53 + WB*('Drilling Spec'!$C$49 + 2*lB*vB*(sB*WB + 2*vB*N54/(1+eB)) + 'Drilling Spec'!$C$50)) - 'Drilling Spec'!$C$51)/(2*vB)</f>
        <v>0</v>
      </c>
      <c r="P54" s="18">
        <f>IFERROR(((S54-'Drilling Spec'!$C$30)/'Drilling Spec'!$C$31)*'Drilling Spec'!$C$32,0)</f>
        <v>0</v>
      </c>
      <c r="Q54" s="18">
        <f t="shared" si="15"/>
        <v>0</v>
      </c>
      <c r="R54" s="18"/>
      <c r="S54" s="26" t="str">
        <f>IF(AND(OR(T53=0,T53=""),M54=0),IF(M55=0,"",'Drilling Spec'!$C$30),O54)</f>
        <v/>
      </c>
      <c r="U54" s="15">
        <f>E54*'Drilling Spec'!$C$22 + L54*'Drilling Spec'!$C$23</f>
        <v>0.32065040650406507</v>
      </c>
      <c r="V54" s="15">
        <f t="shared" si="16"/>
        <v>13.627642276422762</v>
      </c>
      <c r="W54" s="15">
        <f t="shared" si="6"/>
        <v>4.3723577235772373</v>
      </c>
      <c r="X54" s="10"/>
      <c r="Y54" s="30">
        <f>IF(W54&lt;U55,'Drilling Spec'!$C$35,0)</f>
        <v>0</v>
      </c>
      <c r="AA54" s="4">
        <f t="shared" si="19"/>
        <v>41</v>
      </c>
      <c r="AB54" s="10"/>
      <c r="AC54" s="30">
        <f>IF('04-07-25-Scen4-ExFrontloadCargo'!K55&gt;'04-07-25-Scen4-ExFrontloadCargo'!AA54,'Drilling Spec'!$C$36,)</f>
        <v>0</v>
      </c>
      <c r="AE54" s="18">
        <f>(I54-'Drilling Spec'!$C$26)/'Drilling Spec'!$C$38</f>
        <v>95.109970735015068</v>
      </c>
      <c r="AF54" s="18">
        <f t="shared" si="7"/>
        <v>1.6991608874314466</v>
      </c>
      <c r="AG54" s="34">
        <f t="shared" si="8"/>
        <v>15.109970735015068</v>
      </c>
      <c r="AH54" s="10"/>
      <c r="AI54" s="26">
        <f>IF(C54="Camp Closed",AG54,IF(AG54&lt;'Drilling Spec'!$C$39,,'Drilling Spec'!$C$39))</f>
        <v>0</v>
      </c>
      <c r="AL54" s="16">
        <f t="shared" si="9"/>
        <v>-640.65982441009044</v>
      </c>
      <c r="AM54" s="16" t="e">
        <f t="shared" si="10"/>
        <v>#N/A</v>
      </c>
      <c r="AN54">
        <f>-'Drilling Spec'!$C$29</f>
        <v>-720</v>
      </c>
      <c r="AO54">
        <f>-'Drilling Spec'!$C$27</f>
        <v>-624</v>
      </c>
      <c r="AP54">
        <f>-'Drilling Spec'!$C$28</f>
        <v>-688</v>
      </c>
      <c r="AQ54" t="e">
        <f t="shared" si="11"/>
        <v>#N/A</v>
      </c>
      <c r="AR54" t="e">
        <f>IF(X54=0,NA(),-'Drilling Spec'!$C$29*0.1)</f>
        <v>#N/A</v>
      </c>
      <c r="AS54" t="e">
        <f>IF(Y54=0,NA(),-'Drilling Spec'!$C$29*0.1)</f>
        <v>#N/A</v>
      </c>
      <c r="AT54" t="e">
        <f>IF(AB54=0,NA(),-'Drilling Spec'!$C$29*0.2)</f>
        <v>#N/A</v>
      </c>
      <c r="AU54" t="e">
        <f>IF(AC54=0,NA(),-'Drilling Spec'!$C$29*0.2)</f>
        <v>#N/A</v>
      </c>
      <c r="AV54" t="e">
        <f>IF(AH54=0,NA(),-'Drilling Spec'!$C$29*0.3)</f>
        <v>#N/A</v>
      </c>
      <c r="AW54" t="e">
        <f>IF(AI54=0,NA(),-'Drilling Spec'!$C$29*0.3)</f>
        <v>#N/A</v>
      </c>
      <c r="AX54" s="29">
        <f t="shared" si="12"/>
        <v>4.3723577235772373</v>
      </c>
      <c r="AY54" s="29">
        <f t="shared" si="13"/>
        <v>3.6226783726606371</v>
      </c>
      <c r="AZ54" s="29">
        <f t="shared" si="17"/>
        <v>15.109970735015068</v>
      </c>
    </row>
    <row r="55" spans="1:78" x14ac:dyDescent="0.35">
      <c r="A55" s="28">
        <f>A54+1</f>
        <v>46025</v>
      </c>
      <c r="B55" t="str">
        <f t="shared" si="0"/>
        <v>Sat</v>
      </c>
      <c r="C55" s="10" t="s">
        <v>9</v>
      </c>
      <c r="D55" s="10">
        <v>16</v>
      </c>
      <c r="E55" s="4">
        <f t="shared" si="1"/>
        <v>16</v>
      </c>
      <c r="F55" s="4">
        <f t="shared" si="2"/>
        <v>696</v>
      </c>
      <c r="G55" s="4">
        <f t="shared" si="3"/>
        <v>960</v>
      </c>
      <c r="H55" s="15">
        <f>(SQRT(4*I54*I54*V*V + 'Drilling Spec'!$C$42*I54 + W*('Drilling Spec'!$C$43 + 2*l*V*(s*W + 2*V*G55/(1+e)) + 'Drilling Spec'!$C$44)) - 'Drilling Spec'!$C$45)/(2*V)</f>
        <v>650.76665889374931</v>
      </c>
      <c r="I55" s="23">
        <f>IF(AND(OR(I54=0,I54=""),F55=0),IF(F56=0,"",'Drilling Spec'!$C$26),H55)</f>
        <v>650.76665889374931</v>
      </c>
      <c r="J55" s="16">
        <f>MAX(0,I55-'Drilling Spec'!$C$30)</f>
        <v>570.76665889374931</v>
      </c>
      <c r="K55" s="18">
        <f>IFERROR(J55/'Drilling Spec'!$C$31,0)</f>
        <v>38.051110592916622</v>
      </c>
      <c r="L55" s="21">
        <f t="shared" si="4"/>
        <v>0</v>
      </c>
      <c r="M55" s="4">
        <f t="shared" si="14"/>
        <v>0</v>
      </c>
      <c r="N55" s="21">
        <f t="shared" si="5"/>
        <v>0</v>
      </c>
      <c r="O55" s="18">
        <f>(SQRT(4*O54*O54*vB*vB + 'Drilling Spec'!$C$48*O54 + WB*('Drilling Spec'!$C$49 + 2*lB*vB*(sB*WB + 2*vB*N55/(1+eB)) + 'Drilling Spec'!$C$50)) - 'Drilling Spec'!$C$51)/(2*vB)</f>
        <v>0</v>
      </c>
      <c r="P55" s="18">
        <f>IFERROR(((S55-'Drilling Spec'!$C$30)/'Drilling Spec'!$C$31)*'Drilling Spec'!$C$32,0)</f>
        <v>0</v>
      </c>
      <c r="Q55" s="18">
        <f t="shared" si="15"/>
        <v>0</v>
      </c>
      <c r="R55" s="18"/>
      <c r="S55" s="26" t="str">
        <f>IF(AND(OR(T54=0,T54=""),M55=0),IF(M56=0,"",'Drilling Spec'!$C$30),O55)</f>
        <v/>
      </c>
      <c r="U55" s="15">
        <f>E55*'Drilling Spec'!$C$22 + L55*'Drilling Spec'!$C$23</f>
        <v>0.32065040650406507</v>
      </c>
      <c r="V55" s="15">
        <f t="shared" si="16"/>
        <v>13.948292682926827</v>
      </c>
      <c r="W55" s="15">
        <f t="shared" si="6"/>
        <v>4.0517073170731726</v>
      </c>
      <c r="X55" s="10"/>
      <c r="Y55" s="30">
        <f>IF(W55&lt;U56,'Drilling Spec'!$C$35,0)</f>
        <v>0</v>
      </c>
      <c r="AA55" s="4">
        <f t="shared" si="19"/>
        <v>41</v>
      </c>
      <c r="AB55" s="10"/>
      <c r="AC55" s="30">
        <f>IF('04-07-25-Scen4-ExFrontloadCargo'!K56&gt;'04-07-25-Scen4-ExFrontloadCargo'!AA55,'Drilling Spec'!$C$36,)</f>
        <v>0</v>
      </c>
      <c r="AE55" s="18">
        <f>(I55-'Drilling Spec'!$C$26)/'Drilling Spec'!$C$38</f>
        <v>96.794443148958223</v>
      </c>
      <c r="AF55" s="18">
        <f t="shared" si="7"/>
        <v>1.6844724139431548</v>
      </c>
      <c r="AG55" s="34">
        <f t="shared" si="8"/>
        <v>16.794443148958223</v>
      </c>
      <c r="AH55" s="10"/>
      <c r="AI55" s="26">
        <f>IF(C55="Camp Closed",AG55,IF(AG55&lt;'Drilling Spec'!$C$39,,'Drilling Spec'!$C$39))</f>
        <v>0</v>
      </c>
      <c r="AL55" s="16">
        <f t="shared" si="9"/>
        <v>-650.76665889374931</v>
      </c>
      <c r="AM55" s="16" t="e">
        <f t="shared" si="10"/>
        <v>#N/A</v>
      </c>
      <c r="AN55">
        <f>-'Drilling Spec'!$C$29</f>
        <v>-720</v>
      </c>
      <c r="AO55">
        <f>-'Drilling Spec'!$C$27</f>
        <v>-624</v>
      </c>
      <c r="AP55">
        <f>-'Drilling Spec'!$C$28</f>
        <v>-688</v>
      </c>
      <c r="AQ55" t="e">
        <f t="shared" si="11"/>
        <v>#N/A</v>
      </c>
      <c r="AR55" t="e">
        <f>IF(X55=0,NA(),-'Drilling Spec'!$C$29*0.1)</f>
        <v>#N/A</v>
      </c>
      <c r="AS55" t="e">
        <f>IF(Y55=0,NA(),-'Drilling Spec'!$C$29*0.1)</f>
        <v>#N/A</v>
      </c>
      <c r="AT55" t="e">
        <f>IF(AB55=0,NA(),-'Drilling Spec'!$C$29*0.2)</f>
        <v>#N/A</v>
      </c>
      <c r="AU55" t="e">
        <f>IF(AC55=0,NA(),-'Drilling Spec'!$C$29*0.2)</f>
        <v>#N/A</v>
      </c>
      <c r="AV55" t="e">
        <f>IF(AH55=0,NA(),-'Drilling Spec'!$C$29*0.3)</f>
        <v>#N/A</v>
      </c>
      <c r="AW55" t="e">
        <f>IF(AI55=0,NA(),-'Drilling Spec'!$C$29*0.3)</f>
        <v>#N/A</v>
      </c>
      <c r="AX55" s="29">
        <f t="shared" si="12"/>
        <v>4.0517073170731726</v>
      </c>
      <c r="AY55" s="29">
        <f t="shared" si="13"/>
        <v>2.948889407083378</v>
      </c>
      <c r="AZ55" s="29">
        <f t="shared" si="17"/>
        <v>16.794443148958223</v>
      </c>
    </row>
    <row r="56" spans="1:78" x14ac:dyDescent="0.35">
      <c r="A56" s="28">
        <f t="shared" si="18"/>
        <v>46026</v>
      </c>
      <c r="B56" t="str">
        <f t="shared" si="0"/>
        <v>Sun</v>
      </c>
      <c r="C56" s="10" t="s">
        <v>7</v>
      </c>
      <c r="D56" s="10">
        <v>0</v>
      </c>
      <c r="E56" s="4">
        <f t="shared" si="1"/>
        <v>0</v>
      </c>
      <c r="F56" s="4">
        <f t="shared" si="2"/>
        <v>696</v>
      </c>
      <c r="G56" s="4">
        <f t="shared" si="3"/>
        <v>0</v>
      </c>
      <c r="H56" s="15">
        <f>(SQRT(4*I55*I55*V*V + 'Drilling Spec'!$C$42*I55 + W*('Drilling Spec'!$C$43 + 2*l*V*(s*W + 2*V*G56/(1+e)) + 'Drilling Spec'!$C$44)) - 'Drilling Spec'!$C$45)/(2*V)</f>
        <v>650.76665889374931</v>
      </c>
      <c r="I56" s="23">
        <f>IF(AND(OR(I55=0,I55=""),F56=0),IF(F57=0,"",'Drilling Spec'!$C$26),H56)</f>
        <v>650.76665889374931</v>
      </c>
      <c r="J56" s="16">
        <f>MAX(0,I56-'Drilling Spec'!$C$30)</f>
        <v>570.76665889374931</v>
      </c>
      <c r="K56" s="18">
        <f>IFERROR(J56/'Drilling Spec'!$C$31,0)</f>
        <v>38.051110592916622</v>
      </c>
      <c r="L56" s="21">
        <f t="shared" si="4"/>
        <v>0</v>
      </c>
      <c r="M56" s="4">
        <f t="shared" si="14"/>
        <v>0</v>
      </c>
      <c r="N56" s="21">
        <f t="shared" si="5"/>
        <v>0</v>
      </c>
      <c r="O56" s="18">
        <f>(SQRT(4*O55*O55*vB*vB + 'Drilling Spec'!$C$48*O55 + WB*('Drilling Spec'!$C$49 + 2*lB*vB*(sB*WB + 2*vB*N56/(1+eB)) + 'Drilling Spec'!$C$50)) - 'Drilling Spec'!$C$51)/(2*vB)</f>
        <v>0</v>
      </c>
      <c r="P56" s="18">
        <f>IFERROR(((S56-'Drilling Spec'!$C$30)/'Drilling Spec'!$C$31)*'Drilling Spec'!$C$32,0)</f>
        <v>0</v>
      </c>
      <c r="Q56" s="18">
        <f t="shared" si="15"/>
        <v>0</v>
      </c>
      <c r="R56" s="18"/>
      <c r="S56" s="26" t="str">
        <f>IF(AND(OR(T55=0,T55=""),M56=0),IF(M57=0,"",'Drilling Spec'!$C$30),O56)</f>
        <v/>
      </c>
      <c r="U56" s="15">
        <f>E56*'Drilling Spec'!$C$22 + L56*'Drilling Spec'!$C$23</f>
        <v>0</v>
      </c>
      <c r="V56" s="15">
        <f t="shared" si="16"/>
        <v>13.948292682926827</v>
      </c>
      <c r="W56" s="15">
        <f t="shared" si="6"/>
        <v>4.0517073170731726</v>
      </c>
      <c r="X56" s="10"/>
      <c r="Y56" s="30">
        <f>IF(W56&lt;U57,'Drilling Spec'!$C$35,0)</f>
        <v>0</v>
      </c>
      <c r="AA56" s="4">
        <f t="shared" si="19"/>
        <v>41</v>
      </c>
      <c r="AB56" s="10"/>
      <c r="AC56" s="30">
        <f>IF('04-07-25-Scen4-ExFrontloadCargo'!K57&gt;'04-07-25-Scen4-ExFrontloadCargo'!AA56,'Drilling Spec'!$C$36,)</f>
        <v>0</v>
      </c>
      <c r="AE56" s="18">
        <f>(I56-'Drilling Spec'!$C$26)/'Drilling Spec'!$C$38</f>
        <v>96.794443148958223</v>
      </c>
      <c r="AF56" s="18">
        <f t="shared" si="7"/>
        <v>0</v>
      </c>
      <c r="AG56" s="34">
        <f t="shared" si="8"/>
        <v>16.794443148958223</v>
      </c>
      <c r="AH56" s="10"/>
      <c r="AI56" s="26">
        <f>IF(C56="Camp Closed",AG56,IF(AG56&lt;'Drilling Spec'!$C$39,,'Drilling Spec'!$C$39))</f>
        <v>0</v>
      </c>
      <c r="AL56" s="16">
        <f t="shared" si="9"/>
        <v>-650.76665889374931</v>
      </c>
      <c r="AM56" s="16" t="e">
        <f t="shared" si="10"/>
        <v>#N/A</v>
      </c>
      <c r="AN56">
        <f>-'Drilling Spec'!$C$29</f>
        <v>-720</v>
      </c>
      <c r="AO56">
        <f>-'Drilling Spec'!$C$27</f>
        <v>-624</v>
      </c>
      <c r="AP56">
        <f>-'Drilling Spec'!$C$28</f>
        <v>-688</v>
      </c>
      <c r="AQ56" t="e">
        <f t="shared" si="11"/>
        <v>#N/A</v>
      </c>
      <c r="AR56" t="e">
        <f>IF(X56=0,NA(),-'Drilling Spec'!$C$29*0.1)</f>
        <v>#N/A</v>
      </c>
      <c r="AS56" t="e">
        <f>IF(Y56=0,NA(),-'Drilling Spec'!$C$29*0.1)</f>
        <v>#N/A</v>
      </c>
      <c r="AT56" t="e">
        <f>IF(AB56=0,NA(),-'Drilling Spec'!$C$29*0.2)</f>
        <v>#N/A</v>
      </c>
      <c r="AU56" t="e">
        <f>IF(AC56=0,NA(),-'Drilling Spec'!$C$29*0.2)</f>
        <v>#N/A</v>
      </c>
      <c r="AV56" t="e">
        <f>IF(AH56=0,NA(),-'Drilling Spec'!$C$29*0.3)</f>
        <v>#N/A</v>
      </c>
      <c r="AW56" t="e">
        <f>IF(AI56=0,NA(),-'Drilling Spec'!$C$29*0.3)</f>
        <v>#N/A</v>
      </c>
      <c r="AX56" s="29">
        <f t="shared" si="12"/>
        <v>4.0517073170731726</v>
      </c>
      <c r="AY56" s="29">
        <f t="shared" si="13"/>
        <v>2.948889407083378</v>
      </c>
      <c r="AZ56" s="29">
        <f t="shared" si="17"/>
        <v>16.794443148958223</v>
      </c>
    </row>
    <row r="57" spans="1:78" x14ac:dyDescent="0.35">
      <c r="A57" s="28">
        <f t="shared" si="18"/>
        <v>46027</v>
      </c>
      <c r="B57" t="str">
        <f t="shared" si="0"/>
        <v>Mon</v>
      </c>
      <c r="C57" s="10" t="s">
        <v>9</v>
      </c>
      <c r="D57" s="10">
        <v>16</v>
      </c>
      <c r="E57" s="4">
        <f t="shared" si="1"/>
        <v>16</v>
      </c>
      <c r="F57" s="4">
        <f t="shared" si="2"/>
        <v>712</v>
      </c>
      <c r="G57" s="4">
        <f t="shared" si="3"/>
        <v>960</v>
      </c>
      <c r="H57" s="15">
        <f>(SQRT(4*I56*I56*V*V + 'Drilling Spec'!$C$42*I56 + W*('Drilling Spec'!$C$43 + 2*l*V*(s*W + 2*V*G57/(1+e)) + 'Drilling Spec'!$C$44)) - 'Drilling Spec'!$C$45)/(2*V)</f>
        <v>660.78760932720718</v>
      </c>
      <c r="I57" s="23">
        <f>IF(AND(OR(I56=0,I56=""),F57=0),IF(F58=0,"",'Drilling Spec'!$C$26),H57)</f>
        <v>660.78760932720718</v>
      </c>
      <c r="J57" s="16">
        <f>MAX(0,I57-'Drilling Spec'!$C$30)</f>
        <v>580.78760932720718</v>
      </c>
      <c r="K57" s="18">
        <f>IFERROR(J57/'Drilling Spec'!$C$31,0)</f>
        <v>38.719173955147149</v>
      </c>
      <c r="L57" s="21">
        <f t="shared" si="4"/>
        <v>0</v>
      </c>
      <c r="M57" s="4">
        <f t="shared" si="14"/>
        <v>0</v>
      </c>
      <c r="N57" s="21">
        <f t="shared" si="5"/>
        <v>0</v>
      </c>
      <c r="O57" s="18">
        <f>(SQRT(4*O56*O56*vB*vB + 'Drilling Spec'!$C$48*O56 + WB*('Drilling Spec'!$C$49 + 2*lB*vB*(sB*WB + 2*vB*N57/(1+eB)) + 'Drilling Spec'!$C$50)) - 'Drilling Spec'!$C$51)/(2*vB)</f>
        <v>0</v>
      </c>
      <c r="P57" s="18">
        <f>IFERROR(((S57-'Drilling Spec'!$C$30)/'Drilling Spec'!$C$31)*'Drilling Spec'!$C$32,0)</f>
        <v>0</v>
      </c>
      <c r="Q57" s="18">
        <f t="shared" si="15"/>
        <v>0</v>
      </c>
      <c r="R57" s="18"/>
      <c r="S57" s="26" t="str">
        <f>IF(AND(OR(T56=0,T56=""),M57=0),IF(M58=0,"",'Drilling Spec'!$C$30),O57)</f>
        <v/>
      </c>
      <c r="U57" s="15">
        <f>E57*'Drilling Spec'!$C$22 + L57*'Drilling Spec'!$C$23</f>
        <v>0.32065040650406507</v>
      </c>
      <c r="V57" s="15">
        <f t="shared" si="16"/>
        <v>14.268943089430891</v>
      </c>
      <c r="W57" s="15">
        <f t="shared" si="6"/>
        <v>3.7310569105691074</v>
      </c>
      <c r="X57" s="10"/>
      <c r="Y57" s="30">
        <f>IF(W57&lt;U58,'Drilling Spec'!$C$35,0)</f>
        <v>0</v>
      </c>
      <c r="AA57" s="4">
        <f t="shared" si="19"/>
        <v>41</v>
      </c>
      <c r="AB57" s="10"/>
      <c r="AC57" s="30">
        <f>IF('04-07-25-Scen4-ExFrontloadCargo'!K58&gt;'04-07-25-Scen4-ExFrontloadCargo'!AA57,'Drilling Spec'!$C$36,)</f>
        <v>0</v>
      </c>
      <c r="AE57" s="18">
        <f>(I57-'Drilling Spec'!$C$26)/'Drilling Spec'!$C$38</f>
        <v>98.464601554534525</v>
      </c>
      <c r="AF57" s="18">
        <f t="shared" si="7"/>
        <v>1.6701584055763021</v>
      </c>
      <c r="AG57" s="34">
        <f t="shared" si="8"/>
        <v>18.464601554534525</v>
      </c>
      <c r="AH57" s="10"/>
      <c r="AI57" s="26">
        <f>IF(C57="Camp Closed",AG57,IF(AG57&lt;'Drilling Spec'!$C$39,,'Drilling Spec'!$C$39))</f>
        <v>0</v>
      </c>
      <c r="AL57" s="16">
        <f t="shared" si="9"/>
        <v>-660.78760932720718</v>
      </c>
      <c r="AM57" s="16" t="e">
        <f t="shared" si="10"/>
        <v>#N/A</v>
      </c>
      <c r="AN57">
        <f>-'Drilling Spec'!$C$29</f>
        <v>-720</v>
      </c>
      <c r="AO57">
        <f>-'Drilling Spec'!$C$27</f>
        <v>-624</v>
      </c>
      <c r="AP57">
        <f>-'Drilling Spec'!$C$28</f>
        <v>-688</v>
      </c>
      <c r="AQ57" t="e">
        <f t="shared" si="11"/>
        <v>#N/A</v>
      </c>
      <c r="AR57" t="e">
        <f>IF(X57=0,NA(),-'Drilling Spec'!$C$29*0.1)</f>
        <v>#N/A</v>
      </c>
      <c r="AS57" t="e">
        <f>IF(Y57=0,NA(),-'Drilling Spec'!$C$29*0.1)</f>
        <v>#N/A</v>
      </c>
      <c r="AT57" t="e">
        <f>IF(AB57=0,NA(),-'Drilling Spec'!$C$29*0.2)</f>
        <v>#N/A</v>
      </c>
      <c r="AU57" t="e">
        <f>IF(AC57=0,NA(),-'Drilling Spec'!$C$29*0.2)</f>
        <v>#N/A</v>
      </c>
      <c r="AV57" t="e">
        <f>IF(AH57=0,NA(),-'Drilling Spec'!$C$29*0.3)</f>
        <v>#N/A</v>
      </c>
      <c r="AW57" t="e">
        <f>IF(AI57=0,NA(),-'Drilling Spec'!$C$29*0.3)</f>
        <v>#N/A</v>
      </c>
      <c r="AX57" s="29">
        <f t="shared" si="12"/>
        <v>3.7310569105691074</v>
      </c>
      <c r="AY57" s="29">
        <f t="shared" si="13"/>
        <v>2.2808260448528515</v>
      </c>
      <c r="AZ57" s="29">
        <f t="shared" si="17"/>
        <v>18.464601554534525</v>
      </c>
    </row>
    <row r="58" spans="1:78" x14ac:dyDescent="0.35">
      <c r="A58" s="28">
        <f t="shared" si="18"/>
        <v>46028</v>
      </c>
      <c r="B58" t="str">
        <f t="shared" si="0"/>
        <v>Tue</v>
      </c>
      <c r="C58" s="10" t="s">
        <v>9</v>
      </c>
      <c r="D58" s="10">
        <v>16</v>
      </c>
      <c r="E58" s="4">
        <f t="shared" si="1"/>
        <v>16</v>
      </c>
      <c r="F58" s="4">
        <f t="shared" si="2"/>
        <v>728</v>
      </c>
      <c r="G58" s="4">
        <f t="shared" si="3"/>
        <v>960</v>
      </c>
      <c r="H58" s="15">
        <f>(SQRT(4*I57*I57*V*V + 'Drilling Spec'!$C$42*I57 + W*('Drilling Spec'!$C$43 + 2*l*V*(s*W + 2*V*G58/(1+e)) + 'Drilling Spec'!$C$44)) - 'Drilling Spec'!$C$45)/(2*V)</f>
        <v>670.72482862789957</v>
      </c>
      <c r="I58" s="23">
        <f>IF(AND(OR(I57=0,I57=""),F58=0),IF(F59=0,"",'Drilling Spec'!$C$26),H58)</f>
        <v>670.72482862789957</v>
      </c>
      <c r="J58" s="16">
        <f>MAX(0,I58-'Drilling Spec'!$C$30)</f>
        <v>590.72482862789957</v>
      </c>
      <c r="K58" s="18">
        <f>IFERROR(J58/'Drilling Spec'!$C$31,0)</f>
        <v>39.381655241859974</v>
      </c>
      <c r="L58" s="21">
        <f t="shared" si="4"/>
        <v>0</v>
      </c>
      <c r="M58" s="4">
        <f t="shared" si="14"/>
        <v>0</v>
      </c>
      <c r="N58" s="21">
        <f t="shared" si="5"/>
        <v>0</v>
      </c>
      <c r="O58" s="18">
        <f>(SQRT(4*O57*O57*vB*vB + 'Drilling Spec'!$C$48*O57 + WB*('Drilling Spec'!$C$49 + 2*lB*vB*(sB*WB + 2*vB*N58/(1+eB)) + 'Drilling Spec'!$C$50)) - 'Drilling Spec'!$C$51)/(2*vB)</f>
        <v>0</v>
      </c>
      <c r="P58" s="18">
        <f>IFERROR(((S58-'Drilling Spec'!$C$30)/'Drilling Spec'!$C$31)*'Drilling Spec'!$C$32,0)</f>
        <v>0</v>
      </c>
      <c r="Q58" s="18">
        <f t="shared" si="15"/>
        <v>0</v>
      </c>
      <c r="R58" s="18"/>
      <c r="S58" s="26" t="str">
        <f>IF(AND(OR(T57=0,T57=""),M58=0),IF(M59=0,"",'Drilling Spec'!$C$30),O58)</f>
        <v/>
      </c>
      <c r="U58" s="15">
        <f>E58*'Drilling Spec'!$C$22 + L58*'Drilling Spec'!$C$23</f>
        <v>0.32065040650406507</v>
      </c>
      <c r="V58" s="15">
        <f t="shared" si="16"/>
        <v>14.589593495934956</v>
      </c>
      <c r="W58" s="15">
        <f t="shared" si="6"/>
        <v>3.4104065040650422</v>
      </c>
      <c r="X58" s="10">
        <v>2</v>
      </c>
      <c r="Y58" s="30">
        <f>IF(W58&lt;U59,'Drilling Spec'!$C$35,0)</f>
        <v>0</v>
      </c>
      <c r="AA58" s="4">
        <f t="shared" si="19"/>
        <v>44</v>
      </c>
      <c r="AB58" s="10">
        <v>3</v>
      </c>
      <c r="AC58" s="30">
        <f>IF('04-07-25-Scen4-ExFrontloadCargo'!K59&gt;'04-07-25-Scen4-ExFrontloadCargo'!AA58,'Drilling Spec'!$C$36,)</f>
        <v>0</v>
      </c>
      <c r="AE58" s="18">
        <f>(I58-'Drilling Spec'!$C$26)/'Drilling Spec'!$C$38</f>
        <v>100.1208047713166</v>
      </c>
      <c r="AF58" s="18">
        <f t="shared" si="7"/>
        <v>1.6562032167820746</v>
      </c>
      <c r="AG58" s="34">
        <f t="shared" si="8"/>
        <v>0.12080477131659961</v>
      </c>
      <c r="AH58" s="10">
        <v>20</v>
      </c>
      <c r="AI58" s="26">
        <f>IF(C58="Camp Closed",AG58,IF(AG58&lt;'Drilling Spec'!$C$39,,'Drilling Spec'!$C$39))</f>
        <v>0</v>
      </c>
      <c r="AL58" s="16">
        <f t="shared" si="9"/>
        <v>-670.72482862789957</v>
      </c>
      <c r="AM58" s="16" t="e">
        <f t="shared" si="10"/>
        <v>#N/A</v>
      </c>
      <c r="AN58">
        <f>-'Drilling Spec'!$C$29</f>
        <v>-720</v>
      </c>
      <c r="AO58">
        <f>-'Drilling Spec'!$C$27</f>
        <v>-624</v>
      </c>
      <c r="AP58">
        <f>-'Drilling Spec'!$C$28</f>
        <v>-688</v>
      </c>
      <c r="AQ58" t="e">
        <f t="shared" si="11"/>
        <v>#N/A</v>
      </c>
      <c r="AR58">
        <f>IF(X58=0,NA(),-'Drilling Spec'!$C$29*0.1)</f>
        <v>-72</v>
      </c>
      <c r="AS58" t="e">
        <f>IF(Y58=0,NA(),-'Drilling Spec'!$C$29*0.1)</f>
        <v>#N/A</v>
      </c>
      <c r="AT58">
        <f>IF(AB58=0,NA(),-'Drilling Spec'!$C$29*0.2)</f>
        <v>-144</v>
      </c>
      <c r="AU58" t="e">
        <f>IF(AC58=0,NA(),-'Drilling Spec'!$C$29*0.2)</f>
        <v>#N/A</v>
      </c>
      <c r="AV58">
        <f>IF(AH58=0,NA(),-'Drilling Spec'!$C$29*0.3)</f>
        <v>-216</v>
      </c>
      <c r="AW58" t="e">
        <f>IF(AI58=0,NA(),-'Drilling Spec'!$C$29*0.3)</f>
        <v>#N/A</v>
      </c>
      <c r="AX58" s="29">
        <f t="shared" si="12"/>
        <v>3.4104065040650422</v>
      </c>
      <c r="AY58" s="29">
        <f t="shared" si="13"/>
        <v>4.6183447581400259</v>
      </c>
      <c r="AZ58" s="29">
        <f t="shared" si="17"/>
        <v>0.12080477131659961</v>
      </c>
    </row>
    <row r="59" spans="1:78" x14ac:dyDescent="0.35">
      <c r="A59" s="28">
        <f t="shared" si="18"/>
        <v>46029</v>
      </c>
      <c r="B59" t="str">
        <f t="shared" si="0"/>
        <v>Wed</v>
      </c>
      <c r="C59" s="10" t="s">
        <v>9</v>
      </c>
      <c r="D59" s="10">
        <v>16</v>
      </c>
      <c r="E59" s="4">
        <f t="shared" si="1"/>
        <v>16</v>
      </c>
      <c r="F59" s="4">
        <f t="shared" si="2"/>
        <v>744</v>
      </c>
      <c r="G59" s="4">
        <f t="shared" si="3"/>
        <v>960</v>
      </c>
      <c r="H59" s="15">
        <f>(SQRT(4*I58*I58*V*V + 'Drilling Spec'!$C$42*I58 + W*('Drilling Spec'!$C$43 + 2*l*V*(s*W + 2*V*G59/(1+e)) + 'Drilling Spec'!$C$44)) - 'Drilling Spec'!$C$45)/(2*V)</f>
        <v>680.58038124086852</v>
      </c>
      <c r="I59" s="23">
        <f>IF(AND(OR(I58=0,I58=""),F59=0),IF(F60=0,"",'Drilling Spec'!$C$26),H59)</f>
        <v>680.58038124086852</v>
      </c>
      <c r="J59" s="16">
        <f>MAX(0,I59-'Drilling Spec'!$C$30)</f>
        <v>600.58038124086852</v>
      </c>
      <c r="K59" s="18">
        <f>IFERROR(J59/'Drilling Spec'!$C$31,0)</f>
        <v>40.038692082724566</v>
      </c>
      <c r="L59" s="21">
        <f t="shared" si="4"/>
        <v>0</v>
      </c>
      <c r="M59" s="4">
        <f t="shared" si="14"/>
        <v>0</v>
      </c>
      <c r="N59" s="21">
        <f t="shared" si="5"/>
        <v>0</v>
      </c>
      <c r="O59" s="18">
        <f>(SQRT(4*O58*O58*vB*vB + 'Drilling Spec'!$C$48*O58 + WB*('Drilling Spec'!$C$49 + 2*lB*vB*(sB*WB + 2*vB*N59/(1+eB)) + 'Drilling Spec'!$C$50)) - 'Drilling Spec'!$C$51)/(2*vB)</f>
        <v>0</v>
      </c>
      <c r="P59" s="18">
        <f>IFERROR(((S59-'Drilling Spec'!$C$30)/'Drilling Spec'!$C$31)*'Drilling Spec'!$C$32,0)</f>
        <v>0</v>
      </c>
      <c r="Q59" s="18">
        <f t="shared" si="15"/>
        <v>0</v>
      </c>
      <c r="R59" s="18"/>
      <c r="S59" s="26" t="str">
        <f>IF(AND(OR(T58=0,T58=""),M59=0),IF(M60=0,"",'Drilling Spec'!$C$30),O59)</f>
        <v/>
      </c>
      <c r="U59" s="15">
        <f>E59*'Drilling Spec'!$C$22 + L59*'Drilling Spec'!$C$23</f>
        <v>0.32065040650406507</v>
      </c>
      <c r="V59" s="15">
        <f t="shared" si="16"/>
        <v>14.910243902439021</v>
      </c>
      <c r="W59" s="15">
        <f t="shared" si="6"/>
        <v>5.0897560975609775</v>
      </c>
      <c r="X59" s="10"/>
      <c r="Y59" s="30">
        <f>IF(W59&lt;U60,'Drilling Spec'!$C$35,0)</f>
        <v>0</v>
      </c>
      <c r="AA59" s="4">
        <f t="shared" si="19"/>
        <v>44</v>
      </c>
      <c r="AB59" s="10"/>
      <c r="AC59" s="30">
        <f>IF('04-07-25-Scen4-ExFrontloadCargo'!K60&gt;'04-07-25-Scen4-ExFrontloadCargo'!AA59,'Drilling Spec'!$C$36,)</f>
        <v>0</v>
      </c>
      <c r="AE59" s="18">
        <f>(I59-'Drilling Spec'!$C$26)/'Drilling Spec'!$C$38</f>
        <v>101.76339687347809</v>
      </c>
      <c r="AF59" s="18">
        <f t="shared" si="7"/>
        <v>1.6425921021614869</v>
      </c>
      <c r="AG59" s="34">
        <f t="shared" si="8"/>
        <v>1.7633968734780865</v>
      </c>
      <c r="AH59" s="10"/>
      <c r="AI59" s="26">
        <f>IF(C59="Camp Closed",AG59,IF(AG59&lt;'Drilling Spec'!$C$39,,'Drilling Spec'!$C$39))</f>
        <v>0</v>
      </c>
      <c r="AL59" s="16">
        <f t="shared" si="9"/>
        <v>-680.58038124086852</v>
      </c>
      <c r="AM59" s="16" t="e">
        <f t="shared" si="10"/>
        <v>#N/A</v>
      </c>
      <c r="AN59">
        <f>-'Drilling Spec'!$C$29</f>
        <v>-720</v>
      </c>
      <c r="AO59">
        <f>-'Drilling Spec'!$C$27</f>
        <v>-624</v>
      </c>
      <c r="AP59">
        <f>-'Drilling Spec'!$C$28</f>
        <v>-688</v>
      </c>
      <c r="AQ59" t="e">
        <f t="shared" si="11"/>
        <v>#N/A</v>
      </c>
      <c r="AR59" t="e">
        <f>IF(X59=0,NA(),-'Drilling Spec'!$C$29*0.1)</f>
        <v>#N/A</v>
      </c>
      <c r="AS59" t="e">
        <f>IF(Y59=0,NA(),-'Drilling Spec'!$C$29*0.1)</f>
        <v>#N/A</v>
      </c>
      <c r="AT59" t="e">
        <f>IF(AB59=0,NA(),-'Drilling Spec'!$C$29*0.2)</f>
        <v>#N/A</v>
      </c>
      <c r="AU59" t="e">
        <f>IF(AC59=0,NA(),-'Drilling Spec'!$C$29*0.2)</f>
        <v>#N/A</v>
      </c>
      <c r="AV59" t="e">
        <f>IF(AH59=0,NA(),-'Drilling Spec'!$C$29*0.3)</f>
        <v>#N/A</v>
      </c>
      <c r="AW59" t="e">
        <f>IF(AI59=0,NA(),-'Drilling Spec'!$C$29*0.3)</f>
        <v>#N/A</v>
      </c>
      <c r="AX59" s="29">
        <f t="shared" si="12"/>
        <v>5.0897560975609775</v>
      </c>
      <c r="AY59" s="29">
        <f t="shared" si="13"/>
        <v>3.961307917275434</v>
      </c>
      <c r="AZ59" s="29">
        <f t="shared" si="17"/>
        <v>1.7633968734780865</v>
      </c>
    </row>
    <row r="60" spans="1:78" x14ac:dyDescent="0.35">
      <c r="A60" s="28">
        <f t="shared" si="18"/>
        <v>46030</v>
      </c>
      <c r="B60" t="str">
        <f t="shared" si="0"/>
        <v>Thu</v>
      </c>
      <c r="C60" s="10" t="s">
        <v>9</v>
      </c>
      <c r="D60" s="10">
        <v>16</v>
      </c>
      <c r="E60" s="4">
        <f t="shared" si="1"/>
        <v>16</v>
      </c>
      <c r="F60" s="4">
        <f t="shared" si="2"/>
        <v>760</v>
      </c>
      <c r="G60" s="4">
        <f t="shared" si="3"/>
        <v>960</v>
      </c>
      <c r="H60" s="15">
        <f>(SQRT(4*I59*I59*V*V + 'Drilling Spec'!$C$42*I59 + W*('Drilling Spec'!$C$43 + 2*l*V*(s*W + 2*V*G60/(1+e)) + 'Drilling Spec'!$C$44)) - 'Drilling Spec'!$C$45)/(2*V)</f>
        <v>690.35624814659275</v>
      </c>
      <c r="I60" s="23">
        <f>IF(AND(OR(I59=0,I59=""),F60=0),IF(F61=0,"",'Drilling Spec'!$C$26),H60)</f>
        <v>690.35624814659275</v>
      </c>
      <c r="J60" s="16">
        <f>MAX(0,I60-'Drilling Spec'!$C$30)</f>
        <v>610.35624814659275</v>
      </c>
      <c r="K60" s="18">
        <f>IFERROR(J60/'Drilling Spec'!$C$31,0)</f>
        <v>40.690416543106181</v>
      </c>
      <c r="L60" s="21">
        <f t="shared" si="4"/>
        <v>0</v>
      </c>
      <c r="M60" s="4">
        <f t="shared" si="14"/>
        <v>0</v>
      </c>
      <c r="N60" s="21">
        <f t="shared" si="5"/>
        <v>0</v>
      </c>
      <c r="O60" s="18">
        <f>(SQRT(4*O59*O59*vB*vB + 'Drilling Spec'!$C$48*O59 + WB*('Drilling Spec'!$C$49 + 2*lB*vB*(sB*WB + 2*vB*N60/(1+eB)) + 'Drilling Spec'!$C$50)) - 'Drilling Spec'!$C$51)/(2*vB)</f>
        <v>0</v>
      </c>
      <c r="P60" s="18">
        <f>IFERROR(((S60-'Drilling Spec'!$C$30)/'Drilling Spec'!$C$31)*'Drilling Spec'!$C$32,0)</f>
        <v>0</v>
      </c>
      <c r="Q60" s="18">
        <f t="shared" si="15"/>
        <v>0</v>
      </c>
      <c r="R60" s="18"/>
      <c r="S60" s="26" t="str">
        <f>IF(AND(OR(T59=0,T59=""),M60=0),IF(M61=0,"",'Drilling Spec'!$C$30),O60)</f>
        <v/>
      </c>
      <c r="U60" s="15">
        <f>E60*'Drilling Spec'!$C$22 + L60*'Drilling Spec'!$C$23</f>
        <v>0.32065040650406507</v>
      </c>
      <c r="V60" s="15">
        <f t="shared" si="16"/>
        <v>15.230894308943085</v>
      </c>
      <c r="W60" s="15">
        <f t="shared" si="6"/>
        <v>4.7691056910569127</v>
      </c>
      <c r="X60" s="10"/>
      <c r="Y60" s="30">
        <f>IF(W60&lt;U61,'Drilling Spec'!$C$35,0)</f>
        <v>0</v>
      </c>
      <c r="AA60" s="4">
        <f t="shared" si="19"/>
        <v>44</v>
      </c>
      <c r="AB60" s="10"/>
      <c r="AC60" s="30">
        <f>IF('04-07-25-Scen4-ExFrontloadCargo'!K61&gt;'04-07-25-Scen4-ExFrontloadCargo'!AA60,'Drilling Spec'!$C$36,)</f>
        <v>0</v>
      </c>
      <c r="AE60" s="18">
        <f>(I60-'Drilling Spec'!$C$26)/'Drilling Spec'!$C$38</f>
        <v>103.39270802443212</v>
      </c>
      <c r="AF60" s="18">
        <f t="shared" si="7"/>
        <v>1.6293111509540381</v>
      </c>
      <c r="AG60" s="34">
        <f t="shared" si="8"/>
        <v>3.3927080244321246</v>
      </c>
      <c r="AH60" s="10"/>
      <c r="AI60" s="26">
        <f>IF(C60="Camp Closed",AG60,IF(AG60&lt;'Drilling Spec'!$C$39,,'Drilling Spec'!$C$39))</f>
        <v>0</v>
      </c>
      <c r="AL60" s="16">
        <f t="shared" si="9"/>
        <v>-690.35624814659275</v>
      </c>
      <c r="AM60" s="16" t="e">
        <f t="shared" si="10"/>
        <v>#N/A</v>
      </c>
      <c r="AN60">
        <f>-'Drilling Spec'!$C$29</f>
        <v>-720</v>
      </c>
      <c r="AO60">
        <f>-'Drilling Spec'!$C$27</f>
        <v>-624</v>
      </c>
      <c r="AP60">
        <f>-'Drilling Spec'!$C$28</f>
        <v>-688</v>
      </c>
      <c r="AQ60" t="e">
        <f t="shared" si="11"/>
        <v>#N/A</v>
      </c>
      <c r="AR60" t="e">
        <f>IF(X60=0,NA(),-'Drilling Spec'!$C$29*0.1)</f>
        <v>#N/A</v>
      </c>
      <c r="AS60" t="e">
        <f>IF(Y60=0,NA(),-'Drilling Spec'!$C$29*0.1)</f>
        <v>#N/A</v>
      </c>
      <c r="AT60" t="e">
        <f>IF(AB60=0,NA(),-'Drilling Spec'!$C$29*0.2)</f>
        <v>#N/A</v>
      </c>
      <c r="AU60" t="e">
        <f>IF(AC60=0,NA(),-'Drilling Spec'!$C$29*0.2)</f>
        <v>#N/A</v>
      </c>
      <c r="AV60" t="e">
        <f>IF(AH60=0,NA(),-'Drilling Spec'!$C$29*0.3)</f>
        <v>#N/A</v>
      </c>
      <c r="AW60" t="e">
        <f>IF(AI60=0,NA(),-'Drilling Spec'!$C$29*0.3)</f>
        <v>#N/A</v>
      </c>
      <c r="AX60" s="29">
        <f t="shared" si="12"/>
        <v>4.7691056910569127</v>
      </c>
      <c r="AY60" s="29">
        <f t="shared" si="13"/>
        <v>3.3095834568938187</v>
      </c>
      <c r="AZ60" s="29">
        <f t="shared" si="17"/>
        <v>3.3927080244321246</v>
      </c>
    </row>
    <row r="61" spans="1:78" x14ac:dyDescent="0.35">
      <c r="A61" s="28">
        <f t="shared" si="18"/>
        <v>46031</v>
      </c>
      <c r="B61" t="str">
        <f t="shared" si="0"/>
        <v>Fri</v>
      </c>
      <c r="C61" s="10" t="s">
        <v>9</v>
      </c>
      <c r="D61" s="10">
        <v>16</v>
      </c>
      <c r="E61" s="4">
        <f t="shared" si="1"/>
        <v>16</v>
      </c>
      <c r="F61" s="4">
        <f t="shared" si="2"/>
        <v>776</v>
      </c>
      <c r="G61" s="4">
        <f t="shared" si="3"/>
        <v>960</v>
      </c>
      <c r="H61" s="15">
        <f>(SQRT(4*I60*I60*V*V + 'Drilling Spec'!$C$42*I60 + W*('Drilling Spec'!$C$43 + 2*l*V*(s*W + 2*V*G61/(1+e)) + 'Drilling Spec'!$C$44)) - 'Drilling Spec'!$C$45)/(2*V)</f>
        <v>700.05433151015961</v>
      </c>
      <c r="I61" s="23">
        <f>IF(AND(OR(I60=0,I60=""),F61=0),IF(F62=0,"",'Drilling Spec'!$C$26),H61)</f>
        <v>700.05433151015961</v>
      </c>
      <c r="J61" s="16">
        <f>MAX(0,I61-'Drilling Spec'!$C$30)</f>
        <v>620.05433151015961</v>
      </c>
      <c r="K61" s="18">
        <f>IFERROR(J61/'Drilling Spec'!$C$31,0)</f>
        <v>41.33695543401064</v>
      </c>
      <c r="L61" s="21">
        <f t="shared" si="4"/>
        <v>0</v>
      </c>
      <c r="M61" s="4">
        <f t="shared" si="14"/>
        <v>0</v>
      </c>
      <c r="N61" s="21">
        <f t="shared" si="5"/>
        <v>0</v>
      </c>
      <c r="O61" s="18">
        <f>(SQRT(4*O60*O60*vB*vB + 'Drilling Spec'!$C$48*O60 + WB*('Drilling Spec'!$C$49 + 2*lB*vB*(sB*WB + 2*vB*N61/(1+eB)) + 'Drilling Spec'!$C$50)) - 'Drilling Spec'!$C$51)/(2*vB)</f>
        <v>0</v>
      </c>
      <c r="P61" s="18">
        <f>IFERROR(((S61-'Drilling Spec'!$C$30)/'Drilling Spec'!$C$31)*'Drilling Spec'!$C$32,0)</f>
        <v>0</v>
      </c>
      <c r="Q61" s="18">
        <f t="shared" si="15"/>
        <v>0</v>
      </c>
      <c r="R61" s="18"/>
      <c r="S61" s="26" t="str">
        <f>IF(AND(OR(T60=0,T60=""),M61=0),IF(M62=0,"",'Drilling Spec'!$C$30),O61)</f>
        <v/>
      </c>
      <c r="U61" s="15">
        <f>E61*'Drilling Spec'!$C$22 + L61*'Drilling Spec'!$C$23</f>
        <v>0.32065040650406507</v>
      </c>
      <c r="V61" s="15">
        <f t="shared" si="16"/>
        <v>15.55154471544715</v>
      </c>
      <c r="W61" s="15">
        <f t="shared" si="6"/>
        <v>4.448455284552848</v>
      </c>
      <c r="X61" s="10"/>
      <c r="Y61" s="30">
        <f>IF(W61&lt;U62,'Drilling Spec'!$C$35,0)</f>
        <v>0</v>
      </c>
      <c r="AA61" s="4">
        <f t="shared" si="19"/>
        <v>44</v>
      </c>
      <c r="AB61" s="10"/>
      <c r="AC61" s="30">
        <f>IF('04-07-25-Scen4-ExFrontloadCargo'!K62&gt;'04-07-25-Scen4-ExFrontloadCargo'!AA61,'Drilling Spec'!$C$36,)</f>
        <v>0</v>
      </c>
      <c r="AE61" s="18">
        <f>(I61-'Drilling Spec'!$C$26)/'Drilling Spec'!$C$38</f>
        <v>105.00905525169327</v>
      </c>
      <c r="AF61" s="18">
        <f t="shared" si="7"/>
        <v>1.6163472272611443</v>
      </c>
      <c r="AG61" s="34">
        <f t="shared" si="8"/>
        <v>5.0090552516932689</v>
      </c>
      <c r="AH61" s="10"/>
      <c r="AI61" s="26">
        <f>IF(C61="Camp Closed",AG61,IF(AG61&lt;'Drilling Spec'!$C$39,,'Drilling Spec'!$C$39))</f>
        <v>0</v>
      </c>
      <c r="AL61" s="16">
        <f t="shared" si="9"/>
        <v>-700.05433151015961</v>
      </c>
      <c r="AM61" s="16" t="e">
        <f t="shared" si="10"/>
        <v>#N/A</v>
      </c>
      <c r="AN61">
        <f>-'Drilling Spec'!$C$29</f>
        <v>-720</v>
      </c>
      <c r="AO61">
        <f>-'Drilling Spec'!$C$27</f>
        <v>-624</v>
      </c>
      <c r="AP61">
        <f>-'Drilling Spec'!$C$28</f>
        <v>-688</v>
      </c>
      <c r="AQ61" t="e">
        <f t="shared" si="11"/>
        <v>#N/A</v>
      </c>
      <c r="AR61" t="e">
        <f>IF(X61=0,NA(),-'Drilling Spec'!$C$29*0.1)</f>
        <v>#N/A</v>
      </c>
      <c r="AS61" t="e">
        <f>IF(Y61=0,NA(),-'Drilling Spec'!$C$29*0.1)</f>
        <v>#N/A</v>
      </c>
      <c r="AT61" t="e">
        <f>IF(AB61=0,NA(),-'Drilling Spec'!$C$29*0.2)</f>
        <v>#N/A</v>
      </c>
      <c r="AU61" t="e">
        <f>IF(AC61=0,NA(),-'Drilling Spec'!$C$29*0.2)</f>
        <v>#N/A</v>
      </c>
      <c r="AV61" t="e">
        <f>IF(AH61=0,NA(),-'Drilling Spec'!$C$29*0.3)</f>
        <v>#N/A</v>
      </c>
      <c r="AW61" t="e">
        <f>IF(AI61=0,NA(),-'Drilling Spec'!$C$29*0.3)</f>
        <v>#N/A</v>
      </c>
      <c r="AX61" s="29">
        <f t="shared" si="12"/>
        <v>4.448455284552848</v>
      </c>
      <c r="AY61" s="29">
        <f t="shared" si="13"/>
        <v>2.6630445659893596</v>
      </c>
      <c r="AZ61" s="29">
        <f t="shared" si="17"/>
        <v>5.0090552516932689</v>
      </c>
    </row>
    <row r="62" spans="1:78" x14ac:dyDescent="0.35">
      <c r="A62" s="28">
        <f t="shared" si="18"/>
        <v>46032</v>
      </c>
      <c r="B62" t="str">
        <f t="shared" si="0"/>
        <v>Sat</v>
      </c>
      <c r="C62" s="10" t="s">
        <v>9</v>
      </c>
      <c r="D62" s="10">
        <v>16</v>
      </c>
      <c r="E62" s="4">
        <f t="shared" si="1"/>
        <v>16</v>
      </c>
      <c r="F62" s="4">
        <f t="shared" si="2"/>
        <v>792</v>
      </c>
      <c r="G62" s="4">
        <f t="shared" si="3"/>
        <v>960</v>
      </c>
      <c r="H62" s="15">
        <f>(SQRT(4*I61*I61*V*V + 'Drilling Spec'!$C$42*I61 + W*('Drilling Spec'!$C$43 + 2*l*V*(s*W + 2*V*G62/(1+e)) + 'Drilling Spec'!$C$44)) - 'Drilling Spec'!$C$45)/(2*V)</f>
        <v>709.67645900268076</v>
      </c>
      <c r="I62" s="23">
        <f>IF(AND(OR(I61=0,I61=""),F62=0),IF(F63=0,"",'Drilling Spec'!$C$26),H62)</f>
        <v>709.67645900268076</v>
      </c>
      <c r="J62" s="16">
        <f>MAX(0,I62-'Drilling Spec'!$C$30)</f>
        <v>629.67645900268076</v>
      </c>
      <c r="K62" s="18">
        <f>IFERROR(J62/'Drilling Spec'!$C$31,0)</f>
        <v>41.978430600178719</v>
      </c>
      <c r="L62" s="21">
        <f t="shared" si="4"/>
        <v>0</v>
      </c>
      <c r="M62" s="4">
        <f t="shared" si="14"/>
        <v>0</v>
      </c>
      <c r="N62" s="21">
        <f t="shared" si="5"/>
        <v>0</v>
      </c>
      <c r="O62" s="18">
        <f>(SQRT(4*O61*O61*vB*vB + 'Drilling Spec'!$C$48*O61 + WB*('Drilling Spec'!$C$49 + 2*lB*vB*(sB*WB + 2*vB*N62/(1+eB)) + 'Drilling Spec'!$C$50)) - 'Drilling Spec'!$C$51)/(2*vB)</f>
        <v>0</v>
      </c>
      <c r="P62" s="18">
        <f>IFERROR(((S62-'Drilling Spec'!$C$30)/'Drilling Spec'!$C$31)*'Drilling Spec'!$C$32,0)</f>
        <v>0</v>
      </c>
      <c r="Q62" s="18">
        <f t="shared" si="15"/>
        <v>0</v>
      </c>
      <c r="R62" s="18"/>
      <c r="S62" s="26" t="str">
        <f>IF(AND(OR(T61=0,T61=""),M62=0),IF(M63=0,"",'Drilling Spec'!$C$30),O62)</f>
        <v/>
      </c>
      <c r="U62" s="15">
        <f>E62*'Drilling Spec'!$C$22 + L62*'Drilling Spec'!$C$23</f>
        <v>0.32065040650406507</v>
      </c>
      <c r="V62" s="15">
        <f t="shared" si="16"/>
        <v>15.872195121951215</v>
      </c>
      <c r="W62" s="15">
        <f t="shared" si="6"/>
        <v>4.1278048780487833</v>
      </c>
      <c r="X62" s="10"/>
      <c r="Y62" s="30">
        <f>IF(W62&lt;U63,'Drilling Spec'!$C$35,0)</f>
        <v>0</v>
      </c>
      <c r="AA62" s="4">
        <f t="shared" si="19"/>
        <v>44</v>
      </c>
      <c r="AB62" s="10"/>
      <c r="AC62" s="30">
        <f>IF('04-07-25-Scen4-ExFrontloadCargo'!K63&gt;'04-07-25-Scen4-ExFrontloadCargo'!AA62,'Drilling Spec'!$C$36,)</f>
        <v>0</v>
      </c>
      <c r="AE62" s="18">
        <f>(I62-'Drilling Spec'!$C$26)/'Drilling Spec'!$C$38</f>
        <v>106.61274316711346</v>
      </c>
      <c r="AF62" s="18">
        <f t="shared" si="7"/>
        <v>1.6036879154201955</v>
      </c>
      <c r="AG62" s="34">
        <f t="shared" si="8"/>
        <v>6.6127431671134644</v>
      </c>
      <c r="AH62" s="10"/>
      <c r="AI62" s="26">
        <f>IF(C62="Camp Closed",AG62,IF(AG62&lt;'Drilling Spec'!$C$39,,'Drilling Spec'!$C$39))</f>
        <v>0</v>
      </c>
      <c r="AL62" s="16">
        <f t="shared" si="9"/>
        <v>-709.67645900268076</v>
      </c>
      <c r="AM62" s="16" t="e">
        <f t="shared" si="10"/>
        <v>#N/A</v>
      </c>
      <c r="AN62">
        <f>-'Drilling Spec'!$C$29</f>
        <v>-720</v>
      </c>
      <c r="AO62">
        <f>-'Drilling Spec'!$C$27</f>
        <v>-624</v>
      </c>
      <c r="AP62">
        <f>-'Drilling Spec'!$C$28</f>
        <v>-688</v>
      </c>
      <c r="AQ62" t="e">
        <f t="shared" si="11"/>
        <v>#N/A</v>
      </c>
      <c r="AR62" t="e">
        <f>IF(X62=0,NA(),-'Drilling Spec'!$C$29*0.1)</f>
        <v>#N/A</v>
      </c>
      <c r="AS62" t="e">
        <f>IF(Y62=0,NA(),-'Drilling Spec'!$C$29*0.1)</f>
        <v>#N/A</v>
      </c>
      <c r="AT62" t="e">
        <f>IF(AB62=0,NA(),-'Drilling Spec'!$C$29*0.2)</f>
        <v>#N/A</v>
      </c>
      <c r="AU62" t="e">
        <f>IF(AC62=0,NA(),-'Drilling Spec'!$C$29*0.2)</f>
        <v>#N/A</v>
      </c>
      <c r="AV62" t="e">
        <f>IF(AH62=0,NA(),-'Drilling Spec'!$C$29*0.3)</f>
        <v>#N/A</v>
      </c>
      <c r="AW62" t="e">
        <f>IF(AI62=0,NA(),-'Drilling Spec'!$C$29*0.3)</f>
        <v>#N/A</v>
      </c>
      <c r="AX62" s="29">
        <f t="shared" si="12"/>
        <v>4.1278048780487833</v>
      </c>
      <c r="AY62" s="29">
        <f t="shared" si="13"/>
        <v>2.0215693998212814</v>
      </c>
      <c r="AZ62" s="29">
        <f t="shared" si="17"/>
        <v>6.6127431671134644</v>
      </c>
    </row>
    <row r="63" spans="1:78" x14ac:dyDescent="0.35">
      <c r="A63" s="28">
        <f t="shared" si="18"/>
        <v>46033</v>
      </c>
      <c r="B63" t="str">
        <f t="shared" si="0"/>
        <v>Sun</v>
      </c>
      <c r="C63" s="10" t="s">
        <v>7</v>
      </c>
      <c r="D63" s="10">
        <v>0</v>
      </c>
      <c r="E63" s="4">
        <f t="shared" si="1"/>
        <v>0</v>
      </c>
      <c r="F63" s="4">
        <f t="shared" si="2"/>
        <v>792</v>
      </c>
      <c r="G63" s="4">
        <f t="shared" si="3"/>
        <v>0</v>
      </c>
      <c r="H63" s="15">
        <f>(SQRT(4*I62*I62*V*V + 'Drilling Spec'!$C$42*I62 + W*('Drilling Spec'!$C$43 + 2*l*V*(s*W + 2*V*G63/(1+e)) + 'Drilling Spec'!$C$44)) - 'Drilling Spec'!$C$45)/(2*V)</f>
        <v>709.67645900268076</v>
      </c>
      <c r="I63" s="23">
        <f>IF(AND(OR(I62=0,I62=""),F63=0),IF(F64=0,"",'Drilling Spec'!$C$26),H63)</f>
        <v>709.67645900268076</v>
      </c>
      <c r="J63" s="16">
        <f>MAX(0,I63-'Drilling Spec'!$C$30)</f>
        <v>629.67645900268076</v>
      </c>
      <c r="K63" s="18">
        <f>IFERROR(J63/'Drilling Spec'!$C$31,0)</f>
        <v>41.978430600178719</v>
      </c>
      <c r="L63" s="21">
        <f t="shared" si="4"/>
        <v>0</v>
      </c>
      <c r="M63" s="4">
        <f t="shared" si="14"/>
        <v>0</v>
      </c>
      <c r="N63" s="21">
        <f t="shared" si="5"/>
        <v>0</v>
      </c>
      <c r="O63" s="18">
        <f>(SQRT(4*O62*O62*vB*vB + 'Drilling Spec'!$C$48*O62 + WB*('Drilling Spec'!$C$49 + 2*lB*vB*(sB*WB + 2*vB*N63/(1+eB)) + 'Drilling Spec'!$C$50)) - 'Drilling Spec'!$C$51)/(2*vB)</f>
        <v>0</v>
      </c>
      <c r="P63" s="18">
        <f>IFERROR(((S63-'Drilling Spec'!$C$30)/'Drilling Spec'!$C$31)*'Drilling Spec'!$C$32,0)</f>
        <v>0</v>
      </c>
      <c r="Q63" s="18">
        <f t="shared" si="15"/>
        <v>0</v>
      </c>
      <c r="R63" s="18"/>
      <c r="S63" s="26" t="str">
        <f>IF(AND(OR(T62=0,T62=""),M63=0),IF(M64=0,"",'Drilling Spec'!$C$30),O63)</f>
        <v/>
      </c>
      <c r="U63" s="15">
        <f>E63*'Drilling Spec'!$C$22 + L63*'Drilling Spec'!$C$23</f>
        <v>0</v>
      </c>
      <c r="V63" s="15">
        <f t="shared" si="16"/>
        <v>15.872195121951215</v>
      </c>
      <c r="W63" s="15">
        <f t="shared" si="6"/>
        <v>4.1278048780487833</v>
      </c>
      <c r="X63" s="10"/>
      <c r="Y63" s="30">
        <f>IF(W63&lt;U64,'Drilling Spec'!$C$35,0)</f>
        <v>0</v>
      </c>
      <c r="AA63" s="4">
        <f t="shared" si="19"/>
        <v>44</v>
      </c>
      <c r="AB63" s="10"/>
      <c r="AC63" s="30">
        <f>IF('04-07-25-Scen4-ExFrontloadCargo'!K64&gt;'04-07-25-Scen4-ExFrontloadCargo'!AA63,'Drilling Spec'!$C$36,)</f>
        <v>0</v>
      </c>
      <c r="AE63" s="18">
        <f>(I63-'Drilling Spec'!$C$26)/'Drilling Spec'!$C$38</f>
        <v>106.61274316711346</v>
      </c>
      <c r="AF63" s="18">
        <f t="shared" si="7"/>
        <v>0</v>
      </c>
      <c r="AG63" s="34">
        <f t="shared" si="8"/>
        <v>6.6127431671134644</v>
      </c>
      <c r="AH63" s="10"/>
      <c r="AI63" s="26">
        <f>IF(C63="Camp Closed",AG63,IF(AG63&lt;'Drilling Spec'!$C$39,,'Drilling Spec'!$C$39))</f>
        <v>0</v>
      </c>
      <c r="AL63" s="16">
        <f t="shared" si="9"/>
        <v>-709.67645900268076</v>
      </c>
      <c r="AM63" s="16" t="e">
        <f t="shared" si="10"/>
        <v>#N/A</v>
      </c>
      <c r="AN63">
        <f>-'Drilling Spec'!$C$29</f>
        <v>-720</v>
      </c>
      <c r="AO63">
        <f>-'Drilling Spec'!$C$27</f>
        <v>-624</v>
      </c>
      <c r="AP63">
        <f>-'Drilling Spec'!$C$28</f>
        <v>-688</v>
      </c>
      <c r="AQ63" t="e">
        <f t="shared" si="11"/>
        <v>#N/A</v>
      </c>
      <c r="AR63" t="e">
        <f>IF(X63=0,NA(),-'Drilling Spec'!$C$29*0.1)</f>
        <v>#N/A</v>
      </c>
      <c r="AS63" t="e">
        <f>IF(Y63=0,NA(),-'Drilling Spec'!$C$29*0.1)</f>
        <v>#N/A</v>
      </c>
      <c r="AT63" t="e">
        <f>IF(AB63=0,NA(),-'Drilling Spec'!$C$29*0.2)</f>
        <v>#N/A</v>
      </c>
      <c r="AU63" t="e">
        <f>IF(AC63=0,NA(),-'Drilling Spec'!$C$29*0.2)</f>
        <v>#N/A</v>
      </c>
      <c r="AV63" t="e">
        <f>IF(AH63=0,NA(),-'Drilling Spec'!$C$29*0.3)</f>
        <v>#N/A</v>
      </c>
      <c r="AW63" t="e">
        <f>IF(AI63=0,NA(),-'Drilling Spec'!$C$29*0.3)</f>
        <v>#N/A</v>
      </c>
      <c r="AX63" s="29">
        <f t="shared" si="12"/>
        <v>4.1278048780487833</v>
      </c>
      <c r="AY63" s="29">
        <f t="shared" si="13"/>
        <v>2.0215693998212814</v>
      </c>
      <c r="AZ63" s="29">
        <f t="shared" si="17"/>
        <v>6.6127431671134644</v>
      </c>
    </row>
    <row r="64" spans="1:78" x14ac:dyDescent="0.35">
      <c r="A64" s="28">
        <f t="shared" si="18"/>
        <v>46034</v>
      </c>
      <c r="B64" t="str">
        <f t="shared" si="0"/>
        <v>Mon</v>
      </c>
      <c r="C64" s="10" t="s">
        <v>9</v>
      </c>
      <c r="D64" s="10">
        <v>16</v>
      </c>
      <c r="E64" s="4">
        <f t="shared" si="1"/>
        <v>16</v>
      </c>
      <c r="F64" s="4">
        <f t="shared" si="2"/>
        <v>808</v>
      </c>
      <c r="G64" s="4">
        <f t="shared" si="3"/>
        <v>960</v>
      </c>
      <c r="H64" s="15">
        <f>(SQRT(4*I63*I63*V*V + 'Drilling Spec'!$C$42*I63 + W*('Drilling Spec'!$C$43 + 2*l*V*(s*W + 2*V*G64/(1+e)) + 'Drilling Spec'!$C$44)) - 'Drilling Spec'!$C$45)/(2*V)</f>
        <v>719.22438782276038</v>
      </c>
      <c r="I64" s="23">
        <f>IF(AND(OR(I63=0,I63=""),F64=0),IF(F65=0,"",'Drilling Spec'!$C$26),H64)</f>
        <v>719.22438782276038</v>
      </c>
      <c r="J64" s="16">
        <f>MAX(0,I64-'Drilling Spec'!$C$30)</f>
        <v>639.22438782276038</v>
      </c>
      <c r="K64" s="18">
        <f>IFERROR(J64/'Drilling Spec'!$C$31,0)</f>
        <v>42.614959188184024</v>
      </c>
      <c r="L64" s="21">
        <f t="shared" si="4"/>
        <v>0</v>
      </c>
      <c r="M64" s="4">
        <f t="shared" si="14"/>
        <v>0</v>
      </c>
      <c r="N64" s="21">
        <f t="shared" si="5"/>
        <v>0</v>
      </c>
      <c r="O64" s="18">
        <f>(SQRT(4*O63*O63*vB*vB + 'Drilling Spec'!$C$48*O63 + WB*('Drilling Spec'!$C$49 + 2*lB*vB*(sB*WB + 2*vB*N64/(1+eB)) + 'Drilling Spec'!$C$50)) - 'Drilling Spec'!$C$51)/(2*vB)</f>
        <v>0</v>
      </c>
      <c r="P64" s="18">
        <f>IFERROR(((S64-'Drilling Spec'!$C$30)/'Drilling Spec'!$C$31)*'Drilling Spec'!$C$32,0)</f>
        <v>0</v>
      </c>
      <c r="Q64" s="18">
        <f t="shared" si="15"/>
        <v>0</v>
      </c>
      <c r="R64" s="18"/>
      <c r="S64" s="26" t="str">
        <f>IF(AND(OR(T63=0,T63=""),M64=0),IF(M65=0,"",'Drilling Spec'!$C$30),O64)</f>
        <v/>
      </c>
      <c r="U64" s="15">
        <f>E64*'Drilling Spec'!$C$22 + L64*'Drilling Spec'!$C$23</f>
        <v>0.32065040650406507</v>
      </c>
      <c r="V64" s="15">
        <f t="shared" si="16"/>
        <v>16.19284552845528</v>
      </c>
      <c r="W64" s="15">
        <f t="shared" si="6"/>
        <v>3.8071544715447181</v>
      </c>
      <c r="X64" s="10"/>
      <c r="Y64" s="30">
        <f>IF(W64&lt;U65,'Drilling Spec'!$C$35,0)</f>
        <v>0</v>
      </c>
      <c r="AA64" s="4">
        <f t="shared" si="19"/>
        <v>44</v>
      </c>
      <c r="AB64" s="10"/>
      <c r="AC64" s="30">
        <f>IF('04-07-25-Scen4-ExFrontloadCargo'!K65&gt;'04-07-25-Scen4-ExFrontloadCargo'!AA64,'Drilling Spec'!$C$36,)</f>
        <v>0</v>
      </c>
      <c r="AE64" s="18">
        <f>(I64-'Drilling Spec'!$C$26)/'Drilling Spec'!$C$38</f>
        <v>108.20406463712673</v>
      </c>
      <c r="AF64" s="18">
        <f t="shared" si="7"/>
        <v>1.5913214700132698</v>
      </c>
      <c r="AG64" s="34">
        <f t="shared" si="8"/>
        <v>8.2040646371267343</v>
      </c>
      <c r="AH64" s="10"/>
      <c r="AI64" s="26">
        <f>IF(C64="Camp Closed",AG64,IF(AG64&lt;'Drilling Spec'!$C$39,,'Drilling Spec'!$C$39))</f>
        <v>0</v>
      </c>
      <c r="AL64" s="16">
        <f t="shared" si="9"/>
        <v>-719.22438782276038</v>
      </c>
      <c r="AM64" s="16" t="e">
        <f t="shared" si="10"/>
        <v>#N/A</v>
      </c>
      <c r="AN64">
        <f>-'Drilling Spec'!$C$29</f>
        <v>-720</v>
      </c>
      <c r="AO64">
        <f>-'Drilling Spec'!$C$27</f>
        <v>-624</v>
      </c>
      <c r="AP64">
        <f>-'Drilling Spec'!$C$28</f>
        <v>-688</v>
      </c>
      <c r="AQ64" t="e">
        <f t="shared" si="11"/>
        <v>#N/A</v>
      </c>
      <c r="AR64" t="e">
        <f>IF(X64=0,NA(),-'Drilling Spec'!$C$29*0.1)</f>
        <v>#N/A</v>
      </c>
      <c r="AS64" t="e">
        <f>IF(Y64=0,NA(),-'Drilling Spec'!$C$29*0.1)</f>
        <v>#N/A</v>
      </c>
      <c r="AT64" t="e">
        <f>IF(AB64=0,NA(),-'Drilling Spec'!$C$29*0.2)</f>
        <v>#N/A</v>
      </c>
      <c r="AU64" t="e">
        <f>IF(AC64=0,NA(),-'Drilling Spec'!$C$29*0.2)</f>
        <v>#N/A</v>
      </c>
      <c r="AV64" t="e">
        <f>IF(AH64=0,NA(),-'Drilling Spec'!$C$29*0.3)</f>
        <v>#N/A</v>
      </c>
      <c r="AW64" t="e">
        <f>IF(AI64=0,NA(),-'Drilling Spec'!$C$29*0.3)</f>
        <v>#N/A</v>
      </c>
      <c r="AX64" s="29">
        <f t="shared" si="12"/>
        <v>3.8071544715447181</v>
      </c>
      <c r="AY64" s="29">
        <f t="shared" si="13"/>
        <v>1.3850408118159763</v>
      </c>
      <c r="AZ64" s="29">
        <f t="shared" si="17"/>
        <v>8.2040646371267343</v>
      </c>
    </row>
    <row r="65" spans="1:52" x14ac:dyDescent="0.35">
      <c r="A65" s="28">
        <f t="shared" si="18"/>
        <v>46035</v>
      </c>
      <c r="B65" t="str">
        <f t="shared" si="0"/>
        <v>Tue</v>
      </c>
      <c r="C65" s="10" t="s">
        <v>9</v>
      </c>
      <c r="D65" s="10">
        <v>16</v>
      </c>
      <c r="E65" s="4">
        <f t="shared" si="1"/>
        <v>16</v>
      </c>
      <c r="F65" s="4">
        <f t="shared" si="2"/>
        <v>824</v>
      </c>
      <c r="G65" s="4">
        <f t="shared" si="3"/>
        <v>960</v>
      </c>
      <c r="H65" s="15">
        <f>(SQRT(4*I64*I64*V*V + 'Drilling Spec'!$C$42*I64 + W*('Drilling Spec'!$C$43 + 2*l*V*(s*W + 2*V*G65/(1+e)) + 'Drilling Spec'!$C$44)) - 'Drilling Spec'!$C$45)/(2*V)</f>
        <v>728.69980844307224</v>
      </c>
      <c r="I65" s="23">
        <f>IF(AND(OR(I64=0,I64=""),F65=0),IF(F66=0,"",'Drilling Spec'!$C$26),H65)</f>
        <v>728.69980844307224</v>
      </c>
      <c r="J65" s="16">
        <f>MAX(0,I65-'Drilling Spec'!$C$30)</f>
        <v>648.69980844307224</v>
      </c>
      <c r="K65" s="18">
        <f>IFERROR(J65/'Drilling Spec'!$C$31,0)</f>
        <v>43.246653896204819</v>
      </c>
      <c r="L65" s="21">
        <f t="shared" si="4"/>
        <v>0</v>
      </c>
      <c r="M65" s="4">
        <f t="shared" si="14"/>
        <v>0</v>
      </c>
      <c r="N65" s="21">
        <f t="shared" si="5"/>
        <v>0</v>
      </c>
      <c r="O65" s="18">
        <f>(SQRT(4*O64*O64*vB*vB + 'Drilling Spec'!$C$48*O64 + WB*('Drilling Spec'!$C$49 + 2*lB*vB*(sB*WB + 2*vB*N65/(1+eB)) + 'Drilling Spec'!$C$50)) - 'Drilling Spec'!$C$51)/(2*vB)</f>
        <v>0</v>
      </c>
      <c r="P65" s="18">
        <f>IFERROR(((S65-'Drilling Spec'!$C$30)/'Drilling Spec'!$C$31)*'Drilling Spec'!$C$32,0)</f>
        <v>0</v>
      </c>
      <c r="Q65" s="18">
        <f t="shared" si="15"/>
        <v>0</v>
      </c>
      <c r="R65" s="18"/>
      <c r="S65" s="26">
        <f>IF(AND(OR(T64=0,T64=""),M65=0),IF(M66=0,"",'Drilling Spec'!$C$30),O65)</f>
        <v>80</v>
      </c>
      <c r="U65" s="15">
        <f>E65*'Drilling Spec'!$C$22 + L65*'Drilling Spec'!$C$23</f>
        <v>0.32065040650406507</v>
      </c>
      <c r="V65" s="15">
        <f t="shared" si="16"/>
        <v>16.513495934959344</v>
      </c>
      <c r="W65" s="15">
        <f t="shared" si="6"/>
        <v>3.4865040650406529</v>
      </c>
      <c r="X65" s="10"/>
      <c r="Y65" s="30">
        <f>IF(W65&lt;U66,'Drilling Spec'!$C$35,0)</f>
        <v>0</v>
      </c>
      <c r="AA65" s="4">
        <f t="shared" si="19"/>
        <v>44</v>
      </c>
      <c r="AB65" s="10"/>
      <c r="AC65" s="30">
        <f>IF('04-07-25-Scen4-ExFrontloadCargo'!K66&gt;'04-07-25-Scen4-ExFrontloadCargo'!AA65,'Drilling Spec'!$C$36,)</f>
        <v>0</v>
      </c>
      <c r="AE65" s="18">
        <f>(I65-'Drilling Spec'!$C$26)/'Drilling Spec'!$C$38</f>
        <v>109.78330140717871</v>
      </c>
      <c r="AF65" s="18">
        <f t="shared" si="7"/>
        <v>1.5792367700519776</v>
      </c>
      <c r="AG65" s="34">
        <f t="shared" si="8"/>
        <v>-1.6698592821288827E-2</v>
      </c>
      <c r="AH65" s="10">
        <v>9.8000000000000007</v>
      </c>
      <c r="AI65" s="26">
        <f>IF(C65="Camp Closed",AG65,IF(AG65&lt;'Drilling Spec'!$C$39,,'Drilling Spec'!$C$39))</f>
        <v>0</v>
      </c>
      <c r="AL65" s="16">
        <f t="shared" si="9"/>
        <v>-728.69980844307224</v>
      </c>
      <c r="AM65" s="16">
        <f t="shared" si="10"/>
        <v>-80</v>
      </c>
      <c r="AN65">
        <f>-'Drilling Spec'!$C$29</f>
        <v>-720</v>
      </c>
      <c r="AO65">
        <f>-'Drilling Spec'!$C$27</f>
        <v>-624</v>
      </c>
      <c r="AP65">
        <f>-'Drilling Spec'!$C$28</f>
        <v>-688</v>
      </c>
      <c r="AQ65" t="e">
        <f t="shared" si="11"/>
        <v>#N/A</v>
      </c>
      <c r="AR65" t="e">
        <f>IF(X65=0,NA(),-'Drilling Spec'!$C$29*0.1)</f>
        <v>#N/A</v>
      </c>
      <c r="AS65" t="e">
        <f>IF(Y65=0,NA(),-'Drilling Spec'!$C$29*0.1)</f>
        <v>#N/A</v>
      </c>
      <c r="AT65" t="e">
        <f>IF(AB65=0,NA(),-'Drilling Spec'!$C$29*0.2)</f>
        <v>#N/A</v>
      </c>
      <c r="AU65" t="e">
        <f>IF(AC65=0,NA(),-'Drilling Spec'!$C$29*0.2)</f>
        <v>#N/A</v>
      </c>
      <c r="AV65">
        <f>IF(AH65=0,NA(),-'Drilling Spec'!$C$29*0.3)</f>
        <v>-216</v>
      </c>
      <c r="AW65" t="e">
        <f>IF(AI65=0,NA(),-'Drilling Spec'!$C$29*0.3)</f>
        <v>#N/A</v>
      </c>
      <c r="AX65" s="29">
        <f t="shared" si="12"/>
        <v>3.4865040650406529</v>
      </c>
      <c r="AY65" s="29">
        <f t="shared" si="13"/>
        <v>0.75334610379518097</v>
      </c>
      <c r="AZ65" s="29">
        <f t="shared" si="17"/>
        <v>-1.6698592821288827E-2</v>
      </c>
    </row>
    <row r="66" spans="1:52" x14ac:dyDescent="0.35">
      <c r="A66" s="28">
        <f t="shared" si="18"/>
        <v>46036</v>
      </c>
      <c r="B66" t="str">
        <f t="shared" si="0"/>
        <v>Wed</v>
      </c>
      <c r="C66" s="10" t="s">
        <v>10</v>
      </c>
      <c r="D66" s="10">
        <v>24</v>
      </c>
      <c r="E66" s="4">
        <f t="shared" si="1"/>
        <v>0</v>
      </c>
      <c r="F66" s="4">
        <f t="shared" si="2"/>
        <v>824</v>
      </c>
      <c r="G66" s="4">
        <f t="shared" si="3"/>
        <v>0</v>
      </c>
      <c r="H66" s="15">
        <f>(SQRT(4*I65*I65*V*V + 'Drilling Spec'!$C$42*I65 + W*('Drilling Spec'!$C$43 + 2*l*V*(s*W + 2*V*G66/(1+e)) + 'Drilling Spec'!$C$44)) - 'Drilling Spec'!$C$45)/(2*V)</f>
        <v>728.69980844307224</v>
      </c>
      <c r="I66" s="23">
        <f>IF(AND(OR(I65=0,I65=""),F66=0),IF(F67=0,"",'Drilling Spec'!$C$26),H66)</f>
        <v>728.69980844307224</v>
      </c>
      <c r="J66" s="16">
        <f>MAX(0,I66-'Drilling Spec'!$C$30)</f>
        <v>648.69980844307224</v>
      </c>
      <c r="K66" s="18">
        <f>IFERROR(J66/'Drilling Spec'!$C$31,0)</f>
        <v>43.246653896204819</v>
      </c>
      <c r="L66" s="21">
        <f t="shared" si="4"/>
        <v>24</v>
      </c>
      <c r="M66" s="4">
        <f t="shared" si="14"/>
        <v>24</v>
      </c>
      <c r="N66" s="21">
        <f t="shared" si="5"/>
        <v>1440</v>
      </c>
      <c r="O66" s="18">
        <f>(SQRT(4*O65*O65*vB*vB + 'Drilling Spec'!$C$48*O65 + WB*('Drilling Spec'!$C$49 + 2*lB*vB*(sB*WB + 2*vB*N66/(1+eB)) + 'Drilling Spec'!$C$50)) - 'Drilling Spec'!$C$51)/(2*vB)</f>
        <v>259.40331160292249</v>
      </c>
      <c r="P66" s="18">
        <f>IFERROR(((S66-'Drilling Spec'!$C$30)/'Drilling Spec'!$C$31)*'Drilling Spec'!$C$32,0)</f>
        <v>10.764198696175349</v>
      </c>
      <c r="Q66" s="18">
        <f t="shared" si="15"/>
        <v>10.764198696175349</v>
      </c>
      <c r="R66" s="18"/>
      <c r="S66" s="26">
        <f>IF(AND(OR(T65=0,T65=""),M66=0),IF(M67=0,"",'Drilling Spec'!$C$30),O66)</f>
        <v>259.40331160292249</v>
      </c>
      <c r="U66" s="15">
        <f>E66*'Drilling Spec'!$C$22 + L66*'Drilling Spec'!$C$23</f>
        <v>0.58536585365853666</v>
      </c>
      <c r="V66" s="15">
        <f t="shared" si="16"/>
        <v>17.098861788617882</v>
      </c>
      <c r="W66" s="15">
        <f t="shared" si="6"/>
        <v>2.9011382113821162</v>
      </c>
      <c r="X66" s="10"/>
      <c r="Y66" s="30">
        <f>IF(W66&lt;U67,'Drilling Spec'!$C$35,0)</f>
        <v>0</v>
      </c>
      <c r="AA66" s="4">
        <f t="shared" si="19"/>
        <v>44</v>
      </c>
      <c r="AB66" s="10"/>
      <c r="AC66" s="30">
        <f>IF('04-07-25-Scen4-ExFrontloadCargo'!K67&gt;'04-07-25-Scen4-ExFrontloadCargo'!AA66,'Drilling Spec'!$C$36,)</f>
        <v>0</v>
      </c>
      <c r="AE66" s="18">
        <f>(I66-'Drilling Spec'!$C$26)/'Drilling Spec'!$C$38</f>
        <v>109.78330140717871</v>
      </c>
      <c r="AF66" s="18">
        <f t="shared" si="7"/>
        <v>0</v>
      </c>
      <c r="AG66" s="34">
        <f t="shared" si="8"/>
        <v>-1.6698592821288827E-2</v>
      </c>
      <c r="AH66" s="10"/>
      <c r="AI66" s="26">
        <f>IF(C66="Camp Closed",AG66,IF(AG66&lt;'Drilling Spec'!$C$39,,'Drilling Spec'!$C$39))</f>
        <v>0</v>
      </c>
      <c r="AL66" s="16">
        <f t="shared" si="9"/>
        <v>-728.69980844307224</v>
      </c>
      <c r="AM66" s="16">
        <f t="shared" si="10"/>
        <v>-259.40331160292249</v>
      </c>
      <c r="AN66">
        <f>-'Drilling Spec'!$C$29</f>
        <v>-720</v>
      </c>
      <c r="AO66">
        <f>-'Drilling Spec'!$C$27</f>
        <v>-624</v>
      </c>
      <c r="AP66">
        <f>-'Drilling Spec'!$C$28</f>
        <v>-688</v>
      </c>
      <c r="AQ66" t="e">
        <f t="shared" si="11"/>
        <v>#N/A</v>
      </c>
      <c r="AR66" t="e">
        <f>IF(X66=0,NA(),-'Drilling Spec'!$C$29*0.1)</f>
        <v>#N/A</v>
      </c>
      <c r="AS66" t="e">
        <f>IF(Y66=0,NA(),-'Drilling Spec'!$C$29*0.1)</f>
        <v>#N/A</v>
      </c>
      <c r="AT66" t="e">
        <f>IF(AB66=0,NA(),-'Drilling Spec'!$C$29*0.2)</f>
        <v>#N/A</v>
      </c>
      <c r="AU66" t="e">
        <f>IF(AC66=0,NA(),-'Drilling Spec'!$C$29*0.2)</f>
        <v>#N/A</v>
      </c>
      <c r="AV66" t="e">
        <f>IF(AH66=0,NA(),-'Drilling Spec'!$C$29*0.3)</f>
        <v>#N/A</v>
      </c>
      <c r="AW66" t="e">
        <f>IF(AI66=0,NA(),-'Drilling Spec'!$C$29*0.3)</f>
        <v>#N/A</v>
      </c>
      <c r="AX66" s="29">
        <f t="shared" si="12"/>
        <v>2.9011382113821162</v>
      </c>
      <c r="AY66" s="29">
        <f t="shared" si="13"/>
        <v>11.51754479997053</v>
      </c>
      <c r="AZ66" s="29">
        <f t="shared" si="17"/>
        <v>-1.6698592821288827E-2</v>
      </c>
    </row>
    <row r="67" spans="1:52" x14ac:dyDescent="0.35">
      <c r="A67" s="28">
        <f t="shared" si="18"/>
        <v>46037</v>
      </c>
      <c r="B67" t="str">
        <f t="shared" ref="B67:B112" si="20">TEXT(A67,"ddd")</f>
        <v>Thu</v>
      </c>
      <c r="C67" s="10" t="s">
        <v>10</v>
      </c>
      <c r="D67" s="10">
        <v>24</v>
      </c>
      <c r="E67" s="4">
        <f t="shared" ref="E67:E112" si="21">IF(C67="Drilling",D67,0)</f>
        <v>0</v>
      </c>
      <c r="F67" s="4">
        <f t="shared" ref="F67:F112" si="22">(F66+E67)</f>
        <v>824</v>
      </c>
      <c r="G67" s="4">
        <f t="shared" ref="G67:G112" si="23">E67*60</f>
        <v>0</v>
      </c>
      <c r="H67" s="15">
        <f>(SQRT(4*I66*I66*V*V + 'Drilling Spec'!$C$42*I66 + W*('Drilling Spec'!$C$43 + 2*l*V*(s*W + 2*V*G67/(1+e)) + 'Drilling Spec'!$C$44)) - 'Drilling Spec'!$C$45)/(2*V)</f>
        <v>728.69980844307224</v>
      </c>
      <c r="I67" s="23">
        <f>IF(AND(OR(I66=0,I66=""),F67=0),IF(F68=0,"",'Drilling Spec'!$C$26),H67)</f>
        <v>728.69980844307224</v>
      </c>
      <c r="J67" s="16">
        <f>MAX(0,I67-'Drilling Spec'!$C$30)</f>
        <v>648.69980844307224</v>
      </c>
      <c r="K67" s="18">
        <f>IFERROR(J67/'Drilling Spec'!$C$31,0)</f>
        <v>43.246653896204819</v>
      </c>
      <c r="L67" s="21">
        <f t="shared" ref="L67:L112" si="24">IF(C67="Bailing",D67,0)</f>
        <v>24</v>
      </c>
      <c r="M67" s="4">
        <f t="shared" si="14"/>
        <v>48</v>
      </c>
      <c r="N67" s="21">
        <f t="shared" ref="N67:N112" si="25">L67*60</f>
        <v>1440</v>
      </c>
      <c r="O67" s="18">
        <f>(SQRT(4*O66*O66*vB*vB + 'Drilling Spec'!$C$48*O66 + WB*('Drilling Spec'!$C$49 + 2*lB*vB*(sB*WB + 2*vB*N67/(1+eB)) + 'Drilling Spec'!$C$50)) - 'Drilling Spec'!$C$51)/(2*vB)</f>
        <v>400.47129457899786</v>
      </c>
      <c r="P67" s="18">
        <f>IFERROR(((S67-'Drilling Spec'!$C$30)/'Drilling Spec'!$C$31)*'Drilling Spec'!$C$32,0)</f>
        <v>19.228277674739871</v>
      </c>
      <c r="Q67" s="18">
        <f t="shared" si="15"/>
        <v>8.4640789785645225</v>
      </c>
      <c r="R67" s="18"/>
      <c r="S67" s="26">
        <f>IF(AND(OR(T66=0,T66=""),M67=0),IF(M68=0,"",'Drilling Spec'!$C$30),O67)</f>
        <v>400.47129457899786</v>
      </c>
      <c r="U67" s="15">
        <f>E67*'Drilling Spec'!$C$22 + L67*'Drilling Spec'!$C$23</f>
        <v>0.58536585365853666</v>
      </c>
      <c r="V67" s="15">
        <f t="shared" si="16"/>
        <v>17.684227642276419</v>
      </c>
      <c r="W67" s="15">
        <f t="shared" ref="W67:W112" si="26">W66-U67+X66+Y66</f>
        <v>2.3157723577235796</v>
      </c>
      <c r="X67" s="10"/>
      <c r="Y67" s="30">
        <f>IF(W67&lt;U68,'Drilling Spec'!$C$35,0)</f>
        <v>0</v>
      </c>
      <c r="AA67" s="4">
        <f t="shared" si="19"/>
        <v>44</v>
      </c>
      <c r="AB67" s="10"/>
      <c r="AC67" s="30">
        <f>IF('04-07-25-Scen4-ExFrontloadCargo'!K68&gt;'04-07-25-Scen4-ExFrontloadCargo'!AA67,'Drilling Spec'!$C$36,)</f>
        <v>0</v>
      </c>
      <c r="AE67" s="18">
        <f>(I67-'Drilling Spec'!$C$26)/'Drilling Spec'!$C$38</f>
        <v>109.78330140717871</v>
      </c>
      <c r="AF67" s="18">
        <f t="shared" ref="AF67:AF112" si="27">IFERROR(AE67-AE66,0)</f>
        <v>0</v>
      </c>
      <c r="AG67" s="34">
        <f t="shared" ref="AG67:AG112" si="28">AG66+AF67-AH67-AI66</f>
        <v>-1.6698592821288827E-2</v>
      </c>
      <c r="AH67" s="10"/>
      <c r="AI67" s="26">
        <f>IF(C67="Camp Closed",AG67,IF(AG67&lt;'Drilling Spec'!$C$39,,'Drilling Spec'!$C$39))</f>
        <v>0</v>
      </c>
      <c r="AL67" s="16">
        <f t="shared" ref="AL67:AL112" si="29">IFERROR(-I67,NA())</f>
        <v>-728.69980844307224</v>
      </c>
      <c r="AM67" s="16">
        <f t="shared" ref="AM67:AM112" si="30">IF(OR(S67=0,S67=""),NA(),-S67)</f>
        <v>-400.47129457899786</v>
      </c>
      <c r="AN67">
        <f>-'Drilling Spec'!$C$29</f>
        <v>-720</v>
      </c>
      <c r="AO67">
        <f>-'Drilling Spec'!$C$27</f>
        <v>-624</v>
      </c>
      <c r="AP67">
        <f>-'Drilling Spec'!$C$28</f>
        <v>-688</v>
      </c>
      <c r="AQ67" t="e">
        <f t="shared" ref="AQ67:AQ112" si="31">IF(C67="Camp Closed",0,NA())</f>
        <v>#N/A</v>
      </c>
      <c r="AR67" t="e">
        <f>IF(X67=0,NA(),-'Drilling Spec'!$C$29*0.1)</f>
        <v>#N/A</v>
      </c>
      <c r="AS67" t="e">
        <f>IF(Y67=0,NA(),-'Drilling Spec'!$C$29*0.1)</f>
        <v>#N/A</v>
      </c>
      <c r="AT67" t="e">
        <f>IF(AB67=0,NA(),-'Drilling Spec'!$C$29*0.2)</f>
        <v>#N/A</v>
      </c>
      <c r="AU67" t="e">
        <f>IF(AC67=0,NA(),-'Drilling Spec'!$C$29*0.2)</f>
        <v>#N/A</v>
      </c>
      <c r="AV67" t="e">
        <f>IF(AH67=0,NA(),-'Drilling Spec'!$C$29*0.3)</f>
        <v>#N/A</v>
      </c>
      <c r="AW67" t="e">
        <f>IF(AI67=0,NA(),-'Drilling Spec'!$C$29*0.3)</f>
        <v>#N/A</v>
      </c>
      <c r="AX67" s="29">
        <f t="shared" ref="AX67:AX112" si="32">W67</f>
        <v>2.3157723577235796</v>
      </c>
      <c r="AY67" s="29">
        <f t="shared" ref="AY67:AY112" si="33">AA67-K67+P67</f>
        <v>19.981623778535052</v>
      </c>
      <c r="AZ67" s="29">
        <f t="shared" si="17"/>
        <v>-1.6698592821288827E-2</v>
      </c>
    </row>
    <row r="68" spans="1:52" x14ac:dyDescent="0.35">
      <c r="A68" s="28">
        <f t="shared" si="18"/>
        <v>46038</v>
      </c>
      <c r="B68" t="str">
        <f t="shared" si="20"/>
        <v>Fri</v>
      </c>
      <c r="C68" s="10" t="s">
        <v>10</v>
      </c>
      <c r="D68" s="10">
        <v>24</v>
      </c>
      <c r="E68" s="4">
        <f t="shared" si="21"/>
        <v>0</v>
      </c>
      <c r="F68" s="4">
        <f t="shared" si="22"/>
        <v>824</v>
      </c>
      <c r="G68" s="4">
        <f t="shared" si="23"/>
        <v>0</v>
      </c>
      <c r="H68" s="15">
        <f>(SQRT(4*I67*I67*V*V + 'Drilling Spec'!$C$42*I67 + W*('Drilling Spec'!$C$43 + 2*l*V*(s*W + 2*V*G68/(1+e)) + 'Drilling Spec'!$C$44)) - 'Drilling Spec'!$C$45)/(2*V)</f>
        <v>728.69980844307224</v>
      </c>
      <c r="I68" s="23">
        <f>IF(AND(OR(I67=0,I67=""),F68=0),IF(F69=0,"",'Drilling Spec'!$C$26),H68)</f>
        <v>728.69980844307224</v>
      </c>
      <c r="J68" s="16">
        <f>MAX(0,I68-'Drilling Spec'!$C$30)</f>
        <v>648.69980844307224</v>
      </c>
      <c r="K68" s="18">
        <f>IFERROR(J68/'Drilling Spec'!$C$31,0)</f>
        <v>43.246653896204819</v>
      </c>
      <c r="L68" s="21">
        <f t="shared" si="24"/>
        <v>24</v>
      </c>
      <c r="M68" s="4">
        <f t="shared" ref="M68:M112" si="34">(M67+L68)</f>
        <v>72</v>
      </c>
      <c r="N68" s="21">
        <f t="shared" si="25"/>
        <v>1440</v>
      </c>
      <c r="O68" s="18">
        <f>(SQRT(4*O67*O67*vB*vB + 'Drilling Spec'!$C$48*O67 + WB*('Drilling Spec'!$C$49 + 2*lB*vB*(sB*WB + 2*vB*N68/(1+eB)) + 'Drilling Spec'!$C$50)) - 'Drilling Spec'!$C$51)/(2*vB)</f>
        <v>510.1938307186208</v>
      </c>
      <c r="P68" s="18">
        <f>IFERROR(((S68-'Drilling Spec'!$C$30)/'Drilling Spec'!$C$31)*'Drilling Spec'!$C$32,0)</f>
        <v>25.811629843117249</v>
      </c>
      <c r="Q68" s="18">
        <f t="shared" ref="Q68:Q112" si="35">P68-P67</f>
        <v>6.5833521683773775</v>
      </c>
      <c r="R68" s="18"/>
      <c r="S68" s="26">
        <f>IF(AND(OR(T67=0,T67=""),M68=0),IF(M69=0,"",'Drilling Spec'!$C$30),O68)</f>
        <v>510.1938307186208</v>
      </c>
      <c r="U68" s="15">
        <f>E68*'Drilling Spec'!$C$22 + L68*'Drilling Spec'!$C$23</f>
        <v>0.58536585365853666</v>
      </c>
      <c r="V68" s="15">
        <f t="shared" ref="V68:V112" si="36">V67+U68</f>
        <v>18.269593495934956</v>
      </c>
      <c r="W68" s="15">
        <f t="shared" si="26"/>
        <v>1.7304065040650429</v>
      </c>
      <c r="X68" s="10"/>
      <c r="Y68" s="30">
        <f>IF(W68&lt;U69,'Drilling Spec'!$C$35,0)</f>
        <v>0</v>
      </c>
      <c r="AA68" s="4">
        <f t="shared" si="19"/>
        <v>44</v>
      </c>
      <c r="AB68" s="10"/>
      <c r="AC68" s="30">
        <f>IF('04-07-25-Scen4-ExFrontloadCargo'!K69&gt;'04-07-25-Scen4-ExFrontloadCargo'!AA68,'Drilling Spec'!$C$36,)</f>
        <v>0</v>
      </c>
      <c r="AE68" s="18">
        <f>(I68-'Drilling Spec'!$C$26)/'Drilling Spec'!$C$38</f>
        <v>109.78330140717871</v>
      </c>
      <c r="AF68" s="18">
        <f t="shared" si="27"/>
        <v>0</v>
      </c>
      <c r="AG68" s="34">
        <f t="shared" si="28"/>
        <v>-1.6698592821288827E-2</v>
      </c>
      <c r="AH68" s="10"/>
      <c r="AI68" s="26">
        <f>IF(C68="Camp Closed",AG68,IF(AG68&lt;'Drilling Spec'!$C$39,,'Drilling Spec'!$C$39))</f>
        <v>0</v>
      </c>
      <c r="AL68" s="16">
        <f t="shared" si="29"/>
        <v>-728.69980844307224</v>
      </c>
      <c r="AM68" s="16">
        <f t="shared" si="30"/>
        <v>-510.1938307186208</v>
      </c>
      <c r="AN68">
        <f>-'Drilling Spec'!$C$29</f>
        <v>-720</v>
      </c>
      <c r="AO68">
        <f>-'Drilling Spec'!$C$27</f>
        <v>-624</v>
      </c>
      <c r="AP68">
        <f>-'Drilling Spec'!$C$28</f>
        <v>-688</v>
      </c>
      <c r="AQ68" t="e">
        <f t="shared" si="31"/>
        <v>#N/A</v>
      </c>
      <c r="AR68" t="e">
        <f>IF(X68=0,NA(),-'Drilling Spec'!$C$29*0.1)</f>
        <v>#N/A</v>
      </c>
      <c r="AS68" t="e">
        <f>IF(Y68=0,NA(),-'Drilling Spec'!$C$29*0.1)</f>
        <v>#N/A</v>
      </c>
      <c r="AT68" t="e">
        <f>IF(AB68=0,NA(),-'Drilling Spec'!$C$29*0.2)</f>
        <v>#N/A</v>
      </c>
      <c r="AU68" t="e">
        <f>IF(AC68=0,NA(),-'Drilling Spec'!$C$29*0.2)</f>
        <v>#N/A</v>
      </c>
      <c r="AV68" t="e">
        <f>IF(AH68=0,NA(),-'Drilling Spec'!$C$29*0.3)</f>
        <v>#N/A</v>
      </c>
      <c r="AW68" t="e">
        <f>IF(AI68=0,NA(),-'Drilling Spec'!$C$29*0.3)</f>
        <v>#N/A</v>
      </c>
      <c r="AX68" s="29">
        <f t="shared" si="32"/>
        <v>1.7304065040650429</v>
      </c>
      <c r="AY68" s="29">
        <f t="shared" si="33"/>
        <v>26.56497594691243</v>
      </c>
      <c r="AZ68" s="29">
        <f t="shared" ref="AZ68:AZ112" si="37">AG68</f>
        <v>-1.6698592821288827E-2</v>
      </c>
    </row>
    <row r="69" spans="1:52" x14ac:dyDescent="0.35">
      <c r="A69" s="28">
        <f t="shared" ref="A69:A84" si="38">A68+1</f>
        <v>46039</v>
      </c>
      <c r="B69" t="str">
        <f t="shared" si="20"/>
        <v>Sat</v>
      </c>
      <c r="C69" s="10" t="s">
        <v>10</v>
      </c>
      <c r="D69" s="10">
        <v>24</v>
      </c>
      <c r="E69" s="4">
        <f t="shared" si="21"/>
        <v>0</v>
      </c>
      <c r="F69" s="4">
        <f t="shared" si="22"/>
        <v>824</v>
      </c>
      <c r="G69" s="4">
        <f t="shared" si="23"/>
        <v>0</v>
      </c>
      <c r="H69" s="15">
        <f>(SQRT(4*I68*I68*V*V + 'Drilling Spec'!$C$42*I68 + W*('Drilling Spec'!$C$43 + 2*l*V*(s*W + 2*V*G69/(1+e)) + 'Drilling Spec'!$C$44)) - 'Drilling Spec'!$C$45)/(2*V)</f>
        <v>728.69980844307224</v>
      </c>
      <c r="I69" s="23">
        <f>IF(AND(OR(I68=0,I68=""),F69=0),IF(F70=0,"",'Drilling Spec'!$C$26),H69)</f>
        <v>728.69980844307224</v>
      </c>
      <c r="J69" s="16">
        <f>MAX(0,I69-'Drilling Spec'!$C$30)</f>
        <v>648.69980844307224</v>
      </c>
      <c r="K69" s="18">
        <f>IFERROR(J69/'Drilling Spec'!$C$31,0)</f>
        <v>43.246653896204819</v>
      </c>
      <c r="L69" s="21">
        <f t="shared" si="24"/>
        <v>24</v>
      </c>
      <c r="M69" s="4">
        <f t="shared" si="34"/>
        <v>96</v>
      </c>
      <c r="N69" s="21">
        <f t="shared" si="25"/>
        <v>1440</v>
      </c>
      <c r="O69" s="18">
        <f>(SQRT(4*O68*O68*vB*vB + 'Drilling Spec'!$C$48*O68 + WB*('Drilling Spec'!$C$49 + 2*lB*vB*(sB*WB + 2*vB*N69/(1+eB)) + 'Drilling Spec'!$C$50)) - 'Drilling Spec'!$C$51)/(2*vB)</f>
        <v>603.20853687666511</v>
      </c>
      <c r="P69" s="18">
        <f>IFERROR(((S69-'Drilling Spec'!$C$30)/'Drilling Spec'!$C$31)*'Drilling Spec'!$C$32,0)</f>
        <v>31.392512212599907</v>
      </c>
      <c r="Q69" s="18">
        <f t="shared" si="35"/>
        <v>5.5808823694826586</v>
      </c>
      <c r="R69" s="18"/>
      <c r="S69" s="26">
        <f>IF(AND(OR(T68=0,T68=""),M69=0),IF(M70=0,"",'Drilling Spec'!$C$30),O69)</f>
        <v>603.20853687666511</v>
      </c>
      <c r="U69" s="15">
        <f>E69*'Drilling Spec'!$C$22 + L69*'Drilling Spec'!$C$23</f>
        <v>0.58536585365853666</v>
      </c>
      <c r="V69" s="15">
        <f t="shared" si="36"/>
        <v>18.854959349593493</v>
      </c>
      <c r="W69" s="15">
        <f t="shared" si="26"/>
        <v>1.1450406504065063</v>
      </c>
      <c r="X69" s="10"/>
      <c r="Y69" s="30">
        <f>IF(W69&lt;U70,'Drilling Spec'!$C$35,0)</f>
        <v>0</v>
      </c>
      <c r="AA69" s="4">
        <f t="shared" ref="AA69:AA73" si="39">AA68+AC68+AB69</f>
        <v>44</v>
      </c>
      <c r="AB69" s="10"/>
      <c r="AC69" s="30">
        <f>IF('04-07-25-Scen4-ExFrontloadCargo'!K70&gt;'04-07-25-Scen4-ExFrontloadCargo'!AA69,'Drilling Spec'!$C$36,)</f>
        <v>0</v>
      </c>
      <c r="AE69" s="18">
        <f>(I69-'Drilling Spec'!$C$26)/'Drilling Spec'!$C$38</f>
        <v>109.78330140717871</v>
      </c>
      <c r="AF69" s="18">
        <f t="shared" si="27"/>
        <v>0</v>
      </c>
      <c r="AG69" s="34">
        <f t="shared" si="28"/>
        <v>-1.6698592821288827E-2</v>
      </c>
      <c r="AH69" s="10"/>
      <c r="AI69" s="26">
        <f>IF(C69="Camp Closed",AG69,IF(AG69&lt;'Drilling Spec'!$C$39,,'Drilling Spec'!$C$39))</f>
        <v>0</v>
      </c>
      <c r="AL69" s="16">
        <f t="shared" si="29"/>
        <v>-728.69980844307224</v>
      </c>
      <c r="AM69" s="16">
        <f t="shared" si="30"/>
        <v>-603.20853687666511</v>
      </c>
      <c r="AN69">
        <f>-'Drilling Spec'!$C$29</f>
        <v>-720</v>
      </c>
      <c r="AO69">
        <f>-'Drilling Spec'!$C$27</f>
        <v>-624</v>
      </c>
      <c r="AP69">
        <f>-'Drilling Spec'!$C$28</f>
        <v>-688</v>
      </c>
      <c r="AQ69" t="e">
        <f t="shared" si="31"/>
        <v>#N/A</v>
      </c>
      <c r="AR69" t="e">
        <f>IF(X69=0,NA(),-'Drilling Spec'!$C$29*0.1)</f>
        <v>#N/A</v>
      </c>
      <c r="AS69" t="e">
        <f>IF(Y69=0,NA(),-'Drilling Spec'!$C$29*0.1)</f>
        <v>#N/A</v>
      </c>
      <c r="AT69" t="e">
        <f>IF(AB69=0,NA(),-'Drilling Spec'!$C$29*0.2)</f>
        <v>#N/A</v>
      </c>
      <c r="AU69" t="e">
        <f>IF(AC69=0,NA(),-'Drilling Spec'!$C$29*0.2)</f>
        <v>#N/A</v>
      </c>
      <c r="AV69" t="e">
        <f>IF(AH69=0,NA(),-'Drilling Spec'!$C$29*0.3)</f>
        <v>#N/A</v>
      </c>
      <c r="AW69" t="e">
        <f>IF(AI69=0,NA(),-'Drilling Spec'!$C$29*0.3)</f>
        <v>#N/A</v>
      </c>
      <c r="AX69" s="29">
        <f t="shared" si="32"/>
        <v>1.1450406504065063</v>
      </c>
      <c r="AY69" s="29">
        <f t="shared" si="33"/>
        <v>32.145858316395092</v>
      </c>
      <c r="AZ69" s="29">
        <f t="shared" si="37"/>
        <v>-1.6698592821288827E-2</v>
      </c>
    </row>
    <row r="70" spans="1:52" x14ac:dyDescent="0.35">
      <c r="A70" s="28">
        <f t="shared" si="38"/>
        <v>46040</v>
      </c>
      <c r="B70" t="str">
        <f t="shared" si="20"/>
        <v>Sun</v>
      </c>
      <c r="C70" s="10" t="s">
        <v>10</v>
      </c>
      <c r="D70" s="10">
        <v>24</v>
      </c>
      <c r="E70" s="4">
        <f t="shared" si="21"/>
        <v>0</v>
      </c>
      <c r="F70" s="4">
        <f t="shared" si="22"/>
        <v>824</v>
      </c>
      <c r="G70" s="4">
        <f t="shared" si="23"/>
        <v>0</v>
      </c>
      <c r="H70" s="15">
        <f>(SQRT(4*I69*I69*V*V + 'Drilling Spec'!$C$42*I69 + W*('Drilling Spec'!$C$43 + 2*l*V*(s*W + 2*V*G70/(1+e)) + 'Drilling Spec'!$C$44)) - 'Drilling Spec'!$C$45)/(2*V)</f>
        <v>728.69980844307224</v>
      </c>
      <c r="I70" s="23">
        <f>IF(AND(OR(I69=0,I69=""),F70=0),IF(F71=0,"",'Drilling Spec'!$C$26),H70)</f>
        <v>728.69980844307224</v>
      </c>
      <c r="J70" s="16">
        <f>MAX(0,I70-'Drilling Spec'!$C$30)</f>
        <v>648.69980844307224</v>
      </c>
      <c r="K70" s="18">
        <f>IFERROR(J70/'Drilling Spec'!$C$31,0)</f>
        <v>43.246653896204819</v>
      </c>
      <c r="L70" s="21">
        <f t="shared" si="24"/>
        <v>24</v>
      </c>
      <c r="M70" s="4">
        <f t="shared" si="34"/>
        <v>120</v>
      </c>
      <c r="N70" s="21">
        <f t="shared" si="25"/>
        <v>1440</v>
      </c>
      <c r="O70" s="18">
        <f>(SQRT(4*O69*O69*vB*vB + 'Drilling Spec'!$C$48*O69 + WB*('Drilling Spec'!$C$49 + 2*lB*vB*(sB*WB + 2*vB*N70/(1+eB)) + 'Drilling Spec'!$C$50)) - 'Drilling Spec'!$C$51)/(2*vB)</f>
        <v>685.40606744913521</v>
      </c>
      <c r="P70" s="18">
        <f>IFERROR(((S70-'Drilling Spec'!$C$30)/'Drilling Spec'!$C$31)*'Drilling Spec'!$C$32,0)</f>
        <v>36.324364046948112</v>
      </c>
      <c r="Q70" s="18">
        <f t="shared" si="35"/>
        <v>4.9318518343482047</v>
      </c>
      <c r="R70" s="18"/>
      <c r="S70" s="26">
        <f>IF(AND(OR(T69=0,T69=""),M70=0),IF(M71=0,"",'Drilling Spec'!$C$30),O70)</f>
        <v>685.40606744913521</v>
      </c>
      <c r="U70" s="15">
        <f>E70*'Drilling Spec'!$C$22 + L70*'Drilling Spec'!$C$23</f>
        <v>0.58536585365853666</v>
      </c>
      <c r="V70" s="15">
        <f t="shared" si="36"/>
        <v>19.44032520325203</v>
      </c>
      <c r="W70" s="15">
        <f t="shared" si="26"/>
        <v>0.55967479674796961</v>
      </c>
      <c r="X70" s="10"/>
      <c r="Y70" s="30">
        <f>IF(W70&lt;U71,'Drilling Spec'!$C$35,0)</f>
        <v>0</v>
      </c>
      <c r="AA70" s="4">
        <f t="shared" si="39"/>
        <v>44</v>
      </c>
      <c r="AB70" s="10"/>
      <c r="AC70" s="30">
        <f>IF('04-07-25-Scen4-ExFrontloadCargo'!K71&gt;'04-07-25-Scen4-ExFrontloadCargo'!AA70,'Drilling Spec'!$C$36,)</f>
        <v>0</v>
      </c>
      <c r="AE70" s="18">
        <f>(I70-'Drilling Spec'!$C$26)/'Drilling Spec'!$C$38</f>
        <v>109.78330140717871</v>
      </c>
      <c r="AF70" s="18">
        <f t="shared" si="27"/>
        <v>0</v>
      </c>
      <c r="AG70" s="34">
        <f t="shared" si="28"/>
        <v>-1.6698592821288827E-2</v>
      </c>
      <c r="AH70" s="10"/>
      <c r="AI70" s="26">
        <f>IF(C70="Camp Closed",AG70,IF(AG70&lt;'Drilling Spec'!$C$39,,'Drilling Spec'!$C$39))</f>
        <v>0</v>
      </c>
      <c r="AL70" s="16">
        <f t="shared" si="29"/>
        <v>-728.69980844307224</v>
      </c>
      <c r="AM70" s="16">
        <f t="shared" si="30"/>
        <v>-685.40606744913521</v>
      </c>
      <c r="AN70">
        <f>-'Drilling Spec'!$C$29</f>
        <v>-720</v>
      </c>
      <c r="AO70">
        <f>-'Drilling Spec'!$C$27</f>
        <v>-624</v>
      </c>
      <c r="AP70">
        <f>-'Drilling Spec'!$C$28</f>
        <v>-688</v>
      </c>
      <c r="AQ70" t="e">
        <f t="shared" si="31"/>
        <v>#N/A</v>
      </c>
      <c r="AR70" t="e">
        <f>IF(X70=0,NA(),-'Drilling Spec'!$C$29*0.1)</f>
        <v>#N/A</v>
      </c>
      <c r="AS70" t="e">
        <f>IF(Y70=0,NA(),-'Drilling Spec'!$C$29*0.1)</f>
        <v>#N/A</v>
      </c>
      <c r="AT70" t="e">
        <f>IF(AB70=0,NA(),-'Drilling Spec'!$C$29*0.2)</f>
        <v>#N/A</v>
      </c>
      <c r="AU70" t="e">
        <f>IF(AC70=0,NA(),-'Drilling Spec'!$C$29*0.2)</f>
        <v>#N/A</v>
      </c>
      <c r="AV70" t="e">
        <f>IF(AH70=0,NA(),-'Drilling Spec'!$C$29*0.3)</f>
        <v>#N/A</v>
      </c>
      <c r="AW70" t="e">
        <f>IF(AI70=0,NA(),-'Drilling Spec'!$C$29*0.3)</f>
        <v>#N/A</v>
      </c>
      <c r="AX70" s="29">
        <f t="shared" si="32"/>
        <v>0.55967479674796961</v>
      </c>
      <c r="AY70" s="29">
        <f t="shared" si="33"/>
        <v>37.077710150743293</v>
      </c>
      <c r="AZ70" s="29">
        <f t="shared" si="37"/>
        <v>-1.6698592821288827E-2</v>
      </c>
    </row>
    <row r="71" spans="1:52" x14ac:dyDescent="0.35">
      <c r="A71" s="28">
        <f t="shared" si="38"/>
        <v>46041</v>
      </c>
      <c r="B71" t="str">
        <f t="shared" si="20"/>
        <v>Mon</v>
      </c>
      <c r="C71" s="10" t="s">
        <v>10</v>
      </c>
      <c r="D71" s="10">
        <v>12</v>
      </c>
      <c r="E71" s="4">
        <f t="shared" si="21"/>
        <v>0</v>
      </c>
      <c r="F71" s="4">
        <f t="shared" si="22"/>
        <v>824</v>
      </c>
      <c r="G71" s="4">
        <f t="shared" si="23"/>
        <v>0</v>
      </c>
      <c r="H71" s="15">
        <f>(SQRT(4*I70*I70*V*V + 'Drilling Spec'!$C$42*I70 + W*('Drilling Spec'!$C$43 + 2*l*V*(s*W + 2*V*G71/(1+e)) + 'Drilling Spec'!$C$44)) - 'Drilling Spec'!$C$45)/(2*V)</f>
        <v>728.69980844307224</v>
      </c>
      <c r="I71" s="23">
        <f>IF(AND(OR(I70=0,I70=""),F71=0),IF(F72=0,"",'Drilling Spec'!$C$26),H71)</f>
        <v>728.69980844307224</v>
      </c>
      <c r="J71" s="16">
        <f>MAX(0,I71-'Drilling Spec'!$C$30)</f>
        <v>648.69980844307224</v>
      </c>
      <c r="K71" s="18">
        <f>IFERROR(J71/'Drilling Spec'!$C$31,0)</f>
        <v>43.246653896204819</v>
      </c>
      <c r="L71" s="21">
        <f t="shared" si="24"/>
        <v>12</v>
      </c>
      <c r="M71" s="4">
        <f t="shared" si="34"/>
        <v>132</v>
      </c>
      <c r="N71" s="21">
        <f t="shared" si="25"/>
        <v>720</v>
      </c>
      <c r="O71" s="18">
        <f>(SQRT(4*O70*O70*vB*vB + 'Drilling Spec'!$C$48*O70 + WB*('Drilling Spec'!$C$49 + 2*lB*vB*(sB*WB + 2*vB*N71/(1+eB)) + 'Drilling Spec'!$C$50)) - 'Drilling Spec'!$C$51)/(2*vB)</f>
        <v>723.46681615545504</v>
      </c>
      <c r="P71" s="18">
        <f>IFERROR(((S71-'Drilling Spec'!$C$30)/'Drilling Spec'!$C$31)*'Drilling Spec'!$C$32,0)</f>
        <v>38.608008969327301</v>
      </c>
      <c r="Q71" s="18">
        <f t="shared" si="35"/>
        <v>2.2836449223791888</v>
      </c>
      <c r="R71" s="18"/>
      <c r="S71" s="26">
        <f>IF(AND(OR(T70=0,T70=""),M71=0),IF(M72=0,"",'Drilling Spec'!$C$30),O71)</f>
        <v>723.46681615545504</v>
      </c>
      <c r="U71" s="15">
        <f>E71*'Drilling Spec'!$C$22 + L71*'Drilling Spec'!$C$23</f>
        <v>0.29268292682926833</v>
      </c>
      <c r="V71" s="15">
        <f t="shared" si="36"/>
        <v>19.733008130081299</v>
      </c>
      <c r="W71" s="15">
        <f t="shared" si="26"/>
        <v>0.26699186991870127</v>
      </c>
      <c r="X71" s="10"/>
      <c r="Y71" s="30">
        <f>IF(W71&lt;U72,'Drilling Spec'!$C$35,0)</f>
        <v>0</v>
      </c>
      <c r="AA71" s="4">
        <f t="shared" si="39"/>
        <v>44</v>
      </c>
      <c r="AB71" s="10"/>
      <c r="AC71" s="30">
        <f>IF('04-07-25-Scen4-ExFrontloadCargo'!K72&gt;'04-07-25-Scen4-ExFrontloadCargo'!AA71,'Drilling Spec'!$C$36,)</f>
        <v>0</v>
      </c>
      <c r="AE71" s="18">
        <f>(I71-'Drilling Spec'!$C$26)/'Drilling Spec'!$C$38</f>
        <v>109.78330140717871</v>
      </c>
      <c r="AF71" s="18">
        <f t="shared" si="27"/>
        <v>0</v>
      </c>
      <c r="AG71" s="34">
        <f t="shared" si="28"/>
        <v>-1.6698592821288827E-2</v>
      </c>
      <c r="AH71" s="10"/>
      <c r="AI71" s="26">
        <f>IF(C71="Camp Closed",AG71,IF(AG71&lt;'Drilling Spec'!$C$39,,'Drilling Spec'!$C$39))</f>
        <v>0</v>
      </c>
      <c r="AL71" s="16">
        <f t="shared" si="29"/>
        <v>-728.69980844307224</v>
      </c>
      <c r="AM71" s="16">
        <f t="shared" si="30"/>
        <v>-723.46681615545504</v>
      </c>
      <c r="AN71">
        <f>-'Drilling Spec'!$C$29</f>
        <v>-720</v>
      </c>
      <c r="AO71">
        <f>-'Drilling Spec'!$C$27</f>
        <v>-624</v>
      </c>
      <c r="AP71">
        <f>-'Drilling Spec'!$C$28</f>
        <v>-688</v>
      </c>
      <c r="AQ71" t="e">
        <f t="shared" si="31"/>
        <v>#N/A</v>
      </c>
      <c r="AR71" t="e">
        <f>IF(X71=0,NA(),-'Drilling Spec'!$C$29*0.1)</f>
        <v>#N/A</v>
      </c>
      <c r="AS71" t="e">
        <f>IF(Y71=0,NA(),-'Drilling Spec'!$C$29*0.1)</f>
        <v>#N/A</v>
      </c>
      <c r="AT71" t="e">
        <f>IF(AB71=0,NA(),-'Drilling Spec'!$C$29*0.2)</f>
        <v>#N/A</v>
      </c>
      <c r="AU71" t="e">
        <f>IF(AC71=0,NA(),-'Drilling Spec'!$C$29*0.2)</f>
        <v>#N/A</v>
      </c>
      <c r="AV71" t="e">
        <f>IF(AH71=0,NA(),-'Drilling Spec'!$C$29*0.3)</f>
        <v>#N/A</v>
      </c>
      <c r="AW71" t="e">
        <f>IF(AI71=0,NA(),-'Drilling Spec'!$C$29*0.3)</f>
        <v>#N/A</v>
      </c>
      <c r="AX71" s="29">
        <f t="shared" si="32"/>
        <v>0.26699186991870127</v>
      </c>
      <c r="AY71" s="29">
        <f t="shared" si="33"/>
        <v>39.361355073122482</v>
      </c>
      <c r="AZ71" s="29">
        <f t="shared" si="37"/>
        <v>-1.6698592821288827E-2</v>
      </c>
    </row>
    <row r="72" spans="1:52" x14ac:dyDescent="0.35">
      <c r="A72" s="28">
        <f t="shared" si="38"/>
        <v>46042</v>
      </c>
      <c r="B72" t="str">
        <f t="shared" si="20"/>
        <v>Tue</v>
      </c>
      <c r="C72" s="10" t="s">
        <v>68</v>
      </c>
      <c r="D72" s="10">
        <v>12</v>
      </c>
      <c r="E72" s="4">
        <f t="shared" si="21"/>
        <v>0</v>
      </c>
      <c r="F72" s="4">
        <f t="shared" si="22"/>
        <v>824</v>
      </c>
      <c r="G72" s="4">
        <f t="shared" si="23"/>
        <v>0</v>
      </c>
      <c r="H72" s="15">
        <f>(SQRT(4*I71*I71*V*V + 'Drilling Spec'!$C$42*I71 + W*('Drilling Spec'!$C$43 + 2*l*V*(s*W + 2*V*G72/(1+e)) + 'Drilling Spec'!$C$44)) - 'Drilling Spec'!$C$45)/(2*V)</f>
        <v>728.69980844307224</v>
      </c>
      <c r="I72" s="23">
        <f>IF(AND(OR(I71=0,I71=""),F72=0),IF(F73=0,"",'Drilling Spec'!$C$26),H72)</f>
        <v>728.69980844307224</v>
      </c>
      <c r="J72" s="16">
        <f>MAX(0,I72-'Drilling Spec'!$C$30)</f>
        <v>648.69980844307224</v>
      </c>
      <c r="K72" s="18">
        <f>IFERROR(J72/'Drilling Spec'!$C$31,0)</f>
        <v>43.246653896204819</v>
      </c>
      <c r="L72" s="21">
        <f t="shared" si="24"/>
        <v>0</v>
      </c>
      <c r="M72" s="4">
        <f t="shared" si="34"/>
        <v>132</v>
      </c>
      <c r="N72" s="21">
        <f t="shared" si="25"/>
        <v>0</v>
      </c>
      <c r="O72" s="18">
        <f>(SQRT(4*O71*O71*vB*vB + 'Drilling Spec'!$C$48*O71 + WB*('Drilling Spec'!$C$49 + 2*lB*vB*(sB*WB + 2*vB*N72/(1+eB)) + 'Drilling Spec'!$C$50)) - 'Drilling Spec'!$C$51)/(2*vB)</f>
        <v>723.46681615545504</v>
      </c>
      <c r="P72" s="18">
        <f>IFERROR(((S72-'Drilling Spec'!$C$30)/'Drilling Spec'!$C$31)*'Drilling Spec'!$C$32,0)</f>
        <v>38.608008969327301</v>
      </c>
      <c r="Q72" s="18">
        <f t="shared" si="35"/>
        <v>0</v>
      </c>
      <c r="R72" s="18"/>
      <c r="S72" s="26">
        <f>IF(AND(OR(T71=0,T71=""),M72=0),IF(M73=0,"",'Drilling Spec'!$C$30),O72)</f>
        <v>723.46681615545504</v>
      </c>
      <c r="U72" s="15">
        <f>E72*'Drilling Spec'!$C$22 + L72*'Drilling Spec'!$C$23</f>
        <v>0</v>
      </c>
      <c r="V72" s="15">
        <f t="shared" si="36"/>
        <v>19.733008130081299</v>
      </c>
      <c r="W72" s="15">
        <f t="shared" si="26"/>
        <v>0.26699186991870127</v>
      </c>
      <c r="X72" s="10"/>
      <c r="Y72" s="30">
        <f>IF(W72&lt;U73,'Drilling Spec'!$C$35,0)</f>
        <v>0</v>
      </c>
      <c r="AA72" s="4">
        <f t="shared" si="39"/>
        <v>44</v>
      </c>
      <c r="AB72" s="10"/>
      <c r="AC72" s="30">
        <f>IF('04-07-25-Scen4-ExFrontloadCargo'!K73&gt;'04-07-25-Scen4-ExFrontloadCargo'!AA72,'Drilling Spec'!$C$36,)</f>
        <v>0</v>
      </c>
      <c r="AE72" s="18">
        <f>(I72-'Drilling Spec'!$C$26)/'Drilling Spec'!$C$38</f>
        <v>109.78330140717871</v>
      </c>
      <c r="AF72" s="18">
        <f t="shared" si="27"/>
        <v>0</v>
      </c>
      <c r="AG72" s="34">
        <f t="shared" si="28"/>
        <v>-1.6698592821288827E-2</v>
      </c>
      <c r="AH72" s="10"/>
      <c r="AI72" s="26">
        <f>IF(C72="Camp Closed",AG72,IF(AG72&lt;'Drilling Spec'!$C$39,,'Drilling Spec'!$C$39))</f>
        <v>0</v>
      </c>
      <c r="AL72" s="16">
        <f t="shared" si="29"/>
        <v>-728.69980844307224</v>
      </c>
      <c r="AM72" s="16">
        <f t="shared" si="30"/>
        <v>-723.46681615545504</v>
      </c>
      <c r="AN72">
        <f>-'Drilling Spec'!$C$29</f>
        <v>-720</v>
      </c>
      <c r="AO72">
        <f>-'Drilling Spec'!$C$27</f>
        <v>-624</v>
      </c>
      <c r="AP72">
        <f>-'Drilling Spec'!$C$28</f>
        <v>-688</v>
      </c>
      <c r="AQ72" t="e">
        <f t="shared" si="31"/>
        <v>#N/A</v>
      </c>
      <c r="AR72" t="e">
        <f>IF(X72=0,NA(),-'Drilling Spec'!$C$29*0.1)</f>
        <v>#N/A</v>
      </c>
      <c r="AS72" t="e">
        <f>IF(Y72=0,NA(),-'Drilling Spec'!$C$29*0.1)</f>
        <v>#N/A</v>
      </c>
      <c r="AT72" t="e">
        <f>IF(AB72=0,NA(),-'Drilling Spec'!$C$29*0.2)</f>
        <v>#N/A</v>
      </c>
      <c r="AU72" t="e">
        <f>IF(AC72=0,NA(),-'Drilling Spec'!$C$29*0.2)</f>
        <v>#N/A</v>
      </c>
      <c r="AV72" t="e">
        <f>IF(AH72=0,NA(),-'Drilling Spec'!$C$29*0.3)</f>
        <v>#N/A</v>
      </c>
      <c r="AW72" t="e">
        <f>IF(AI72=0,NA(),-'Drilling Spec'!$C$29*0.3)</f>
        <v>#N/A</v>
      </c>
      <c r="AX72" s="29">
        <f t="shared" si="32"/>
        <v>0.26699186991870127</v>
      </c>
      <c r="AY72" s="29">
        <f t="shared" si="33"/>
        <v>39.361355073122482</v>
      </c>
      <c r="AZ72" s="29">
        <f t="shared" si="37"/>
        <v>-1.6698592821288827E-2</v>
      </c>
    </row>
    <row r="73" spans="1:52" x14ac:dyDescent="0.35">
      <c r="A73" s="28">
        <f t="shared" si="38"/>
        <v>46043</v>
      </c>
      <c r="B73" t="str">
        <f t="shared" si="20"/>
        <v>Wed</v>
      </c>
      <c r="C73" s="10" t="s">
        <v>68</v>
      </c>
      <c r="D73" s="10">
        <v>12</v>
      </c>
      <c r="E73" s="4">
        <f t="shared" si="21"/>
        <v>0</v>
      </c>
      <c r="F73" s="4">
        <f t="shared" si="22"/>
        <v>824</v>
      </c>
      <c r="G73" s="4">
        <f t="shared" si="23"/>
        <v>0</v>
      </c>
      <c r="H73" s="15">
        <f>(SQRT(4*I72*I72*V*V + 'Drilling Spec'!$C$42*I72 + W*('Drilling Spec'!$C$43 + 2*l*V*(s*W + 2*V*G73/(1+e)) + 'Drilling Spec'!$C$44)) - 'Drilling Spec'!$C$45)/(2*V)</f>
        <v>728.69980844307224</v>
      </c>
      <c r="I73" s="23">
        <f>IF(AND(OR(I72=0,I72=""),F73=0),IF(F74=0,"",'Drilling Spec'!$C$26),H73)</f>
        <v>728.69980844307224</v>
      </c>
      <c r="J73" s="16">
        <f>MAX(0,I73-'Drilling Spec'!$C$30)</f>
        <v>648.69980844307224</v>
      </c>
      <c r="K73" s="18">
        <f>IFERROR(J73/'Drilling Spec'!$C$31,0)</f>
        <v>43.246653896204819</v>
      </c>
      <c r="L73" s="21">
        <f t="shared" si="24"/>
        <v>0</v>
      </c>
      <c r="M73" s="4">
        <f t="shared" si="34"/>
        <v>132</v>
      </c>
      <c r="N73" s="21">
        <f t="shared" si="25"/>
        <v>0</v>
      </c>
      <c r="O73" s="18">
        <f>(SQRT(4*O72*O72*vB*vB + 'Drilling Spec'!$C$48*O72 + WB*('Drilling Spec'!$C$49 + 2*lB*vB*(sB*WB + 2*vB*N73/(1+eB)) + 'Drilling Spec'!$C$50)) - 'Drilling Spec'!$C$51)/(2*vB)</f>
        <v>723.46681615545504</v>
      </c>
      <c r="P73" s="18">
        <f>IFERROR(((S73-'Drilling Spec'!$C$30)/'Drilling Spec'!$C$31)*'Drilling Spec'!$C$32,0)</f>
        <v>38.608008969327301</v>
      </c>
      <c r="Q73" s="18">
        <f t="shared" si="35"/>
        <v>0</v>
      </c>
      <c r="R73" s="18"/>
      <c r="S73" s="26">
        <f>IF(AND(OR(T72=0,T72=""),M73=0),IF(M74=0,"",'Drilling Spec'!$C$30),O73)</f>
        <v>723.46681615545504</v>
      </c>
      <c r="U73" s="15">
        <f>E73*'Drilling Spec'!$C$22 + L73*'Drilling Spec'!$C$23</f>
        <v>0</v>
      </c>
      <c r="V73" s="15">
        <f t="shared" si="36"/>
        <v>19.733008130081299</v>
      </c>
      <c r="W73" s="15">
        <f t="shared" si="26"/>
        <v>0.26699186991870127</v>
      </c>
      <c r="X73" s="10"/>
      <c r="Y73" s="30">
        <f>IF(W73&lt;U74,'Drilling Spec'!$C$35,0)</f>
        <v>0</v>
      </c>
      <c r="AA73" s="4">
        <f t="shared" si="39"/>
        <v>44</v>
      </c>
      <c r="AB73" s="10"/>
      <c r="AC73" s="30">
        <f>IF('04-07-25-Scen4-ExFrontloadCargo'!K74&gt;'04-07-25-Scen4-ExFrontloadCargo'!AA73,'Drilling Spec'!$C$36,)</f>
        <v>0</v>
      </c>
      <c r="AE73" s="18">
        <f>(I73-'Drilling Spec'!$C$26)/'Drilling Spec'!$C$38</f>
        <v>109.78330140717871</v>
      </c>
      <c r="AF73" s="18">
        <f t="shared" si="27"/>
        <v>0</v>
      </c>
      <c r="AG73" s="34">
        <f t="shared" si="28"/>
        <v>-1.6698592821288827E-2</v>
      </c>
      <c r="AH73" s="10"/>
      <c r="AI73" s="26">
        <f>IF(C73="Camp Closed",AG73,IF(AG73&lt;'Drilling Spec'!$C$39,,'Drilling Spec'!$C$39))</f>
        <v>0</v>
      </c>
      <c r="AL73" s="16">
        <f t="shared" si="29"/>
        <v>-728.69980844307224</v>
      </c>
      <c r="AM73" s="16">
        <f t="shared" si="30"/>
        <v>-723.46681615545504</v>
      </c>
      <c r="AN73">
        <f>-'Drilling Spec'!$C$29</f>
        <v>-720</v>
      </c>
      <c r="AO73">
        <f>-'Drilling Spec'!$C$27</f>
        <v>-624</v>
      </c>
      <c r="AP73">
        <f>-'Drilling Spec'!$C$28</f>
        <v>-688</v>
      </c>
      <c r="AQ73" t="e">
        <f t="shared" si="31"/>
        <v>#N/A</v>
      </c>
      <c r="AR73" t="e">
        <f>IF(X73=0,NA(),-'Drilling Spec'!$C$29*0.1)</f>
        <v>#N/A</v>
      </c>
      <c r="AS73" t="e">
        <f>IF(Y73=0,NA(),-'Drilling Spec'!$C$29*0.1)</f>
        <v>#N/A</v>
      </c>
      <c r="AT73" t="e">
        <f>IF(AB73=0,NA(),-'Drilling Spec'!$C$29*0.2)</f>
        <v>#N/A</v>
      </c>
      <c r="AU73" t="e">
        <f>IF(AC73=0,NA(),-'Drilling Spec'!$C$29*0.2)</f>
        <v>#N/A</v>
      </c>
      <c r="AV73" t="e">
        <f>IF(AH73=0,NA(),-'Drilling Spec'!$C$29*0.3)</f>
        <v>#N/A</v>
      </c>
      <c r="AW73" t="e">
        <f>IF(AI73=0,NA(),-'Drilling Spec'!$C$29*0.3)</f>
        <v>#N/A</v>
      </c>
      <c r="AX73" s="29">
        <f t="shared" si="32"/>
        <v>0.26699186991870127</v>
      </c>
      <c r="AY73" s="29">
        <f t="shared" si="33"/>
        <v>39.361355073122482</v>
      </c>
      <c r="AZ73" s="29">
        <f t="shared" si="37"/>
        <v>-1.6698592821288827E-2</v>
      </c>
    </row>
    <row r="74" spans="1:52" x14ac:dyDescent="0.35">
      <c r="A74" s="28">
        <f t="shared" si="38"/>
        <v>46044</v>
      </c>
      <c r="B74" t="str">
        <f t="shared" si="20"/>
        <v>Thu</v>
      </c>
      <c r="C74" s="10" t="s">
        <v>70</v>
      </c>
      <c r="D74" s="10">
        <v>12</v>
      </c>
      <c r="E74" s="4">
        <f t="shared" si="21"/>
        <v>0</v>
      </c>
      <c r="F74" s="4">
        <f t="shared" si="22"/>
        <v>824</v>
      </c>
      <c r="G74" s="4">
        <f t="shared" si="23"/>
        <v>0</v>
      </c>
      <c r="H74" s="15">
        <f>(SQRT(4*I73*I73*V*V + 'Drilling Spec'!$C$42*I73 + W*('Drilling Spec'!$C$43 + 2*l*V*(s*W + 2*V*G74/(1+e)) + 'Drilling Spec'!$C$44)) - 'Drilling Spec'!$C$45)/(2*V)</f>
        <v>728.69980844307224</v>
      </c>
      <c r="I74" s="23">
        <f>IF(AND(OR(I73=0,I73=""),F74=0),IF(F75=0,"",'Drilling Spec'!$C$26),H74)</f>
        <v>728.69980844307224</v>
      </c>
      <c r="J74" s="16">
        <f>MAX(0,I74-'Drilling Spec'!$C$30)</f>
        <v>648.69980844307224</v>
      </c>
      <c r="K74" s="18">
        <f>IFERROR(J74/'Drilling Spec'!$C$31,0)</f>
        <v>43.246653896204819</v>
      </c>
      <c r="L74" s="21">
        <f t="shared" si="24"/>
        <v>0</v>
      </c>
      <c r="M74" s="4">
        <f t="shared" si="34"/>
        <v>132</v>
      </c>
      <c r="N74" s="21">
        <f t="shared" si="25"/>
        <v>0</v>
      </c>
      <c r="O74" s="18">
        <f>(SQRT(4*O73*O73*vB*vB + 'Drilling Spec'!$C$48*O73 + WB*('Drilling Spec'!$C$49 + 2*lB*vB*(sB*WB + 2*vB*N74/(1+eB)) + 'Drilling Spec'!$C$50)) - 'Drilling Spec'!$C$51)/(2*vB)</f>
        <v>723.46681615545504</v>
      </c>
      <c r="P74" s="18">
        <f>IFERROR(((S74-'Drilling Spec'!$C$30)/'Drilling Spec'!$C$31)*'Drilling Spec'!$C$32,0)</f>
        <v>38.608008969327301</v>
      </c>
      <c r="Q74" s="18">
        <f t="shared" si="35"/>
        <v>0</v>
      </c>
      <c r="R74" s="18"/>
      <c r="S74" s="26">
        <f>IF(AND(OR(T73=0,T73=""),M74=0),IF(M75=0,"",'Drilling Spec'!$C$30),O74)</f>
        <v>723.46681615545504</v>
      </c>
      <c r="U74" s="15">
        <f>E74*'Drilling Spec'!$C$22 + L74*'Drilling Spec'!$C$23</f>
        <v>0</v>
      </c>
      <c r="V74" s="15">
        <f t="shared" si="36"/>
        <v>19.733008130081299</v>
      </c>
      <c r="W74" s="15">
        <f t="shared" si="26"/>
        <v>0.26699186991870127</v>
      </c>
      <c r="X74" s="10"/>
      <c r="Y74" s="30">
        <f>IF(W74&lt;U75,'Drilling Spec'!$C$35,0)</f>
        <v>0</v>
      </c>
      <c r="AA74" s="4">
        <f>AA73+AC73+AB74</f>
        <v>44</v>
      </c>
      <c r="AB74" s="10"/>
      <c r="AC74" s="30">
        <f>IF('04-07-25-Scen4-ExFrontloadCargo'!K75&gt;'04-07-25-Scen4-ExFrontloadCargo'!AA74,'Drilling Spec'!$C$36,)</f>
        <v>0</v>
      </c>
      <c r="AE74" s="18">
        <f>(I74-'Drilling Spec'!$C$26)/'Drilling Spec'!$C$38</f>
        <v>109.78330140717871</v>
      </c>
      <c r="AF74" s="18">
        <f t="shared" si="27"/>
        <v>0</v>
      </c>
      <c r="AG74" s="34">
        <f t="shared" si="28"/>
        <v>-1.6698592821288827E-2</v>
      </c>
      <c r="AH74" s="10"/>
      <c r="AI74" s="26">
        <f>IF(C74="Camp Closed",AG74,IF(AG74&lt;'Drilling Spec'!$C$39,,'Drilling Spec'!$C$39))</f>
        <v>0</v>
      </c>
      <c r="AL74" s="16">
        <f t="shared" si="29"/>
        <v>-728.69980844307224</v>
      </c>
      <c r="AM74" s="16">
        <f t="shared" si="30"/>
        <v>-723.46681615545504</v>
      </c>
      <c r="AN74">
        <f>-'Drilling Spec'!$C$29</f>
        <v>-720</v>
      </c>
      <c r="AO74">
        <f>-'Drilling Spec'!$C$27</f>
        <v>-624</v>
      </c>
      <c r="AP74">
        <f>-'Drilling Spec'!$C$28</f>
        <v>-688</v>
      </c>
      <c r="AQ74" t="e">
        <f t="shared" si="31"/>
        <v>#N/A</v>
      </c>
      <c r="AR74" t="e">
        <f>IF(X74=0,NA(),-'Drilling Spec'!$C$29*0.1)</f>
        <v>#N/A</v>
      </c>
      <c r="AS74" t="e">
        <f>IF(Y74=0,NA(),-'Drilling Spec'!$C$29*0.1)</f>
        <v>#N/A</v>
      </c>
      <c r="AT74" t="e">
        <f>IF(AB74=0,NA(),-'Drilling Spec'!$C$29*0.2)</f>
        <v>#N/A</v>
      </c>
      <c r="AU74" t="e">
        <f>IF(AC74=0,NA(),-'Drilling Spec'!$C$29*0.2)</f>
        <v>#N/A</v>
      </c>
      <c r="AV74" t="e">
        <f>IF(AH74=0,NA(),-'Drilling Spec'!$C$29*0.3)</f>
        <v>#N/A</v>
      </c>
      <c r="AW74" t="e">
        <f>IF(AI74=0,NA(),-'Drilling Spec'!$C$29*0.3)</f>
        <v>#N/A</v>
      </c>
      <c r="AX74" s="29">
        <f t="shared" si="32"/>
        <v>0.26699186991870127</v>
      </c>
      <c r="AY74" s="29">
        <f t="shared" si="33"/>
        <v>39.361355073122482</v>
      </c>
      <c r="AZ74" s="29">
        <f t="shared" si="37"/>
        <v>-1.6698592821288827E-2</v>
      </c>
    </row>
    <row r="75" spans="1:52" x14ac:dyDescent="0.35">
      <c r="A75" s="28">
        <f t="shared" si="38"/>
        <v>46045</v>
      </c>
      <c r="B75" t="str">
        <f t="shared" si="20"/>
        <v>Fri</v>
      </c>
      <c r="C75" s="10" t="s">
        <v>70</v>
      </c>
      <c r="D75" s="10">
        <v>12</v>
      </c>
      <c r="E75" s="4">
        <f t="shared" si="21"/>
        <v>0</v>
      </c>
      <c r="F75" s="4">
        <f t="shared" si="22"/>
        <v>824</v>
      </c>
      <c r="G75" s="4">
        <f t="shared" si="23"/>
        <v>0</v>
      </c>
      <c r="H75" s="15">
        <f>(SQRT(4*I74*I74*V*V + 'Drilling Spec'!$C$42*I74 + W*('Drilling Spec'!$C$43 + 2*l*V*(s*W + 2*V*G75/(1+e)) + 'Drilling Spec'!$C$44)) - 'Drilling Spec'!$C$45)/(2*V)</f>
        <v>728.69980844307224</v>
      </c>
      <c r="I75" s="23">
        <f>IF(AND(OR(I74=0,I74=""),F75=0),IF(F76=0,"",'Drilling Spec'!$C$26),H75)</f>
        <v>728.69980844307224</v>
      </c>
      <c r="J75" s="16">
        <f>MAX(0,I75-'Drilling Spec'!$C$30)</f>
        <v>648.69980844307224</v>
      </c>
      <c r="K75" s="18">
        <f>IFERROR(J75/'Drilling Spec'!$C$31,0)</f>
        <v>43.246653896204819</v>
      </c>
      <c r="L75" s="21">
        <f t="shared" si="24"/>
        <v>0</v>
      </c>
      <c r="M75" s="4">
        <f t="shared" si="34"/>
        <v>132</v>
      </c>
      <c r="N75" s="21">
        <f t="shared" si="25"/>
        <v>0</v>
      </c>
      <c r="O75" s="18">
        <f>(SQRT(4*O74*O74*vB*vB + 'Drilling Spec'!$C$48*O74 + WB*('Drilling Spec'!$C$49 + 2*lB*vB*(sB*WB + 2*vB*N75/(1+eB)) + 'Drilling Spec'!$C$50)) - 'Drilling Spec'!$C$51)/(2*vB)</f>
        <v>723.46681615545504</v>
      </c>
      <c r="P75" s="18">
        <f>IFERROR(((S75-'Drilling Spec'!$C$30)/'Drilling Spec'!$C$31)*'Drilling Spec'!$C$32,0)</f>
        <v>38.608008969327301</v>
      </c>
      <c r="Q75" s="18">
        <f t="shared" si="35"/>
        <v>0</v>
      </c>
      <c r="R75" s="18"/>
      <c r="S75" s="26">
        <f>IF(AND(OR(T74=0,T74=""),M75=0),IF(M76=0,"",'Drilling Spec'!$C$30),O75)</f>
        <v>723.46681615545504</v>
      </c>
      <c r="U75" s="15">
        <f>E75*'Drilling Spec'!$C$22 + L75*'Drilling Spec'!$C$23</f>
        <v>0</v>
      </c>
      <c r="V75" s="15">
        <f t="shared" si="36"/>
        <v>19.733008130081299</v>
      </c>
      <c r="W75" s="15">
        <f t="shared" si="26"/>
        <v>0.26699186991870127</v>
      </c>
      <c r="X75" s="10"/>
      <c r="Y75" s="30">
        <f>IF(W75&lt;U76,'Drilling Spec'!$C$35,0)</f>
        <v>0</v>
      </c>
      <c r="AA75" s="4">
        <f t="shared" ref="AA75:AA112" si="40">AA74+AC74+AB75</f>
        <v>44</v>
      </c>
      <c r="AB75" s="10"/>
      <c r="AC75" s="30">
        <f>IF('04-07-25-Scen4-ExFrontloadCargo'!K76&gt;'04-07-25-Scen4-ExFrontloadCargo'!AA75,'Drilling Spec'!$C$36,)</f>
        <v>0</v>
      </c>
      <c r="AE75" s="18">
        <f>(I75-'Drilling Spec'!$C$26)/'Drilling Spec'!$C$38</f>
        <v>109.78330140717871</v>
      </c>
      <c r="AF75" s="18">
        <f t="shared" si="27"/>
        <v>0</v>
      </c>
      <c r="AG75" s="34">
        <f t="shared" si="28"/>
        <v>-1.6698592821288827E-2</v>
      </c>
      <c r="AH75" s="10"/>
      <c r="AI75" s="26">
        <f>IF(C75="Camp Closed",AG75,IF(AG75&lt;'Drilling Spec'!$C$39,,'Drilling Spec'!$C$39))</f>
        <v>0</v>
      </c>
      <c r="AL75" s="16">
        <f t="shared" si="29"/>
        <v>-728.69980844307224</v>
      </c>
      <c r="AM75" s="16">
        <f t="shared" si="30"/>
        <v>-723.46681615545504</v>
      </c>
      <c r="AN75">
        <f>-'Drilling Spec'!$C$29</f>
        <v>-720</v>
      </c>
      <c r="AO75">
        <f>-'Drilling Spec'!$C$27</f>
        <v>-624</v>
      </c>
      <c r="AP75">
        <f>-'Drilling Spec'!$C$28</f>
        <v>-688</v>
      </c>
      <c r="AQ75" t="e">
        <f t="shared" si="31"/>
        <v>#N/A</v>
      </c>
      <c r="AR75" t="e">
        <f>IF(X75=0,NA(),-'Drilling Spec'!$C$29*0.1)</f>
        <v>#N/A</v>
      </c>
      <c r="AS75" t="e">
        <f>IF(Y75=0,NA(),-'Drilling Spec'!$C$29*0.1)</f>
        <v>#N/A</v>
      </c>
      <c r="AT75" t="e">
        <f>IF(AB75=0,NA(),-'Drilling Spec'!$C$29*0.2)</f>
        <v>#N/A</v>
      </c>
      <c r="AU75" t="e">
        <f>IF(AC75=0,NA(),-'Drilling Spec'!$C$29*0.2)</f>
        <v>#N/A</v>
      </c>
      <c r="AV75" t="e">
        <f>IF(AH75=0,NA(),-'Drilling Spec'!$C$29*0.3)</f>
        <v>#N/A</v>
      </c>
      <c r="AW75" t="e">
        <f>IF(AI75=0,NA(),-'Drilling Spec'!$C$29*0.3)</f>
        <v>#N/A</v>
      </c>
      <c r="AX75" s="29">
        <f t="shared" si="32"/>
        <v>0.26699186991870127</v>
      </c>
      <c r="AY75" s="29">
        <f t="shared" si="33"/>
        <v>39.361355073122482</v>
      </c>
      <c r="AZ75" s="29">
        <f t="shared" si="37"/>
        <v>-1.6698592821288827E-2</v>
      </c>
    </row>
    <row r="76" spans="1:52" x14ac:dyDescent="0.35">
      <c r="A76" s="28">
        <f t="shared" si="38"/>
        <v>46046</v>
      </c>
      <c r="B76" t="str">
        <f t="shared" si="20"/>
        <v>Sat</v>
      </c>
      <c r="C76" s="10" t="s">
        <v>70</v>
      </c>
      <c r="D76" s="10">
        <v>12</v>
      </c>
      <c r="E76" s="4">
        <f t="shared" si="21"/>
        <v>0</v>
      </c>
      <c r="F76" s="4">
        <f t="shared" si="22"/>
        <v>824</v>
      </c>
      <c r="G76" s="4">
        <f t="shared" si="23"/>
        <v>0</v>
      </c>
      <c r="H76" s="15">
        <f>(SQRT(4*I75*I75*V*V + 'Drilling Spec'!$C$42*I75 + W*('Drilling Spec'!$C$43 + 2*l*V*(s*W + 2*V*G76/(1+e)) + 'Drilling Spec'!$C$44)) - 'Drilling Spec'!$C$45)/(2*V)</f>
        <v>728.69980844307224</v>
      </c>
      <c r="I76" s="23">
        <f>IF(AND(OR(I75=0,I75=""),F76=0),IF(F77=0,"",'Drilling Spec'!$C$26),H76)</f>
        <v>728.69980844307224</v>
      </c>
      <c r="J76" s="16">
        <f>MAX(0,I76-'Drilling Spec'!$C$30)</f>
        <v>648.69980844307224</v>
      </c>
      <c r="K76" s="18">
        <f>IFERROR(J76/'Drilling Spec'!$C$31,0)</f>
        <v>43.246653896204819</v>
      </c>
      <c r="L76" s="21">
        <f t="shared" si="24"/>
        <v>0</v>
      </c>
      <c r="M76" s="4">
        <f t="shared" si="34"/>
        <v>132</v>
      </c>
      <c r="N76" s="21">
        <f t="shared" si="25"/>
        <v>0</v>
      </c>
      <c r="O76" s="18">
        <f>(SQRT(4*O75*O75*vB*vB + 'Drilling Spec'!$C$48*O75 + WB*('Drilling Spec'!$C$49 + 2*lB*vB*(sB*WB + 2*vB*N76/(1+eB)) + 'Drilling Spec'!$C$50)) - 'Drilling Spec'!$C$51)/(2*vB)</f>
        <v>723.46681615545504</v>
      </c>
      <c r="P76" s="18">
        <f>IFERROR(((S76-'Drilling Spec'!$C$30)/'Drilling Spec'!$C$31)*'Drilling Spec'!$C$32,0)</f>
        <v>38.608008969327301</v>
      </c>
      <c r="Q76" s="18">
        <f t="shared" si="35"/>
        <v>0</v>
      </c>
      <c r="R76" s="18"/>
      <c r="S76" s="26">
        <f>IF(AND(OR(T75=0,T75=""),M76=0),IF(M77=0,"",'Drilling Spec'!$C$30),O76)</f>
        <v>723.46681615545504</v>
      </c>
      <c r="U76" s="15">
        <f>E76*'Drilling Spec'!$C$22 + L76*'Drilling Spec'!$C$23</f>
        <v>0</v>
      </c>
      <c r="V76" s="15">
        <f t="shared" si="36"/>
        <v>19.733008130081299</v>
      </c>
      <c r="W76" s="15">
        <f t="shared" si="26"/>
        <v>0.26699186991870127</v>
      </c>
      <c r="X76" s="10"/>
      <c r="Y76" s="30">
        <f>IF(W76&lt;U77,'Drilling Spec'!$C$35,0)</f>
        <v>0</v>
      </c>
      <c r="AA76" s="4">
        <f t="shared" si="40"/>
        <v>44</v>
      </c>
      <c r="AB76" s="10"/>
      <c r="AC76" s="30">
        <f>IF('04-07-25-Scen4-ExFrontloadCargo'!K77&gt;'04-07-25-Scen4-ExFrontloadCargo'!AA76,'Drilling Spec'!$C$36,)</f>
        <v>0</v>
      </c>
      <c r="AE76" s="18">
        <f>(I76-'Drilling Spec'!$C$26)/'Drilling Spec'!$C$38</f>
        <v>109.78330140717871</v>
      </c>
      <c r="AF76" s="18">
        <f t="shared" si="27"/>
        <v>0</v>
      </c>
      <c r="AG76" s="34">
        <f t="shared" si="28"/>
        <v>-1.6698592821288827E-2</v>
      </c>
      <c r="AH76" s="10"/>
      <c r="AI76" s="26">
        <f>IF(C76="Camp Closed",AG76,IF(AG76&lt;'Drilling Spec'!$C$39,,'Drilling Spec'!$C$39))</f>
        <v>0</v>
      </c>
      <c r="AL76" s="16">
        <f t="shared" si="29"/>
        <v>-728.69980844307224</v>
      </c>
      <c r="AM76" s="16">
        <f t="shared" si="30"/>
        <v>-723.46681615545504</v>
      </c>
      <c r="AN76">
        <f>-'Drilling Spec'!$C$29</f>
        <v>-720</v>
      </c>
      <c r="AO76">
        <f>-'Drilling Spec'!$C$27</f>
        <v>-624</v>
      </c>
      <c r="AP76">
        <f>-'Drilling Spec'!$C$28</f>
        <v>-688</v>
      </c>
      <c r="AQ76" t="e">
        <f t="shared" si="31"/>
        <v>#N/A</v>
      </c>
      <c r="AR76" t="e">
        <f>IF(X76=0,NA(),-'Drilling Spec'!$C$29*0.1)</f>
        <v>#N/A</v>
      </c>
      <c r="AS76" t="e">
        <f>IF(Y76=0,NA(),-'Drilling Spec'!$C$29*0.1)</f>
        <v>#N/A</v>
      </c>
      <c r="AT76" t="e">
        <f>IF(AB76=0,NA(),-'Drilling Spec'!$C$29*0.2)</f>
        <v>#N/A</v>
      </c>
      <c r="AU76" t="e">
        <f>IF(AC76=0,NA(),-'Drilling Spec'!$C$29*0.2)</f>
        <v>#N/A</v>
      </c>
      <c r="AV76" t="e">
        <f>IF(AH76=0,NA(),-'Drilling Spec'!$C$29*0.3)</f>
        <v>#N/A</v>
      </c>
      <c r="AW76" t="e">
        <f>IF(AI76=0,NA(),-'Drilling Spec'!$C$29*0.3)</f>
        <v>#N/A</v>
      </c>
      <c r="AX76" s="29">
        <f t="shared" si="32"/>
        <v>0.26699186991870127</v>
      </c>
      <c r="AY76" s="29">
        <f t="shared" si="33"/>
        <v>39.361355073122482</v>
      </c>
      <c r="AZ76" s="29">
        <f t="shared" si="37"/>
        <v>-1.6698592821288827E-2</v>
      </c>
    </row>
    <row r="77" spans="1:52" x14ac:dyDescent="0.35">
      <c r="A77" s="28">
        <f t="shared" si="38"/>
        <v>46047</v>
      </c>
      <c r="B77" t="str">
        <f t="shared" si="20"/>
        <v>Sun</v>
      </c>
      <c r="C77" s="10" t="s">
        <v>70</v>
      </c>
      <c r="D77" s="10">
        <v>12</v>
      </c>
      <c r="E77" s="4">
        <f t="shared" si="21"/>
        <v>0</v>
      </c>
      <c r="F77" s="4">
        <f t="shared" si="22"/>
        <v>824</v>
      </c>
      <c r="G77" s="4">
        <f t="shared" si="23"/>
        <v>0</v>
      </c>
      <c r="H77" s="15">
        <f>(SQRT(4*I76*I76*V*V + 'Drilling Spec'!$C$42*I76 + W*('Drilling Spec'!$C$43 + 2*l*V*(s*W + 2*V*G77/(1+e)) + 'Drilling Spec'!$C$44)) - 'Drilling Spec'!$C$45)/(2*V)</f>
        <v>728.69980844307224</v>
      </c>
      <c r="I77" s="23">
        <f>IF(AND(OR(I76=0,I76=""),F77=0),IF(F78=0,"",'Drilling Spec'!$C$26),H77)</f>
        <v>728.69980844307224</v>
      </c>
      <c r="J77" s="16">
        <f>MAX(0,I77-'Drilling Spec'!$C$30)</f>
        <v>648.69980844307224</v>
      </c>
      <c r="K77" s="18">
        <f>IFERROR(J77/'Drilling Spec'!$C$31,0)</f>
        <v>43.246653896204819</v>
      </c>
      <c r="L77" s="21">
        <f t="shared" si="24"/>
        <v>0</v>
      </c>
      <c r="M77" s="4">
        <f t="shared" si="34"/>
        <v>132</v>
      </c>
      <c r="N77" s="21">
        <f t="shared" si="25"/>
        <v>0</v>
      </c>
      <c r="O77" s="18">
        <f>(SQRT(4*O76*O76*vB*vB + 'Drilling Spec'!$C$48*O76 + WB*('Drilling Spec'!$C$49 + 2*lB*vB*(sB*WB + 2*vB*N77/(1+eB)) + 'Drilling Spec'!$C$50)) - 'Drilling Spec'!$C$51)/(2*vB)</f>
        <v>723.46681615545504</v>
      </c>
      <c r="P77" s="18">
        <f>IFERROR(((S77-'Drilling Spec'!$C$30)/'Drilling Spec'!$C$31)*'Drilling Spec'!$C$32,0)</f>
        <v>38.608008969327301</v>
      </c>
      <c r="Q77" s="18">
        <f t="shared" si="35"/>
        <v>0</v>
      </c>
      <c r="R77" s="18"/>
      <c r="S77" s="26">
        <f>IF(AND(OR(T76=0,T76=""),M77=0),IF(M78=0,"",'Drilling Spec'!$C$30),O77)</f>
        <v>723.46681615545504</v>
      </c>
      <c r="U77" s="15">
        <f>E77*'Drilling Spec'!$C$22 + L77*'Drilling Spec'!$C$23</f>
        <v>0</v>
      </c>
      <c r="V77" s="15">
        <f t="shared" si="36"/>
        <v>19.733008130081299</v>
      </c>
      <c r="W77" s="15">
        <f t="shared" si="26"/>
        <v>0.26699186991870127</v>
      </c>
      <c r="X77" s="10"/>
      <c r="Y77" s="30">
        <f>IF(W77&lt;U78,'Drilling Spec'!$C$35,0)</f>
        <v>0</v>
      </c>
      <c r="AA77" s="4">
        <f t="shared" si="40"/>
        <v>44</v>
      </c>
      <c r="AB77" s="10"/>
      <c r="AC77" s="30">
        <f>IF('04-07-25-Scen4-ExFrontloadCargo'!K78&gt;'04-07-25-Scen4-ExFrontloadCargo'!AA77,'Drilling Spec'!$C$36,)</f>
        <v>0</v>
      </c>
      <c r="AE77" s="18">
        <f>(I77-'Drilling Spec'!$C$26)/'Drilling Spec'!$C$38</f>
        <v>109.78330140717871</v>
      </c>
      <c r="AF77" s="18">
        <f t="shared" si="27"/>
        <v>0</v>
      </c>
      <c r="AG77" s="34">
        <f t="shared" si="28"/>
        <v>-1.6698592821288827E-2</v>
      </c>
      <c r="AH77" s="10"/>
      <c r="AI77" s="26">
        <f>IF(C77="Camp Closed",AG77,IF(AG77&lt;'Drilling Spec'!$C$39,,'Drilling Spec'!$C$39))</f>
        <v>0</v>
      </c>
      <c r="AL77" s="16">
        <f t="shared" si="29"/>
        <v>-728.69980844307224</v>
      </c>
      <c r="AM77" s="16">
        <f t="shared" si="30"/>
        <v>-723.46681615545504</v>
      </c>
      <c r="AN77">
        <f>-'Drilling Spec'!$C$29</f>
        <v>-720</v>
      </c>
      <c r="AO77">
        <f>-'Drilling Spec'!$C$27</f>
        <v>-624</v>
      </c>
      <c r="AP77">
        <f>-'Drilling Spec'!$C$28</f>
        <v>-688</v>
      </c>
      <c r="AQ77" t="e">
        <f t="shared" si="31"/>
        <v>#N/A</v>
      </c>
      <c r="AR77" t="e">
        <f>IF(X77=0,NA(),-'Drilling Spec'!$C$29*0.1)</f>
        <v>#N/A</v>
      </c>
      <c r="AS77" t="e">
        <f>IF(Y77=0,NA(),-'Drilling Spec'!$C$29*0.1)</f>
        <v>#N/A</v>
      </c>
      <c r="AT77" t="e">
        <f>IF(AB77=0,NA(),-'Drilling Spec'!$C$29*0.2)</f>
        <v>#N/A</v>
      </c>
      <c r="AU77" t="e">
        <f>IF(AC77=0,NA(),-'Drilling Spec'!$C$29*0.2)</f>
        <v>#N/A</v>
      </c>
      <c r="AV77" t="e">
        <f>IF(AH77=0,NA(),-'Drilling Spec'!$C$29*0.3)</f>
        <v>#N/A</v>
      </c>
      <c r="AW77" t="e">
        <f>IF(AI77=0,NA(),-'Drilling Spec'!$C$29*0.3)</f>
        <v>#N/A</v>
      </c>
      <c r="AX77" s="29">
        <f t="shared" si="32"/>
        <v>0.26699186991870127</v>
      </c>
      <c r="AY77" s="29">
        <f t="shared" si="33"/>
        <v>39.361355073122482</v>
      </c>
      <c r="AZ77" s="29">
        <f t="shared" si="37"/>
        <v>-1.6698592821288827E-2</v>
      </c>
    </row>
    <row r="78" spans="1:52" x14ac:dyDescent="0.35">
      <c r="A78" s="28">
        <f t="shared" si="38"/>
        <v>46048</v>
      </c>
      <c r="B78" t="str">
        <f t="shared" si="20"/>
        <v>Mon</v>
      </c>
      <c r="C78" s="10" t="s">
        <v>71</v>
      </c>
      <c r="D78" s="10">
        <v>12</v>
      </c>
      <c r="E78" s="4">
        <f t="shared" si="21"/>
        <v>0</v>
      </c>
      <c r="F78" s="4">
        <f t="shared" si="22"/>
        <v>824</v>
      </c>
      <c r="G78" s="4">
        <f t="shared" si="23"/>
        <v>0</v>
      </c>
      <c r="H78" s="15">
        <f>(SQRT(4*I77*I77*V*V + 'Drilling Spec'!$C$42*I77 + W*('Drilling Spec'!$C$43 + 2*l*V*(s*W + 2*V*G78/(1+e)) + 'Drilling Spec'!$C$44)) - 'Drilling Spec'!$C$45)/(2*V)</f>
        <v>728.69980844307224</v>
      </c>
      <c r="I78" s="23">
        <f>IF(AND(OR(I77=0,I77=""),F78=0),IF(F79=0,"",'Drilling Spec'!$C$26),H78)</f>
        <v>728.69980844307224</v>
      </c>
      <c r="J78" s="16">
        <f>MAX(0,I78-'Drilling Spec'!$C$30)</f>
        <v>648.69980844307224</v>
      </c>
      <c r="K78" s="18">
        <f>IFERROR(J78/'Drilling Spec'!$C$31,0)</f>
        <v>43.246653896204819</v>
      </c>
      <c r="L78" s="21">
        <f t="shared" si="24"/>
        <v>0</v>
      </c>
      <c r="M78" s="4">
        <f t="shared" si="34"/>
        <v>132</v>
      </c>
      <c r="N78" s="21">
        <f t="shared" si="25"/>
        <v>0</v>
      </c>
      <c r="O78" s="18">
        <f>(SQRT(4*O77*O77*vB*vB + 'Drilling Spec'!$C$48*O77 + WB*('Drilling Spec'!$C$49 + 2*lB*vB*(sB*WB + 2*vB*N78/(1+eB)) + 'Drilling Spec'!$C$50)) - 'Drilling Spec'!$C$51)/(2*vB)</f>
        <v>723.46681615545504</v>
      </c>
      <c r="P78" s="18">
        <f>IFERROR(((S78-'Drilling Spec'!$C$30)/'Drilling Spec'!$C$31)*'Drilling Spec'!$C$32,0)</f>
        <v>38.608008969327301</v>
      </c>
      <c r="Q78" s="18">
        <f t="shared" si="35"/>
        <v>0</v>
      </c>
      <c r="R78" s="18"/>
      <c r="S78" s="26">
        <f>IF(AND(OR(T77=0,T77=""),M78=0),IF(M79=0,"",'Drilling Spec'!$C$30),O78)</f>
        <v>723.46681615545504</v>
      </c>
      <c r="U78" s="15">
        <f>E78*'Drilling Spec'!$C$22 + L78*'Drilling Spec'!$C$23</f>
        <v>0</v>
      </c>
      <c r="V78" s="15">
        <f t="shared" si="36"/>
        <v>19.733008130081299</v>
      </c>
      <c r="W78" s="15">
        <f t="shared" si="26"/>
        <v>0.26699186991870127</v>
      </c>
      <c r="X78" s="10"/>
      <c r="Y78" s="30">
        <f>IF(W78&lt;U79,'Drilling Spec'!$C$35,0)</f>
        <v>0</v>
      </c>
      <c r="AA78" s="4">
        <f t="shared" si="40"/>
        <v>44</v>
      </c>
      <c r="AB78" s="10"/>
      <c r="AC78" s="30">
        <f>IF('04-07-25-Scen4-ExFrontloadCargo'!K79&gt;'04-07-25-Scen4-ExFrontloadCargo'!AA78,'Drilling Spec'!$C$36,)</f>
        <v>0</v>
      </c>
      <c r="AE78" s="18">
        <f>(I78-'Drilling Spec'!$C$26)/'Drilling Spec'!$C$38</f>
        <v>109.78330140717871</v>
      </c>
      <c r="AF78" s="18">
        <f t="shared" si="27"/>
        <v>0</v>
      </c>
      <c r="AG78" s="34">
        <f t="shared" si="28"/>
        <v>-1.6698592821288827E-2</v>
      </c>
      <c r="AH78" s="10"/>
      <c r="AI78" s="26">
        <f>IF(C78="Camp Closed",AG78,IF(AG78&lt;'Drilling Spec'!$C$39,,'Drilling Spec'!$C$39))</f>
        <v>-1.6698592821288827E-2</v>
      </c>
      <c r="AL78" s="16">
        <f t="shared" si="29"/>
        <v>-728.69980844307224</v>
      </c>
      <c r="AM78" s="16">
        <f t="shared" si="30"/>
        <v>-723.46681615545504</v>
      </c>
      <c r="AN78">
        <f>-'Drilling Spec'!$C$29</f>
        <v>-720</v>
      </c>
      <c r="AO78">
        <f>-'Drilling Spec'!$C$27</f>
        <v>-624</v>
      </c>
      <c r="AP78">
        <f>-'Drilling Spec'!$C$28</f>
        <v>-688</v>
      </c>
      <c r="AQ78">
        <f t="shared" si="31"/>
        <v>0</v>
      </c>
      <c r="AR78" t="e">
        <f>IF(X78=0,NA(),-'Drilling Spec'!$C$29*0.1)</f>
        <v>#N/A</v>
      </c>
      <c r="AS78" t="e">
        <f>IF(Y78=0,NA(),-'Drilling Spec'!$C$29*0.1)</f>
        <v>#N/A</v>
      </c>
      <c r="AT78" t="e">
        <f>IF(AB78=0,NA(),-'Drilling Spec'!$C$29*0.2)</f>
        <v>#N/A</v>
      </c>
      <c r="AU78" t="e">
        <f>IF(AC78=0,NA(),-'Drilling Spec'!$C$29*0.2)</f>
        <v>#N/A</v>
      </c>
      <c r="AV78" t="e">
        <f>IF(AH78=0,NA(),-'Drilling Spec'!$C$29*0.3)</f>
        <v>#N/A</v>
      </c>
      <c r="AW78">
        <f>IF(AI78=0,NA(),-'Drilling Spec'!$C$29*0.3)</f>
        <v>-216</v>
      </c>
      <c r="AX78" s="29">
        <f t="shared" si="32"/>
        <v>0.26699186991870127</v>
      </c>
      <c r="AY78" s="29">
        <f t="shared" si="33"/>
        <v>39.361355073122482</v>
      </c>
      <c r="AZ78" s="29">
        <f t="shared" si="37"/>
        <v>-1.6698592821288827E-2</v>
      </c>
    </row>
    <row r="79" spans="1:52" x14ac:dyDescent="0.35">
      <c r="A79" s="28">
        <f t="shared" si="38"/>
        <v>46049</v>
      </c>
      <c r="B79" t="str">
        <f t="shared" si="20"/>
        <v>Tue</v>
      </c>
      <c r="C79" s="10"/>
      <c r="D79" s="10"/>
      <c r="E79" s="4">
        <f t="shared" si="21"/>
        <v>0</v>
      </c>
      <c r="F79" s="4">
        <f t="shared" si="22"/>
        <v>824</v>
      </c>
      <c r="G79" s="4">
        <f t="shared" si="23"/>
        <v>0</v>
      </c>
      <c r="H79" s="15">
        <f>(SQRT(4*I78*I78*V*V + 'Drilling Spec'!$C$42*I78 + W*('Drilling Spec'!$C$43 + 2*l*V*(s*W + 2*V*G79/(1+e)) + 'Drilling Spec'!$C$44)) - 'Drilling Spec'!$C$45)/(2*V)</f>
        <v>728.69980844307224</v>
      </c>
      <c r="I79" s="23">
        <f>IF(AND(OR(I78=0,I78=""),F79=0),IF(F80=0,"",'Drilling Spec'!$C$26),H79)</f>
        <v>728.69980844307224</v>
      </c>
      <c r="J79" s="16">
        <f>MAX(0,I79-'Drilling Spec'!$C$30)</f>
        <v>648.69980844307224</v>
      </c>
      <c r="K79" s="18">
        <f>IFERROR(J79/'Drilling Spec'!$C$31,0)</f>
        <v>43.246653896204819</v>
      </c>
      <c r="L79" s="21">
        <f t="shared" si="24"/>
        <v>0</v>
      </c>
      <c r="M79" s="4">
        <f t="shared" si="34"/>
        <v>132</v>
      </c>
      <c r="N79" s="21">
        <f t="shared" si="25"/>
        <v>0</v>
      </c>
      <c r="O79" s="18">
        <f>(SQRT(4*O78*O78*vB*vB + 'Drilling Spec'!$C$48*O78 + WB*('Drilling Spec'!$C$49 + 2*lB*vB*(sB*WB + 2*vB*N79/(1+eB)) + 'Drilling Spec'!$C$50)) - 'Drilling Spec'!$C$51)/(2*vB)</f>
        <v>723.46681615545504</v>
      </c>
      <c r="P79" s="18">
        <f>IFERROR(((S79-'Drilling Spec'!$C$30)/'Drilling Spec'!$C$31)*'Drilling Spec'!$C$32,0)</f>
        <v>38.608008969327301</v>
      </c>
      <c r="Q79" s="18">
        <f t="shared" si="35"/>
        <v>0</v>
      </c>
      <c r="R79" s="18"/>
      <c r="S79" s="26">
        <f>IF(AND(OR(T78=0,T78=""),M79=0),IF(M80=0,"",'Drilling Spec'!$C$30),O79)</f>
        <v>723.46681615545504</v>
      </c>
      <c r="U79" s="15">
        <f>E79*'Drilling Spec'!$C$22 + L79*'Drilling Spec'!$C$23</f>
        <v>0</v>
      </c>
      <c r="V79" s="15">
        <f t="shared" si="36"/>
        <v>19.733008130081299</v>
      </c>
      <c r="W79" s="15">
        <f t="shared" si="26"/>
        <v>0.26699186991870127</v>
      </c>
      <c r="X79" s="10"/>
      <c r="Y79" s="30">
        <f>IF(W79&lt;U80,'Drilling Spec'!$C$35,0)</f>
        <v>0</v>
      </c>
      <c r="AA79" s="4">
        <f t="shared" si="40"/>
        <v>44</v>
      </c>
      <c r="AB79" s="10"/>
      <c r="AC79" s="30">
        <f>IF('04-07-25-Scen4-ExFrontloadCargo'!K80&gt;'04-07-25-Scen4-ExFrontloadCargo'!AA79,'Drilling Spec'!$C$36,)</f>
        <v>0</v>
      </c>
      <c r="AE79" s="18">
        <f>(I79-'Drilling Spec'!$C$26)/'Drilling Spec'!$C$38</f>
        <v>109.78330140717871</v>
      </c>
      <c r="AF79" s="18">
        <f t="shared" si="27"/>
        <v>0</v>
      </c>
      <c r="AG79" s="34">
        <f t="shared" si="28"/>
        <v>0</v>
      </c>
      <c r="AH79" s="10"/>
      <c r="AI79" s="26">
        <f>IF(C79="Camp Closed",AG79,IF(AG79&lt;'Drilling Spec'!$C$39,,'Drilling Spec'!$C$39))</f>
        <v>0</v>
      </c>
      <c r="AL79" s="16">
        <f t="shared" si="29"/>
        <v>-728.69980844307224</v>
      </c>
      <c r="AM79" s="16">
        <f t="shared" si="30"/>
        <v>-723.46681615545504</v>
      </c>
      <c r="AN79">
        <f>-'Drilling Spec'!$C$29</f>
        <v>-720</v>
      </c>
      <c r="AO79">
        <f>-'Drilling Spec'!$C$27</f>
        <v>-624</v>
      </c>
      <c r="AP79">
        <f>-'Drilling Spec'!$C$28</f>
        <v>-688</v>
      </c>
      <c r="AQ79" t="e">
        <f t="shared" si="31"/>
        <v>#N/A</v>
      </c>
      <c r="AR79" t="e">
        <f>IF(X79=0,NA(),-'Drilling Spec'!$C$29*0.1)</f>
        <v>#N/A</v>
      </c>
      <c r="AS79" t="e">
        <f>IF(Y79=0,NA(),-'Drilling Spec'!$C$29*0.1)</f>
        <v>#N/A</v>
      </c>
      <c r="AT79" t="e">
        <f>IF(AB79=0,NA(),-'Drilling Spec'!$C$29*0.2)</f>
        <v>#N/A</v>
      </c>
      <c r="AU79" t="e">
        <f>IF(AC79=0,NA(),-'Drilling Spec'!$C$29*0.2)</f>
        <v>#N/A</v>
      </c>
      <c r="AV79" t="e">
        <f>IF(AH79=0,NA(),-'Drilling Spec'!$C$29*0.3)</f>
        <v>#N/A</v>
      </c>
      <c r="AW79" t="e">
        <f>IF(AI79=0,NA(),-'Drilling Spec'!$C$29*0.3)</f>
        <v>#N/A</v>
      </c>
      <c r="AX79" s="29">
        <f t="shared" si="32"/>
        <v>0.26699186991870127</v>
      </c>
      <c r="AY79" s="29">
        <f t="shared" si="33"/>
        <v>39.361355073122482</v>
      </c>
      <c r="AZ79" s="29">
        <f t="shared" si="37"/>
        <v>0</v>
      </c>
    </row>
    <row r="80" spans="1:52" x14ac:dyDescent="0.35">
      <c r="A80" s="28">
        <f t="shared" si="38"/>
        <v>46050</v>
      </c>
      <c r="B80" t="str">
        <f t="shared" si="20"/>
        <v>Wed</v>
      </c>
      <c r="C80" s="10"/>
      <c r="D80" s="10"/>
      <c r="E80" s="4">
        <f t="shared" si="21"/>
        <v>0</v>
      </c>
      <c r="F80" s="4">
        <f t="shared" si="22"/>
        <v>824</v>
      </c>
      <c r="G80" s="4">
        <f t="shared" si="23"/>
        <v>0</v>
      </c>
      <c r="H80" s="15">
        <f>(SQRT(4*I79*I79*V*V + 'Drilling Spec'!$C$42*I79 + W*('Drilling Spec'!$C$43 + 2*l*V*(s*W + 2*V*G80/(1+e)) + 'Drilling Spec'!$C$44)) - 'Drilling Spec'!$C$45)/(2*V)</f>
        <v>728.69980844307224</v>
      </c>
      <c r="I80" s="23">
        <f>IF(AND(OR(I79=0,I79=""),F80=0),IF(F81=0,"",'Drilling Spec'!$C$26),H80)</f>
        <v>728.69980844307224</v>
      </c>
      <c r="J80" s="16">
        <f>MAX(0,I80-'Drilling Spec'!$C$30)</f>
        <v>648.69980844307224</v>
      </c>
      <c r="K80" s="18">
        <f>IFERROR(J80/'Drilling Spec'!$C$31,0)</f>
        <v>43.246653896204819</v>
      </c>
      <c r="L80" s="21">
        <f t="shared" si="24"/>
        <v>0</v>
      </c>
      <c r="M80" s="4">
        <f t="shared" si="34"/>
        <v>132</v>
      </c>
      <c r="N80" s="21">
        <f t="shared" si="25"/>
        <v>0</v>
      </c>
      <c r="O80" s="18">
        <f>(SQRT(4*O79*O79*vB*vB + 'Drilling Spec'!$C$48*O79 + WB*('Drilling Spec'!$C$49 + 2*lB*vB*(sB*WB + 2*vB*N80/(1+eB)) + 'Drilling Spec'!$C$50)) - 'Drilling Spec'!$C$51)/(2*vB)</f>
        <v>723.46681615545504</v>
      </c>
      <c r="P80" s="18">
        <f>IFERROR(((S80-'Drilling Spec'!$C$30)/'Drilling Spec'!$C$31)*'Drilling Spec'!$C$32,0)</f>
        <v>38.608008969327301</v>
      </c>
      <c r="Q80" s="18">
        <f t="shared" si="35"/>
        <v>0</v>
      </c>
      <c r="R80" s="18"/>
      <c r="S80" s="26">
        <f>IF(AND(OR(T79=0,T79=""),M80=0),IF(M81=0,"",'Drilling Spec'!$C$30),O80)</f>
        <v>723.46681615545504</v>
      </c>
      <c r="U80" s="15">
        <f>E80*'Drilling Spec'!$C$22 + L80*'Drilling Spec'!$C$23</f>
        <v>0</v>
      </c>
      <c r="V80" s="15">
        <f t="shared" si="36"/>
        <v>19.733008130081299</v>
      </c>
      <c r="W80" s="15">
        <f t="shared" si="26"/>
        <v>0.26699186991870127</v>
      </c>
      <c r="X80" s="10"/>
      <c r="Y80" s="30">
        <f>IF(W80&lt;U81,'Drilling Spec'!$C$35,0)</f>
        <v>0</v>
      </c>
      <c r="AA80" s="4">
        <f t="shared" si="40"/>
        <v>44</v>
      </c>
      <c r="AB80" s="10"/>
      <c r="AC80" s="30">
        <f>IF('04-07-25-Scen4-ExFrontloadCargo'!K81&gt;'04-07-25-Scen4-ExFrontloadCargo'!AA80,'Drilling Spec'!$C$36,)</f>
        <v>0</v>
      </c>
      <c r="AE80" s="18">
        <f>(I80-'Drilling Spec'!$C$26)/'Drilling Spec'!$C$38</f>
        <v>109.78330140717871</v>
      </c>
      <c r="AF80" s="18">
        <f t="shared" si="27"/>
        <v>0</v>
      </c>
      <c r="AG80" s="34">
        <f t="shared" si="28"/>
        <v>0</v>
      </c>
      <c r="AH80" s="10"/>
      <c r="AI80" s="26">
        <f>IF(C80="Camp Closed",AG80,IF(AG80&lt;'Drilling Spec'!$C$39,,'Drilling Spec'!$C$39))</f>
        <v>0</v>
      </c>
      <c r="AL80" s="16">
        <f t="shared" si="29"/>
        <v>-728.69980844307224</v>
      </c>
      <c r="AM80" s="16">
        <f t="shared" si="30"/>
        <v>-723.46681615545504</v>
      </c>
      <c r="AN80">
        <f>-'Drilling Spec'!$C$29</f>
        <v>-720</v>
      </c>
      <c r="AO80">
        <f>-'Drilling Spec'!$C$27</f>
        <v>-624</v>
      </c>
      <c r="AP80">
        <f>-'Drilling Spec'!$C$28</f>
        <v>-688</v>
      </c>
      <c r="AQ80" t="e">
        <f t="shared" si="31"/>
        <v>#N/A</v>
      </c>
      <c r="AR80" t="e">
        <f>IF(X80=0,NA(),-'Drilling Spec'!$C$29*0.1)</f>
        <v>#N/A</v>
      </c>
      <c r="AS80" t="e">
        <f>IF(Y80=0,NA(),-'Drilling Spec'!$C$29*0.1)</f>
        <v>#N/A</v>
      </c>
      <c r="AT80" t="e">
        <f>IF(AB80=0,NA(),-'Drilling Spec'!$C$29*0.2)</f>
        <v>#N/A</v>
      </c>
      <c r="AU80" t="e">
        <f>IF(AC80=0,NA(),-'Drilling Spec'!$C$29*0.2)</f>
        <v>#N/A</v>
      </c>
      <c r="AV80" t="e">
        <f>IF(AH80=0,NA(),-'Drilling Spec'!$C$29*0.3)</f>
        <v>#N/A</v>
      </c>
      <c r="AW80" t="e">
        <f>IF(AI80=0,NA(),-'Drilling Spec'!$C$29*0.3)</f>
        <v>#N/A</v>
      </c>
      <c r="AX80" s="29">
        <f t="shared" si="32"/>
        <v>0.26699186991870127</v>
      </c>
      <c r="AY80" s="29">
        <f t="shared" si="33"/>
        <v>39.361355073122482</v>
      </c>
      <c r="AZ80" s="29">
        <f t="shared" si="37"/>
        <v>0</v>
      </c>
    </row>
    <row r="81" spans="1:52" x14ac:dyDescent="0.35">
      <c r="A81" s="28">
        <f t="shared" si="38"/>
        <v>46051</v>
      </c>
      <c r="B81" t="str">
        <f t="shared" si="20"/>
        <v>Thu</v>
      </c>
      <c r="C81" s="10"/>
      <c r="D81" s="10"/>
      <c r="E81" s="4">
        <f t="shared" si="21"/>
        <v>0</v>
      </c>
      <c r="F81" s="4">
        <f t="shared" si="22"/>
        <v>824</v>
      </c>
      <c r="G81" s="4">
        <f t="shared" si="23"/>
        <v>0</v>
      </c>
      <c r="H81" s="15">
        <f>(SQRT(4*I80*I80*V*V + 'Drilling Spec'!$C$42*I80 + W*('Drilling Spec'!$C$43 + 2*l*V*(s*W + 2*V*G81/(1+e)) + 'Drilling Spec'!$C$44)) - 'Drilling Spec'!$C$45)/(2*V)</f>
        <v>728.69980844307224</v>
      </c>
      <c r="I81" s="23">
        <f>IF(AND(OR(I80=0,I80=""),F81=0),IF(F82=0,"",'Drilling Spec'!$C$26),H81)</f>
        <v>728.69980844307224</v>
      </c>
      <c r="J81" s="16">
        <f>MAX(0,I81-'Drilling Spec'!$C$30)</f>
        <v>648.69980844307224</v>
      </c>
      <c r="K81" s="18">
        <f>IFERROR(J81/'Drilling Spec'!$C$31,0)</f>
        <v>43.246653896204819</v>
      </c>
      <c r="L81" s="21">
        <f t="shared" si="24"/>
        <v>0</v>
      </c>
      <c r="M81" s="4">
        <f t="shared" si="34"/>
        <v>132</v>
      </c>
      <c r="N81" s="21">
        <f t="shared" si="25"/>
        <v>0</v>
      </c>
      <c r="O81" s="18">
        <f>(SQRT(4*O80*O80*vB*vB + 'Drilling Spec'!$C$48*O80 + WB*('Drilling Spec'!$C$49 + 2*lB*vB*(sB*WB + 2*vB*N81/(1+eB)) + 'Drilling Spec'!$C$50)) - 'Drilling Spec'!$C$51)/(2*vB)</f>
        <v>723.46681615545504</v>
      </c>
      <c r="P81" s="18">
        <f>IFERROR(((S81-'Drilling Spec'!$C$30)/'Drilling Spec'!$C$31)*'Drilling Spec'!$C$32,0)</f>
        <v>38.608008969327301</v>
      </c>
      <c r="Q81" s="18">
        <f t="shared" si="35"/>
        <v>0</v>
      </c>
      <c r="R81" s="18"/>
      <c r="S81" s="26">
        <f>IF(AND(OR(T80=0,T80=""),M81=0),IF(M82=0,"",'Drilling Spec'!$C$30),O81)</f>
        <v>723.46681615545504</v>
      </c>
      <c r="U81" s="15">
        <f>E81*'Drilling Spec'!$C$22 + L81*'Drilling Spec'!$C$23</f>
        <v>0</v>
      </c>
      <c r="V81" s="15">
        <f t="shared" si="36"/>
        <v>19.733008130081299</v>
      </c>
      <c r="W81" s="15">
        <f t="shared" si="26"/>
        <v>0.26699186991870127</v>
      </c>
      <c r="X81" s="10"/>
      <c r="Y81" s="30">
        <f>IF(W81&lt;U82,'Drilling Spec'!$C$35,0)</f>
        <v>0</v>
      </c>
      <c r="AA81" s="4">
        <f t="shared" si="40"/>
        <v>44</v>
      </c>
      <c r="AB81" s="10"/>
      <c r="AC81" s="30">
        <f>IF('04-07-25-Scen4-ExFrontloadCargo'!K82&gt;'04-07-25-Scen4-ExFrontloadCargo'!AA81,'Drilling Spec'!$C$36,)</f>
        <v>0</v>
      </c>
      <c r="AE81" s="18">
        <f>(I81-'Drilling Spec'!$C$26)/'Drilling Spec'!$C$38</f>
        <v>109.78330140717871</v>
      </c>
      <c r="AF81" s="18">
        <f t="shared" si="27"/>
        <v>0</v>
      </c>
      <c r="AG81" s="34">
        <f t="shared" si="28"/>
        <v>0</v>
      </c>
      <c r="AH81" s="10"/>
      <c r="AI81" s="26">
        <f>IF(C81="Camp Closed",AG81,IF(AG81&lt;'Drilling Spec'!$C$39,,'Drilling Spec'!$C$39))</f>
        <v>0</v>
      </c>
      <c r="AL81" s="16">
        <f t="shared" si="29"/>
        <v>-728.69980844307224</v>
      </c>
      <c r="AM81" s="16">
        <f t="shared" si="30"/>
        <v>-723.46681615545504</v>
      </c>
      <c r="AN81">
        <f>-'Drilling Spec'!$C$29</f>
        <v>-720</v>
      </c>
      <c r="AO81">
        <f>-'Drilling Spec'!$C$27</f>
        <v>-624</v>
      </c>
      <c r="AP81">
        <f>-'Drilling Spec'!$C$28</f>
        <v>-688</v>
      </c>
      <c r="AQ81" t="e">
        <f t="shared" si="31"/>
        <v>#N/A</v>
      </c>
      <c r="AR81" t="e">
        <f>IF(X81=0,NA(),-'Drilling Spec'!$C$29*0.1)</f>
        <v>#N/A</v>
      </c>
      <c r="AS81" t="e">
        <f>IF(Y81=0,NA(),-'Drilling Spec'!$C$29*0.1)</f>
        <v>#N/A</v>
      </c>
      <c r="AT81" t="e">
        <f>IF(AB81=0,NA(),-'Drilling Spec'!$C$29*0.2)</f>
        <v>#N/A</v>
      </c>
      <c r="AU81" t="e">
        <f>IF(AC81=0,NA(),-'Drilling Spec'!$C$29*0.2)</f>
        <v>#N/A</v>
      </c>
      <c r="AV81" t="e">
        <f>IF(AH81=0,NA(),-'Drilling Spec'!$C$29*0.3)</f>
        <v>#N/A</v>
      </c>
      <c r="AW81" t="e">
        <f>IF(AI81=0,NA(),-'Drilling Spec'!$C$29*0.3)</f>
        <v>#N/A</v>
      </c>
      <c r="AX81" s="29">
        <f t="shared" si="32"/>
        <v>0.26699186991870127</v>
      </c>
      <c r="AY81" s="29">
        <f t="shared" si="33"/>
        <v>39.361355073122482</v>
      </c>
      <c r="AZ81" s="29">
        <f t="shared" si="37"/>
        <v>0</v>
      </c>
    </row>
    <row r="82" spans="1:52" x14ac:dyDescent="0.35">
      <c r="A82" s="28">
        <f t="shared" si="38"/>
        <v>46052</v>
      </c>
      <c r="B82" t="str">
        <f t="shared" si="20"/>
        <v>Fri</v>
      </c>
      <c r="C82" s="10"/>
      <c r="D82" s="10"/>
      <c r="E82" s="4">
        <f t="shared" si="21"/>
        <v>0</v>
      </c>
      <c r="F82" s="4">
        <f t="shared" si="22"/>
        <v>824</v>
      </c>
      <c r="G82" s="4">
        <f t="shared" si="23"/>
        <v>0</v>
      </c>
      <c r="H82" s="15">
        <f>(SQRT(4*I81*I81*V*V + 'Drilling Spec'!$C$42*I81 + W*('Drilling Spec'!$C$43 + 2*l*V*(s*W + 2*V*G82/(1+e)) + 'Drilling Spec'!$C$44)) - 'Drilling Spec'!$C$45)/(2*V)</f>
        <v>728.69980844307224</v>
      </c>
      <c r="I82" s="23">
        <f>IF(AND(OR(I81=0,I81=""),F82=0),IF(F83=0,"",'Drilling Spec'!$C$26),H82)</f>
        <v>728.69980844307224</v>
      </c>
      <c r="J82" s="16">
        <f>MAX(0,I82-'Drilling Spec'!$C$30)</f>
        <v>648.69980844307224</v>
      </c>
      <c r="K82" s="18">
        <f>IFERROR(J82/'Drilling Spec'!$C$31,0)</f>
        <v>43.246653896204819</v>
      </c>
      <c r="L82" s="21">
        <f t="shared" si="24"/>
        <v>0</v>
      </c>
      <c r="M82" s="4">
        <f t="shared" si="34"/>
        <v>132</v>
      </c>
      <c r="N82" s="21">
        <f t="shared" si="25"/>
        <v>0</v>
      </c>
      <c r="O82" s="18">
        <f>(SQRT(4*O81*O81*vB*vB + 'Drilling Spec'!$C$48*O81 + WB*('Drilling Spec'!$C$49 + 2*lB*vB*(sB*WB + 2*vB*N82/(1+eB)) + 'Drilling Spec'!$C$50)) - 'Drilling Spec'!$C$51)/(2*vB)</f>
        <v>723.46681615545504</v>
      </c>
      <c r="P82" s="18">
        <f>IFERROR(((S82-'Drilling Spec'!$C$30)/'Drilling Spec'!$C$31)*'Drilling Spec'!$C$32,0)</f>
        <v>38.608008969327301</v>
      </c>
      <c r="Q82" s="18">
        <f t="shared" si="35"/>
        <v>0</v>
      </c>
      <c r="R82" s="18"/>
      <c r="S82" s="26">
        <f>IF(AND(OR(T81=0,T81=""),M82=0),IF(M83=0,"",'Drilling Spec'!$C$30),O82)</f>
        <v>723.46681615545504</v>
      </c>
      <c r="U82" s="15">
        <f>E82*'Drilling Spec'!$C$22 + L82*'Drilling Spec'!$C$23</f>
        <v>0</v>
      </c>
      <c r="V82" s="15">
        <f t="shared" si="36"/>
        <v>19.733008130081299</v>
      </c>
      <c r="W82" s="15">
        <f t="shared" si="26"/>
        <v>0.26699186991870127</v>
      </c>
      <c r="X82" s="10"/>
      <c r="Y82" s="30">
        <f>IF(W82&lt;U83,'Drilling Spec'!$C$35,0)</f>
        <v>0</v>
      </c>
      <c r="AA82" s="4">
        <f t="shared" si="40"/>
        <v>44</v>
      </c>
      <c r="AB82" s="10"/>
      <c r="AC82" s="30">
        <f>IF('04-07-25-Scen4-ExFrontloadCargo'!K83&gt;'04-07-25-Scen4-ExFrontloadCargo'!AA82,'Drilling Spec'!$C$36,)</f>
        <v>0</v>
      </c>
      <c r="AE82" s="18">
        <f>(I82-'Drilling Spec'!$C$26)/'Drilling Spec'!$C$38</f>
        <v>109.78330140717871</v>
      </c>
      <c r="AF82" s="18">
        <f t="shared" si="27"/>
        <v>0</v>
      </c>
      <c r="AG82" s="34">
        <f t="shared" si="28"/>
        <v>0</v>
      </c>
      <c r="AH82" s="10"/>
      <c r="AI82" s="26">
        <f>IF(C82="Camp Closed",AG82,IF(AG82&lt;'Drilling Spec'!$C$39,,'Drilling Spec'!$C$39))</f>
        <v>0</v>
      </c>
      <c r="AL82" s="16">
        <f t="shared" si="29"/>
        <v>-728.69980844307224</v>
      </c>
      <c r="AM82" s="16">
        <f t="shared" si="30"/>
        <v>-723.46681615545504</v>
      </c>
      <c r="AN82">
        <f>-'Drilling Spec'!$C$29</f>
        <v>-720</v>
      </c>
      <c r="AO82">
        <f>-'Drilling Spec'!$C$27</f>
        <v>-624</v>
      </c>
      <c r="AP82">
        <f>-'Drilling Spec'!$C$28</f>
        <v>-688</v>
      </c>
      <c r="AQ82" t="e">
        <f t="shared" si="31"/>
        <v>#N/A</v>
      </c>
      <c r="AR82" t="e">
        <f>IF(X82=0,NA(),-'Drilling Spec'!$C$29*0.1)</f>
        <v>#N/A</v>
      </c>
      <c r="AS82" t="e">
        <f>IF(Y82=0,NA(),-'Drilling Spec'!$C$29*0.1)</f>
        <v>#N/A</v>
      </c>
      <c r="AT82" t="e">
        <f>IF(AB82=0,NA(),-'Drilling Spec'!$C$29*0.2)</f>
        <v>#N/A</v>
      </c>
      <c r="AU82" t="e">
        <f>IF(AC82=0,NA(),-'Drilling Spec'!$C$29*0.2)</f>
        <v>#N/A</v>
      </c>
      <c r="AV82" t="e">
        <f>IF(AH82=0,NA(),-'Drilling Spec'!$C$29*0.3)</f>
        <v>#N/A</v>
      </c>
      <c r="AW82" t="e">
        <f>IF(AI82=0,NA(),-'Drilling Spec'!$C$29*0.3)</f>
        <v>#N/A</v>
      </c>
      <c r="AX82" s="29">
        <f t="shared" si="32"/>
        <v>0.26699186991870127</v>
      </c>
      <c r="AY82" s="29">
        <f t="shared" si="33"/>
        <v>39.361355073122482</v>
      </c>
      <c r="AZ82" s="29">
        <f t="shared" si="37"/>
        <v>0</v>
      </c>
    </row>
    <row r="83" spans="1:52" x14ac:dyDescent="0.35">
      <c r="A83" s="28">
        <f t="shared" si="38"/>
        <v>46053</v>
      </c>
      <c r="B83" t="str">
        <f t="shared" si="20"/>
        <v>Sat</v>
      </c>
      <c r="C83" s="10"/>
      <c r="D83" s="10"/>
      <c r="E83" s="4">
        <f t="shared" si="21"/>
        <v>0</v>
      </c>
      <c r="F83" s="4">
        <f t="shared" si="22"/>
        <v>824</v>
      </c>
      <c r="G83" s="4">
        <f t="shared" si="23"/>
        <v>0</v>
      </c>
      <c r="H83" s="15">
        <f>(SQRT(4*I82*I82*V*V + 'Drilling Spec'!$C$42*I82 + W*('Drilling Spec'!$C$43 + 2*l*V*(s*W + 2*V*G83/(1+e)) + 'Drilling Spec'!$C$44)) - 'Drilling Spec'!$C$45)/(2*V)</f>
        <v>728.69980844307224</v>
      </c>
      <c r="I83" s="23">
        <f>IF(AND(OR(I82=0,I82=""),F83=0),IF(F84=0,"",'Drilling Spec'!$C$26),H83)</f>
        <v>728.69980844307224</v>
      </c>
      <c r="J83" s="16">
        <f>MAX(0,I83-'Drilling Spec'!$C$30)</f>
        <v>648.69980844307224</v>
      </c>
      <c r="K83" s="18">
        <f>IFERROR(J83/'Drilling Spec'!$C$31,0)</f>
        <v>43.246653896204819</v>
      </c>
      <c r="L83" s="21">
        <f t="shared" si="24"/>
        <v>0</v>
      </c>
      <c r="M83" s="4">
        <f t="shared" si="34"/>
        <v>132</v>
      </c>
      <c r="N83" s="21">
        <f t="shared" si="25"/>
        <v>0</v>
      </c>
      <c r="O83" s="18">
        <f>(SQRT(4*O82*O82*vB*vB + 'Drilling Spec'!$C$48*O82 + WB*('Drilling Spec'!$C$49 + 2*lB*vB*(sB*WB + 2*vB*N83/(1+eB)) + 'Drilling Spec'!$C$50)) - 'Drilling Spec'!$C$51)/(2*vB)</f>
        <v>723.46681615545504</v>
      </c>
      <c r="P83" s="18">
        <f>IFERROR(((S83-'Drilling Spec'!$C$30)/'Drilling Spec'!$C$31)*'Drilling Spec'!$C$32,0)</f>
        <v>38.608008969327301</v>
      </c>
      <c r="Q83" s="18">
        <f t="shared" si="35"/>
        <v>0</v>
      </c>
      <c r="R83" s="18"/>
      <c r="S83" s="26">
        <f>IF(AND(OR(T82=0,T82=""),M83=0),IF(M84=0,"",'Drilling Spec'!$C$30),O83)</f>
        <v>723.46681615545504</v>
      </c>
      <c r="U83" s="15">
        <f>E83*'Drilling Spec'!$C$22 + L83*'Drilling Spec'!$C$23</f>
        <v>0</v>
      </c>
      <c r="V83" s="15">
        <f t="shared" si="36"/>
        <v>19.733008130081299</v>
      </c>
      <c r="W83" s="15">
        <f t="shared" si="26"/>
        <v>0.26699186991870127</v>
      </c>
      <c r="X83" s="10"/>
      <c r="Y83" s="30">
        <f>IF(W83&lt;U84,'Drilling Spec'!$C$35,0)</f>
        <v>0</v>
      </c>
      <c r="AA83" s="4">
        <f t="shared" si="40"/>
        <v>44</v>
      </c>
      <c r="AB83" s="10"/>
      <c r="AC83" s="30">
        <f>IF('04-07-25-Scen4-ExFrontloadCargo'!K84&gt;'04-07-25-Scen4-ExFrontloadCargo'!AA83,'Drilling Spec'!$C$36,)</f>
        <v>0</v>
      </c>
      <c r="AE83" s="18">
        <f>(I83-'Drilling Spec'!$C$26)/'Drilling Spec'!$C$38</f>
        <v>109.78330140717871</v>
      </c>
      <c r="AF83" s="18">
        <f t="shared" si="27"/>
        <v>0</v>
      </c>
      <c r="AG83" s="34">
        <f t="shared" si="28"/>
        <v>0</v>
      </c>
      <c r="AH83" s="10"/>
      <c r="AI83" s="26">
        <f>IF(C83="Camp Closed",AG83,IF(AG83&lt;'Drilling Spec'!$C$39,,'Drilling Spec'!$C$39))</f>
        <v>0</v>
      </c>
      <c r="AL83" s="16">
        <f t="shared" si="29"/>
        <v>-728.69980844307224</v>
      </c>
      <c r="AM83" s="16">
        <f t="shared" si="30"/>
        <v>-723.46681615545504</v>
      </c>
      <c r="AN83">
        <f>-'Drilling Spec'!$C$29</f>
        <v>-720</v>
      </c>
      <c r="AO83">
        <f>-'Drilling Spec'!$C$27</f>
        <v>-624</v>
      </c>
      <c r="AP83">
        <f>-'Drilling Spec'!$C$28</f>
        <v>-688</v>
      </c>
      <c r="AQ83" t="e">
        <f t="shared" si="31"/>
        <v>#N/A</v>
      </c>
      <c r="AR83" t="e">
        <f>IF(X83=0,NA(),-'Drilling Spec'!$C$29*0.1)</f>
        <v>#N/A</v>
      </c>
      <c r="AS83" t="e">
        <f>IF(Y83=0,NA(),-'Drilling Spec'!$C$29*0.1)</f>
        <v>#N/A</v>
      </c>
      <c r="AT83" t="e">
        <f>IF(AB83=0,NA(),-'Drilling Spec'!$C$29*0.2)</f>
        <v>#N/A</v>
      </c>
      <c r="AU83" t="e">
        <f>IF(AC83=0,NA(),-'Drilling Spec'!$C$29*0.2)</f>
        <v>#N/A</v>
      </c>
      <c r="AV83" t="e">
        <f>IF(AH83=0,NA(),-'Drilling Spec'!$C$29*0.3)</f>
        <v>#N/A</v>
      </c>
      <c r="AW83" t="e">
        <f>IF(AI83=0,NA(),-'Drilling Spec'!$C$29*0.3)</f>
        <v>#N/A</v>
      </c>
      <c r="AX83" s="29">
        <f t="shared" si="32"/>
        <v>0.26699186991870127</v>
      </c>
      <c r="AY83" s="29">
        <f t="shared" si="33"/>
        <v>39.361355073122482</v>
      </c>
      <c r="AZ83" s="29">
        <f t="shared" si="37"/>
        <v>0</v>
      </c>
    </row>
    <row r="84" spans="1:52" x14ac:dyDescent="0.35">
      <c r="A84" s="28">
        <f t="shared" si="38"/>
        <v>46054</v>
      </c>
      <c r="B84" t="str">
        <f t="shared" si="20"/>
        <v>Sun</v>
      </c>
      <c r="C84" s="10"/>
      <c r="D84" s="10"/>
      <c r="E84" s="4">
        <f t="shared" si="21"/>
        <v>0</v>
      </c>
      <c r="F84" s="4">
        <f t="shared" si="22"/>
        <v>824</v>
      </c>
      <c r="G84" s="4">
        <f t="shared" si="23"/>
        <v>0</v>
      </c>
      <c r="H84" s="15">
        <f>(SQRT(4*I83*I83*V*V + 'Drilling Spec'!$C$42*I83 + W*('Drilling Spec'!$C$43 + 2*l*V*(s*W + 2*V*G84/(1+e)) + 'Drilling Spec'!$C$44)) - 'Drilling Spec'!$C$45)/(2*V)</f>
        <v>728.69980844307224</v>
      </c>
      <c r="I84" s="23">
        <f>IF(AND(OR(I83=0,I83=""),F84=0),IF(F85=0,"",'Drilling Spec'!$C$26),H84)</f>
        <v>728.69980844307224</v>
      </c>
      <c r="J84" s="16">
        <f>MAX(0,I84-'Drilling Spec'!$C$30)</f>
        <v>648.69980844307224</v>
      </c>
      <c r="K84" s="18">
        <f>IFERROR(J84/'Drilling Spec'!$C$31,0)</f>
        <v>43.246653896204819</v>
      </c>
      <c r="L84" s="21">
        <f t="shared" si="24"/>
        <v>0</v>
      </c>
      <c r="M84" s="4">
        <f t="shared" si="34"/>
        <v>132</v>
      </c>
      <c r="N84" s="21">
        <f t="shared" si="25"/>
        <v>0</v>
      </c>
      <c r="O84" s="18">
        <f>(SQRT(4*O83*O83*vB*vB + 'Drilling Spec'!$C$48*O83 + WB*('Drilling Spec'!$C$49 + 2*lB*vB*(sB*WB + 2*vB*N84/(1+eB)) + 'Drilling Spec'!$C$50)) - 'Drilling Spec'!$C$51)/(2*vB)</f>
        <v>723.46681615545504</v>
      </c>
      <c r="P84" s="18">
        <f>IFERROR(((S84-'Drilling Spec'!$C$30)/'Drilling Spec'!$C$31)*'Drilling Spec'!$C$32,0)</f>
        <v>38.608008969327301</v>
      </c>
      <c r="Q84" s="18">
        <f t="shared" si="35"/>
        <v>0</v>
      </c>
      <c r="R84" s="18"/>
      <c r="S84" s="26">
        <f>IF(AND(OR(T83=0,T83=""),M84=0),IF(M85=0,"",'Drilling Spec'!$C$30),O84)</f>
        <v>723.46681615545504</v>
      </c>
      <c r="U84" s="15">
        <f>E84*'Drilling Spec'!$C$22 + L84*'Drilling Spec'!$C$23</f>
        <v>0</v>
      </c>
      <c r="V84" s="15">
        <f t="shared" si="36"/>
        <v>19.733008130081299</v>
      </c>
      <c r="W84" s="15">
        <f t="shared" si="26"/>
        <v>0.26699186991870127</v>
      </c>
      <c r="X84" s="10"/>
      <c r="Y84" s="30">
        <f>IF(W84&lt;U85,'Drilling Spec'!$C$35,0)</f>
        <v>0</v>
      </c>
      <c r="AA84" s="4">
        <f t="shared" si="40"/>
        <v>44</v>
      </c>
      <c r="AB84" s="10"/>
      <c r="AC84" s="30">
        <f>IF('04-07-25-Scen4-ExFrontloadCargo'!K85&gt;'04-07-25-Scen4-ExFrontloadCargo'!AA84,'Drilling Spec'!$C$36,)</f>
        <v>0</v>
      </c>
      <c r="AE84" s="18">
        <f>(I84-'Drilling Spec'!$C$26)/'Drilling Spec'!$C$38</f>
        <v>109.78330140717871</v>
      </c>
      <c r="AF84" s="18">
        <f t="shared" si="27"/>
        <v>0</v>
      </c>
      <c r="AG84" s="34">
        <f t="shared" si="28"/>
        <v>0</v>
      </c>
      <c r="AH84" s="10"/>
      <c r="AI84" s="26">
        <f>IF(C84="Camp Closed",AG84,IF(AG84&lt;'Drilling Spec'!$C$39,,'Drilling Spec'!$C$39))</f>
        <v>0</v>
      </c>
      <c r="AL84" s="16">
        <f t="shared" si="29"/>
        <v>-728.69980844307224</v>
      </c>
      <c r="AM84" s="16">
        <f t="shared" si="30"/>
        <v>-723.46681615545504</v>
      </c>
      <c r="AN84">
        <f>-'Drilling Spec'!$C$29</f>
        <v>-720</v>
      </c>
      <c r="AO84">
        <f>-'Drilling Spec'!$C$27</f>
        <v>-624</v>
      </c>
      <c r="AP84">
        <f>-'Drilling Spec'!$C$28</f>
        <v>-688</v>
      </c>
      <c r="AQ84" t="e">
        <f t="shared" si="31"/>
        <v>#N/A</v>
      </c>
      <c r="AR84" t="e">
        <f>IF(X84=0,NA(),-'Drilling Spec'!$C$29*0.1)</f>
        <v>#N/A</v>
      </c>
      <c r="AS84" t="e">
        <f>IF(Y84=0,NA(),-'Drilling Spec'!$C$29*0.1)</f>
        <v>#N/A</v>
      </c>
      <c r="AT84" t="e">
        <f>IF(AB84=0,NA(),-'Drilling Spec'!$C$29*0.2)</f>
        <v>#N/A</v>
      </c>
      <c r="AU84" t="e">
        <f>IF(AC84=0,NA(),-'Drilling Spec'!$C$29*0.2)</f>
        <v>#N/A</v>
      </c>
      <c r="AV84" t="e">
        <f>IF(AH84=0,NA(),-'Drilling Spec'!$C$29*0.3)</f>
        <v>#N/A</v>
      </c>
      <c r="AW84" t="e">
        <f>IF(AI84=0,NA(),-'Drilling Spec'!$C$29*0.3)</f>
        <v>#N/A</v>
      </c>
      <c r="AX84" s="29">
        <f t="shared" si="32"/>
        <v>0.26699186991870127</v>
      </c>
      <c r="AY84" s="29">
        <f t="shared" si="33"/>
        <v>39.361355073122482</v>
      </c>
      <c r="AZ84" s="29">
        <f t="shared" si="37"/>
        <v>0</v>
      </c>
    </row>
    <row r="85" spans="1:52" x14ac:dyDescent="0.35">
      <c r="A85" s="28">
        <f>A84+1</f>
        <v>46055</v>
      </c>
      <c r="B85" t="str">
        <f t="shared" si="20"/>
        <v>Mon</v>
      </c>
      <c r="C85" s="10"/>
      <c r="D85" s="10"/>
      <c r="E85" s="4">
        <f t="shared" si="21"/>
        <v>0</v>
      </c>
      <c r="F85" s="4">
        <f t="shared" si="22"/>
        <v>824</v>
      </c>
      <c r="G85" s="4">
        <f t="shared" si="23"/>
        <v>0</v>
      </c>
      <c r="H85" s="15">
        <f>(SQRT(4*I84*I84*V*V + 'Drilling Spec'!$C$42*I84 + W*('Drilling Spec'!$C$43 + 2*l*V*(s*W + 2*V*G85/(1+e)) + 'Drilling Spec'!$C$44)) - 'Drilling Spec'!$C$45)/(2*V)</f>
        <v>728.69980844307224</v>
      </c>
      <c r="I85" s="23">
        <f>IF(AND(OR(I84=0,I84=""),F85=0),IF(F86=0,"",'Drilling Spec'!$C$26),H85)</f>
        <v>728.69980844307224</v>
      </c>
      <c r="J85" s="16">
        <f>MAX(0,I85-'Drilling Spec'!$C$30)</f>
        <v>648.69980844307224</v>
      </c>
      <c r="K85" s="18">
        <f>IFERROR(J85/'Drilling Spec'!$C$31,0)</f>
        <v>43.246653896204819</v>
      </c>
      <c r="L85" s="21">
        <f t="shared" si="24"/>
        <v>0</v>
      </c>
      <c r="M85" s="4">
        <f t="shared" si="34"/>
        <v>132</v>
      </c>
      <c r="N85" s="21">
        <f t="shared" si="25"/>
        <v>0</v>
      </c>
      <c r="O85" s="18">
        <f>(SQRT(4*O84*O84*vB*vB + 'Drilling Spec'!$C$48*O84 + WB*('Drilling Spec'!$C$49 + 2*lB*vB*(sB*WB + 2*vB*N85/(1+eB)) + 'Drilling Spec'!$C$50)) - 'Drilling Spec'!$C$51)/(2*vB)</f>
        <v>723.46681615545504</v>
      </c>
      <c r="P85" s="18">
        <f>IFERROR(((S85-'Drilling Spec'!$C$30)/'Drilling Spec'!$C$31)*'Drilling Spec'!$C$32,0)</f>
        <v>38.608008969327301</v>
      </c>
      <c r="Q85" s="18">
        <f t="shared" si="35"/>
        <v>0</v>
      </c>
      <c r="R85" s="18"/>
      <c r="S85" s="26">
        <f>IF(AND(OR(T84=0,T84=""),M85=0),IF(M86=0,"",'Drilling Spec'!$C$30),O85)</f>
        <v>723.46681615545504</v>
      </c>
      <c r="U85" s="15">
        <f>E85*'Drilling Spec'!$C$22 + L85*'Drilling Spec'!$C$23</f>
        <v>0</v>
      </c>
      <c r="V85" s="15">
        <f t="shared" si="36"/>
        <v>19.733008130081299</v>
      </c>
      <c r="W85" s="15">
        <f t="shared" si="26"/>
        <v>0.26699186991870127</v>
      </c>
      <c r="X85" s="10"/>
      <c r="Y85" s="30">
        <f>IF(W85&lt;U86,'Drilling Spec'!$C$35,0)</f>
        <v>0</v>
      </c>
      <c r="AA85" s="4">
        <f t="shared" si="40"/>
        <v>44</v>
      </c>
      <c r="AB85" s="10"/>
      <c r="AC85" s="30">
        <f>IF('04-07-25-Scen4-ExFrontloadCargo'!K86&gt;'04-07-25-Scen4-ExFrontloadCargo'!AA85,'Drilling Spec'!$C$36,)</f>
        <v>0</v>
      </c>
      <c r="AE85" s="18">
        <f>(I85-'Drilling Spec'!$C$26)/'Drilling Spec'!$C$38</f>
        <v>109.78330140717871</v>
      </c>
      <c r="AF85" s="18">
        <f t="shared" si="27"/>
        <v>0</v>
      </c>
      <c r="AG85" s="34">
        <f t="shared" si="28"/>
        <v>0</v>
      </c>
      <c r="AH85" s="10"/>
      <c r="AI85" s="26">
        <f>IF(C85="Camp Closed",AG85,IF(AG85&lt;'Drilling Spec'!$C$39,,'Drilling Spec'!$C$39))</f>
        <v>0</v>
      </c>
      <c r="AL85" s="16">
        <f t="shared" si="29"/>
        <v>-728.69980844307224</v>
      </c>
      <c r="AM85" s="16">
        <f t="shared" si="30"/>
        <v>-723.46681615545504</v>
      </c>
      <c r="AN85">
        <f>-'Drilling Spec'!$C$29</f>
        <v>-720</v>
      </c>
      <c r="AO85">
        <f>-'Drilling Spec'!$C$27</f>
        <v>-624</v>
      </c>
      <c r="AP85">
        <f>-'Drilling Spec'!$C$28</f>
        <v>-688</v>
      </c>
      <c r="AQ85" t="e">
        <f t="shared" si="31"/>
        <v>#N/A</v>
      </c>
      <c r="AR85" t="e">
        <f>IF(X85=0,NA(),-'Drilling Spec'!$C$29*0.1)</f>
        <v>#N/A</v>
      </c>
      <c r="AS85" t="e">
        <f>IF(Y85=0,NA(),-'Drilling Spec'!$C$29*0.1)</f>
        <v>#N/A</v>
      </c>
      <c r="AT85" t="e">
        <f>IF(AB85=0,NA(),-'Drilling Spec'!$C$29*0.2)</f>
        <v>#N/A</v>
      </c>
      <c r="AU85" t="e">
        <f>IF(AC85=0,NA(),-'Drilling Spec'!$C$29*0.2)</f>
        <v>#N/A</v>
      </c>
      <c r="AV85" t="e">
        <f>IF(AH85=0,NA(),-'Drilling Spec'!$C$29*0.3)</f>
        <v>#N/A</v>
      </c>
      <c r="AW85" t="e">
        <f>IF(AI85=0,NA(),-'Drilling Spec'!$C$29*0.3)</f>
        <v>#N/A</v>
      </c>
      <c r="AX85" s="29">
        <f t="shared" si="32"/>
        <v>0.26699186991870127</v>
      </c>
      <c r="AY85" s="29">
        <f t="shared" si="33"/>
        <v>39.361355073122482</v>
      </c>
      <c r="AZ85" s="29">
        <f t="shared" si="37"/>
        <v>0</v>
      </c>
    </row>
    <row r="86" spans="1:52" x14ac:dyDescent="0.35">
      <c r="A86" s="28">
        <f t="shared" ref="A86" si="41">A85+1</f>
        <v>46056</v>
      </c>
      <c r="B86" t="str">
        <f t="shared" si="20"/>
        <v>Tue</v>
      </c>
      <c r="C86" s="10"/>
      <c r="D86" s="10"/>
      <c r="E86" s="4">
        <f t="shared" si="21"/>
        <v>0</v>
      </c>
      <c r="F86" s="4">
        <f t="shared" si="22"/>
        <v>824</v>
      </c>
      <c r="G86" s="4">
        <f t="shared" si="23"/>
        <v>0</v>
      </c>
      <c r="H86" s="15">
        <f>(SQRT(4*I85*I85*V*V + 'Drilling Spec'!$C$42*I85 + W*('Drilling Spec'!$C$43 + 2*l*V*(s*W + 2*V*G86/(1+e)) + 'Drilling Spec'!$C$44)) - 'Drilling Spec'!$C$45)/(2*V)</f>
        <v>728.69980844307224</v>
      </c>
      <c r="I86" s="23">
        <f>IF(AND(OR(I85=0,I85=""),F86=0),IF(F87=0,"",'Drilling Spec'!$C$26),H86)</f>
        <v>728.69980844307224</v>
      </c>
      <c r="J86" s="16">
        <f>MAX(0,I86-'Drilling Spec'!$C$30)</f>
        <v>648.69980844307224</v>
      </c>
      <c r="K86" s="18">
        <f>IFERROR(J86/'Drilling Spec'!$C$31,0)</f>
        <v>43.246653896204819</v>
      </c>
      <c r="L86" s="21">
        <f t="shared" si="24"/>
        <v>0</v>
      </c>
      <c r="M86" s="4">
        <f t="shared" si="34"/>
        <v>132</v>
      </c>
      <c r="N86" s="21">
        <f t="shared" si="25"/>
        <v>0</v>
      </c>
      <c r="O86" s="18">
        <f>(SQRT(4*O85*O85*vB*vB + 'Drilling Spec'!$C$48*O85 + WB*('Drilling Spec'!$C$49 + 2*lB*vB*(sB*WB + 2*vB*N86/(1+eB)) + 'Drilling Spec'!$C$50)) - 'Drilling Spec'!$C$51)/(2*vB)</f>
        <v>723.46681615545504</v>
      </c>
      <c r="P86" s="18">
        <f>IFERROR(((S86-'Drilling Spec'!$C$30)/'Drilling Spec'!$C$31)*'Drilling Spec'!$C$32,0)</f>
        <v>38.608008969327301</v>
      </c>
      <c r="Q86" s="18">
        <f t="shared" si="35"/>
        <v>0</v>
      </c>
      <c r="R86" s="18"/>
      <c r="S86" s="26">
        <f>IF(AND(OR(T85=0,T85=""),M86=0),IF(M87=0,"",'Drilling Spec'!$C$30),O86)</f>
        <v>723.46681615545504</v>
      </c>
      <c r="U86" s="15">
        <f>E86*'Drilling Spec'!$C$22 + L86*'Drilling Spec'!$C$23</f>
        <v>0</v>
      </c>
      <c r="V86" s="15">
        <f t="shared" si="36"/>
        <v>19.733008130081299</v>
      </c>
      <c r="W86" s="15">
        <f t="shared" si="26"/>
        <v>0.26699186991870127</v>
      </c>
      <c r="X86" s="10"/>
      <c r="Y86" s="30">
        <f>IF(W86&lt;U87,'Drilling Spec'!$C$35,0)</f>
        <v>0</v>
      </c>
      <c r="AA86" s="4">
        <f t="shared" si="40"/>
        <v>44</v>
      </c>
      <c r="AB86" s="10"/>
      <c r="AC86" s="30">
        <f>IF('04-07-25-Scen4-ExFrontloadCargo'!K87&gt;'04-07-25-Scen4-ExFrontloadCargo'!AA86,'Drilling Spec'!$C$36,)</f>
        <v>0</v>
      </c>
      <c r="AE86" s="18">
        <f>(I86-'Drilling Spec'!$C$26)/'Drilling Spec'!$C$38</f>
        <v>109.78330140717871</v>
      </c>
      <c r="AF86" s="18">
        <f t="shared" si="27"/>
        <v>0</v>
      </c>
      <c r="AG86" s="34">
        <f t="shared" si="28"/>
        <v>0</v>
      </c>
      <c r="AH86" s="10"/>
      <c r="AI86" s="26">
        <f>IF(C86="Camp Closed",AG86,IF(AG86&lt;'Drilling Spec'!$C$39,,'Drilling Spec'!$C$39))</f>
        <v>0</v>
      </c>
      <c r="AL86" s="16">
        <f t="shared" si="29"/>
        <v>-728.69980844307224</v>
      </c>
      <c r="AM86" s="16">
        <f t="shared" si="30"/>
        <v>-723.46681615545504</v>
      </c>
      <c r="AN86">
        <f>-'Drilling Spec'!$C$29</f>
        <v>-720</v>
      </c>
      <c r="AO86">
        <f>-'Drilling Spec'!$C$27</f>
        <v>-624</v>
      </c>
      <c r="AP86">
        <f>-'Drilling Spec'!$C$28</f>
        <v>-688</v>
      </c>
      <c r="AQ86" t="e">
        <f t="shared" si="31"/>
        <v>#N/A</v>
      </c>
      <c r="AR86" t="e">
        <f>IF(X86=0,NA(),-'Drilling Spec'!$C$29*0.1)</f>
        <v>#N/A</v>
      </c>
      <c r="AS86" t="e">
        <f>IF(Y86=0,NA(),-'Drilling Spec'!$C$29*0.1)</f>
        <v>#N/A</v>
      </c>
      <c r="AT86" t="e">
        <f>IF(AB86=0,NA(),-'Drilling Spec'!$C$29*0.2)</f>
        <v>#N/A</v>
      </c>
      <c r="AU86" t="e">
        <f>IF(AC86=0,NA(),-'Drilling Spec'!$C$29*0.2)</f>
        <v>#N/A</v>
      </c>
      <c r="AV86" t="e">
        <f>IF(AH86=0,NA(),-'Drilling Spec'!$C$29*0.3)</f>
        <v>#N/A</v>
      </c>
      <c r="AW86" t="e">
        <f>IF(AI86=0,NA(),-'Drilling Spec'!$C$29*0.3)</f>
        <v>#N/A</v>
      </c>
      <c r="AX86" s="29">
        <f t="shared" si="32"/>
        <v>0.26699186991870127</v>
      </c>
      <c r="AY86" s="29">
        <f t="shared" si="33"/>
        <v>39.361355073122482</v>
      </c>
      <c r="AZ86" s="29">
        <f t="shared" si="37"/>
        <v>0</v>
      </c>
    </row>
    <row r="87" spans="1:52" x14ac:dyDescent="0.35">
      <c r="A87" s="28">
        <f>A86+1</f>
        <v>46057</v>
      </c>
      <c r="B87" t="str">
        <f t="shared" si="20"/>
        <v>Wed</v>
      </c>
      <c r="C87" s="10"/>
      <c r="D87" s="10"/>
      <c r="E87" s="4">
        <f t="shared" si="21"/>
        <v>0</v>
      </c>
      <c r="F87" s="4">
        <f t="shared" si="22"/>
        <v>824</v>
      </c>
      <c r="G87" s="4">
        <f t="shared" si="23"/>
        <v>0</v>
      </c>
      <c r="H87" s="15">
        <f>(SQRT(4*I86*I86*V*V + 'Drilling Spec'!$C$42*I86 + W*('Drilling Spec'!$C$43 + 2*l*V*(s*W + 2*V*G87/(1+e)) + 'Drilling Spec'!$C$44)) - 'Drilling Spec'!$C$45)/(2*V)</f>
        <v>728.69980844307224</v>
      </c>
      <c r="I87" s="23">
        <f>IF(AND(OR(I86=0,I86=""),F87=0),IF(F88=0,"",'Drilling Spec'!$C$26),H87)</f>
        <v>728.69980844307224</v>
      </c>
      <c r="J87" s="16">
        <f>MAX(0,I87-'Drilling Spec'!$C$30)</f>
        <v>648.69980844307224</v>
      </c>
      <c r="K87" s="18">
        <f>IFERROR(J87/'Drilling Spec'!$C$31,0)</f>
        <v>43.246653896204819</v>
      </c>
      <c r="L87" s="21">
        <f t="shared" si="24"/>
        <v>0</v>
      </c>
      <c r="M87" s="4">
        <f t="shared" si="34"/>
        <v>132</v>
      </c>
      <c r="N87" s="21">
        <f t="shared" si="25"/>
        <v>0</v>
      </c>
      <c r="O87" s="18">
        <f>(SQRT(4*O86*O86*vB*vB + 'Drilling Spec'!$C$48*O86 + WB*('Drilling Spec'!$C$49 + 2*lB*vB*(sB*WB + 2*vB*N87/(1+eB)) + 'Drilling Spec'!$C$50)) - 'Drilling Spec'!$C$51)/(2*vB)</f>
        <v>723.46681615545504</v>
      </c>
      <c r="P87" s="18">
        <f>IFERROR(((S87-'Drilling Spec'!$C$30)/'Drilling Spec'!$C$31)*'Drilling Spec'!$C$32,0)</f>
        <v>38.608008969327301</v>
      </c>
      <c r="Q87" s="18">
        <f t="shared" si="35"/>
        <v>0</v>
      </c>
      <c r="R87" s="18"/>
      <c r="S87" s="26">
        <f>IF(AND(OR(T86=0,T86=""),M87=0),IF(M88=0,"",'Drilling Spec'!$C$30),O87)</f>
        <v>723.46681615545504</v>
      </c>
      <c r="U87" s="15">
        <f>E87*'Drilling Spec'!$C$22 + L87*'Drilling Spec'!$C$23</f>
        <v>0</v>
      </c>
      <c r="V87" s="15">
        <f t="shared" si="36"/>
        <v>19.733008130081299</v>
      </c>
      <c r="W87" s="15">
        <f t="shared" si="26"/>
        <v>0.26699186991870127</v>
      </c>
      <c r="X87" s="10"/>
      <c r="Y87" s="30">
        <f>IF(W87&lt;U88,'Drilling Spec'!$C$35,0)</f>
        <v>0</v>
      </c>
      <c r="AA87" s="4">
        <f t="shared" si="40"/>
        <v>44</v>
      </c>
      <c r="AB87" s="10"/>
      <c r="AC87" s="30">
        <f>IF('04-07-25-Scen4-ExFrontloadCargo'!K88&gt;'04-07-25-Scen4-ExFrontloadCargo'!AA87,'Drilling Spec'!$C$36,)</f>
        <v>0</v>
      </c>
      <c r="AE87" s="18">
        <f>(I87-'Drilling Spec'!$C$26)/'Drilling Spec'!$C$38</f>
        <v>109.78330140717871</v>
      </c>
      <c r="AF87" s="18">
        <f t="shared" si="27"/>
        <v>0</v>
      </c>
      <c r="AG87" s="34">
        <f t="shared" si="28"/>
        <v>0</v>
      </c>
      <c r="AH87" s="10"/>
      <c r="AI87" s="26">
        <f>IF(C87="Camp Closed",AG87,IF(AG87&lt;'Drilling Spec'!$C$39,,'Drilling Spec'!$C$39))</f>
        <v>0</v>
      </c>
      <c r="AL87" s="16">
        <f t="shared" si="29"/>
        <v>-728.69980844307224</v>
      </c>
      <c r="AM87" s="16">
        <f t="shared" si="30"/>
        <v>-723.46681615545504</v>
      </c>
      <c r="AN87">
        <f>-'Drilling Spec'!$C$29</f>
        <v>-720</v>
      </c>
      <c r="AO87">
        <f>-'Drilling Spec'!$C$27</f>
        <v>-624</v>
      </c>
      <c r="AP87">
        <f>-'Drilling Spec'!$C$28</f>
        <v>-688</v>
      </c>
      <c r="AQ87" t="e">
        <f t="shared" si="31"/>
        <v>#N/A</v>
      </c>
      <c r="AR87" t="e">
        <f>IF(X87=0,NA(),-'Drilling Spec'!$C$29*0.1)</f>
        <v>#N/A</v>
      </c>
      <c r="AS87" t="e">
        <f>IF(Y87=0,NA(),-'Drilling Spec'!$C$29*0.1)</f>
        <v>#N/A</v>
      </c>
      <c r="AT87" t="e">
        <f>IF(AB87=0,NA(),-'Drilling Spec'!$C$29*0.2)</f>
        <v>#N/A</v>
      </c>
      <c r="AU87" t="e">
        <f>IF(AC87=0,NA(),-'Drilling Spec'!$C$29*0.2)</f>
        <v>#N/A</v>
      </c>
      <c r="AV87" t="e">
        <f>IF(AH87=0,NA(),-'Drilling Spec'!$C$29*0.3)</f>
        <v>#N/A</v>
      </c>
      <c r="AW87" t="e">
        <f>IF(AI87=0,NA(),-'Drilling Spec'!$C$29*0.3)</f>
        <v>#N/A</v>
      </c>
      <c r="AX87" s="29">
        <f t="shared" si="32"/>
        <v>0.26699186991870127</v>
      </c>
      <c r="AY87" s="29">
        <f t="shared" si="33"/>
        <v>39.361355073122482</v>
      </c>
      <c r="AZ87" s="29">
        <f t="shared" si="37"/>
        <v>0</v>
      </c>
    </row>
    <row r="88" spans="1:52" x14ac:dyDescent="0.35">
      <c r="A88" s="28">
        <f t="shared" ref="A88:A112" si="42">A87+1</f>
        <v>46058</v>
      </c>
      <c r="B88" t="str">
        <f t="shared" si="20"/>
        <v>Thu</v>
      </c>
      <c r="C88" s="10"/>
      <c r="D88" s="10"/>
      <c r="E88" s="4">
        <f t="shared" si="21"/>
        <v>0</v>
      </c>
      <c r="F88" s="4">
        <f t="shared" si="22"/>
        <v>824</v>
      </c>
      <c r="G88" s="4">
        <f t="shared" si="23"/>
        <v>0</v>
      </c>
      <c r="H88" s="15">
        <f>(SQRT(4*I87*I87*V*V + 'Drilling Spec'!$C$42*I87 + W*('Drilling Spec'!$C$43 + 2*l*V*(s*W + 2*V*G88/(1+e)) + 'Drilling Spec'!$C$44)) - 'Drilling Spec'!$C$45)/(2*V)</f>
        <v>728.69980844307224</v>
      </c>
      <c r="I88" s="23">
        <f>IF(AND(OR(I87=0,I87=""),F88=0),IF(F89=0,"",'Drilling Spec'!$C$26),H88)</f>
        <v>728.69980844307224</v>
      </c>
      <c r="J88" s="16">
        <f>MAX(0,I88-'Drilling Spec'!$C$30)</f>
        <v>648.69980844307224</v>
      </c>
      <c r="K88" s="18">
        <f>IFERROR(J88/'Drilling Spec'!$C$31,0)</f>
        <v>43.246653896204819</v>
      </c>
      <c r="L88" s="21">
        <f t="shared" si="24"/>
        <v>0</v>
      </c>
      <c r="M88" s="4">
        <f t="shared" si="34"/>
        <v>132</v>
      </c>
      <c r="N88" s="21">
        <f t="shared" si="25"/>
        <v>0</v>
      </c>
      <c r="O88" s="18">
        <f>(SQRT(4*O87*O87*vB*vB + 'Drilling Spec'!$C$48*O87 + WB*('Drilling Spec'!$C$49 + 2*lB*vB*(sB*WB + 2*vB*N88/(1+eB)) + 'Drilling Spec'!$C$50)) - 'Drilling Spec'!$C$51)/(2*vB)</f>
        <v>723.46681615545504</v>
      </c>
      <c r="P88" s="18">
        <f>IFERROR(((S88-'Drilling Spec'!$C$30)/'Drilling Spec'!$C$31)*'Drilling Spec'!$C$32,0)</f>
        <v>38.608008969327301</v>
      </c>
      <c r="Q88" s="18">
        <f t="shared" si="35"/>
        <v>0</v>
      </c>
      <c r="R88" s="18"/>
      <c r="S88" s="26">
        <f>IF(AND(OR(T87=0,T87=""),M88=0),IF(M89=0,"",'Drilling Spec'!$C$30),O88)</f>
        <v>723.46681615545504</v>
      </c>
      <c r="U88" s="15">
        <f>E88*'Drilling Spec'!$C$22 + L88*'Drilling Spec'!$C$23</f>
        <v>0</v>
      </c>
      <c r="V88" s="15">
        <f t="shared" si="36"/>
        <v>19.733008130081299</v>
      </c>
      <c r="W88" s="15">
        <f t="shared" si="26"/>
        <v>0.26699186991870127</v>
      </c>
      <c r="X88" s="10"/>
      <c r="Y88" s="30">
        <f>IF(W88&lt;U89,'Drilling Spec'!$C$35,0)</f>
        <v>0</v>
      </c>
      <c r="AA88" s="4">
        <f t="shared" si="40"/>
        <v>44</v>
      </c>
      <c r="AB88" s="10"/>
      <c r="AC88" s="30">
        <f>IF('04-07-25-Scen4-ExFrontloadCargo'!K89&gt;'04-07-25-Scen4-ExFrontloadCargo'!AA88,'Drilling Spec'!$C$36,)</f>
        <v>0</v>
      </c>
      <c r="AE88" s="18">
        <f>(I88-'Drilling Spec'!$C$26)/'Drilling Spec'!$C$38</f>
        <v>109.78330140717871</v>
      </c>
      <c r="AF88" s="18">
        <f t="shared" si="27"/>
        <v>0</v>
      </c>
      <c r="AG88" s="34">
        <f t="shared" si="28"/>
        <v>0</v>
      </c>
      <c r="AH88" s="10"/>
      <c r="AI88" s="26">
        <f>IF(C88="Camp Closed",AG88,IF(AG88&lt;'Drilling Spec'!$C$39,,'Drilling Spec'!$C$39))</f>
        <v>0</v>
      </c>
      <c r="AL88" s="16">
        <f t="shared" si="29"/>
        <v>-728.69980844307224</v>
      </c>
      <c r="AM88" s="16">
        <f t="shared" si="30"/>
        <v>-723.46681615545504</v>
      </c>
      <c r="AN88">
        <f>-'Drilling Spec'!$C$29</f>
        <v>-720</v>
      </c>
      <c r="AO88">
        <f>-'Drilling Spec'!$C$27</f>
        <v>-624</v>
      </c>
      <c r="AP88">
        <f>-'Drilling Spec'!$C$28</f>
        <v>-688</v>
      </c>
      <c r="AQ88" t="e">
        <f t="shared" si="31"/>
        <v>#N/A</v>
      </c>
      <c r="AR88" t="e">
        <f>IF(X88=0,NA(),-'Drilling Spec'!$C$29*0.1)</f>
        <v>#N/A</v>
      </c>
      <c r="AS88" t="e">
        <f>IF(Y88=0,NA(),-'Drilling Spec'!$C$29*0.1)</f>
        <v>#N/A</v>
      </c>
      <c r="AT88" t="e">
        <f>IF(AB88=0,NA(),-'Drilling Spec'!$C$29*0.2)</f>
        <v>#N/A</v>
      </c>
      <c r="AU88" t="e">
        <f>IF(AC88=0,NA(),-'Drilling Spec'!$C$29*0.2)</f>
        <v>#N/A</v>
      </c>
      <c r="AV88" t="e">
        <f>IF(AH88=0,NA(),-'Drilling Spec'!$C$29*0.3)</f>
        <v>#N/A</v>
      </c>
      <c r="AW88" t="e">
        <f>IF(AI88=0,NA(),-'Drilling Spec'!$C$29*0.3)</f>
        <v>#N/A</v>
      </c>
      <c r="AX88" s="29">
        <f t="shared" si="32"/>
        <v>0.26699186991870127</v>
      </c>
      <c r="AY88" s="29">
        <f t="shared" si="33"/>
        <v>39.361355073122482</v>
      </c>
      <c r="AZ88" s="29">
        <f t="shared" si="37"/>
        <v>0</v>
      </c>
    </row>
    <row r="89" spans="1:52" x14ac:dyDescent="0.35">
      <c r="A89" s="28">
        <f t="shared" si="42"/>
        <v>46059</v>
      </c>
      <c r="B89" t="str">
        <f t="shared" si="20"/>
        <v>Fri</v>
      </c>
      <c r="C89" s="10"/>
      <c r="D89" s="10"/>
      <c r="E89" s="4">
        <f t="shared" si="21"/>
        <v>0</v>
      </c>
      <c r="F89" s="4">
        <f t="shared" si="22"/>
        <v>824</v>
      </c>
      <c r="G89" s="4">
        <f t="shared" si="23"/>
        <v>0</v>
      </c>
      <c r="H89" s="15">
        <f>(SQRT(4*I88*I88*V*V + 'Drilling Spec'!$C$42*I88 + W*('Drilling Spec'!$C$43 + 2*l*V*(s*W + 2*V*G89/(1+e)) + 'Drilling Spec'!$C$44)) - 'Drilling Spec'!$C$45)/(2*V)</f>
        <v>728.69980844307224</v>
      </c>
      <c r="I89" s="23">
        <f>IF(AND(OR(I88=0,I88=""),F89=0),IF(F90=0,"",'Drilling Spec'!$C$26),H89)</f>
        <v>728.69980844307224</v>
      </c>
      <c r="J89" s="16">
        <f>MAX(0,I89-'Drilling Spec'!$C$30)</f>
        <v>648.69980844307224</v>
      </c>
      <c r="K89" s="18">
        <f>IFERROR(J89/'Drilling Spec'!$C$31,0)</f>
        <v>43.246653896204819</v>
      </c>
      <c r="L89" s="21">
        <f t="shared" si="24"/>
        <v>0</v>
      </c>
      <c r="M89" s="4">
        <f t="shared" si="34"/>
        <v>132</v>
      </c>
      <c r="N89" s="21">
        <f t="shared" si="25"/>
        <v>0</v>
      </c>
      <c r="O89" s="18">
        <f>(SQRT(4*O88*O88*vB*vB + 'Drilling Spec'!$C$48*O88 + WB*('Drilling Spec'!$C$49 + 2*lB*vB*(sB*WB + 2*vB*N89/(1+eB)) + 'Drilling Spec'!$C$50)) - 'Drilling Spec'!$C$51)/(2*vB)</f>
        <v>723.46681615545504</v>
      </c>
      <c r="P89" s="18">
        <f>IFERROR(((S89-'Drilling Spec'!$C$30)/'Drilling Spec'!$C$31)*'Drilling Spec'!$C$32,0)</f>
        <v>38.608008969327301</v>
      </c>
      <c r="Q89" s="18">
        <f t="shared" si="35"/>
        <v>0</v>
      </c>
      <c r="R89" s="18"/>
      <c r="S89" s="26">
        <f>IF(AND(OR(T88=0,T88=""),M89=0),IF(M90=0,"",'Drilling Spec'!$C$30),O89)</f>
        <v>723.46681615545504</v>
      </c>
      <c r="U89" s="15">
        <f>E89*'Drilling Spec'!$C$22 + L89*'Drilling Spec'!$C$23</f>
        <v>0</v>
      </c>
      <c r="V89" s="15">
        <f t="shared" si="36"/>
        <v>19.733008130081299</v>
      </c>
      <c r="W89" s="15">
        <f t="shared" si="26"/>
        <v>0.26699186991870127</v>
      </c>
      <c r="X89" s="10"/>
      <c r="Y89" s="30">
        <f>IF(W89&lt;U90,'Drilling Spec'!$C$35,0)</f>
        <v>0</v>
      </c>
      <c r="AA89" s="4">
        <f t="shared" si="40"/>
        <v>44</v>
      </c>
      <c r="AB89" s="10"/>
      <c r="AC89" s="30">
        <f>IF('04-07-25-Scen4-ExFrontloadCargo'!K90&gt;'04-07-25-Scen4-ExFrontloadCargo'!AA89,'Drilling Spec'!$C$36,)</f>
        <v>0</v>
      </c>
      <c r="AE89" s="18">
        <f>(I89-'Drilling Spec'!$C$26)/'Drilling Spec'!$C$38</f>
        <v>109.78330140717871</v>
      </c>
      <c r="AF89" s="18">
        <f t="shared" si="27"/>
        <v>0</v>
      </c>
      <c r="AG89" s="34">
        <f t="shared" si="28"/>
        <v>0</v>
      </c>
      <c r="AH89" s="10"/>
      <c r="AI89" s="26">
        <f>IF(C89="Camp Closed",AG89,IF(AG89&lt;'Drilling Spec'!$C$39,,'Drilling Spec'!$C$39))</f>
        <v>0</v>
      </c>
      <c r="AL89" s="16">
        <f t="shared" si="29"/>
        <v>-728.69980844307224</v>
      </c>
      <c r="AM89" s="16">
        <f t="shared" si="30"/>
        <v>-723.46681615545504</v>
      </c>
      <c r="AN89">
        <f>-'Drilling Spec'!$C$29</f>
        <v>-720</v>
      </c>
      <c r="AO89">
        <f>-'Drilling Spec'!$C$27</f>
        <v>-624</v>
      </c>
      <c r="AP89">
        <f>-'Drilling Spec'!$C$28</f>
        <v>-688</v>
      </c>
      <c r="AQ89" t="e">
        <f t="shared" si="31"/>
        <v>#N/A</v>
      </c>
      <c r="AR89" t="e">
        <f>IF(X89=0,NA(),-'Drilling Spec'!$C$29*0.1)</f>
        <v>#N/A</v>
      </c>
      <c r="AS89" t="e">
        <f>IF(Y89=0,NA(),-'Drilling Spec'!$C$29*0.1)</f>
        <v>#N/A</v>
      </c>
      <c r="AT89" t="e">
        <f>IF(AB89=0,NA(),-'Drilling Spec'!$C$29*0.2)</f>
        <v>#N/A</v>
      </c>
      <c r="AU89" t="e">
        <f>IF(AC89=0,NA(),-'Drilling Spec'!$C$29*0.2)</f>
        <v>#N/A</v>
      </c>
      <c r="AV89" t="e">
        <f>IF(AH89=0,NA(),-'Drilling Spec'!$C$29*0.3)</f>
        <v>#N/A</v>
      </c>
      <c r="AW89" t="e">
        <f>IF(AI89=0,NA(),-'Drilling Spec'!$C$29*0.3)</f>
        <v>#N/A</v>
      </c>
      <c r="AX89" s="29">
        <f t="shared" si="32"/>
        <v>0.26699186991870127</v>
      </c>
      <c r="AY89" s="29">
        <f t="shared" si="33"/>
        <v>39.361355073122482</v>
      </c>
      <c r="AZ89" s="29">
        <f t="shared" si="37"/>
        <v>0</v>
      </c>
    </row>
    <row r="90" spans="1:52" x14ac:dyDescent="0.35">
      <c r="A90" s="28">
        <f t="shared" si="42"/>
        <v>46060</v>
      </c>
      <c r="B90" t="str">
        <f t="shared" si="20"/>
        <v>Sat</v>
      </c>
      <c r="C90" s="10"/>
      <c r="D90" s="10"/>
      <c r="E90" s="4">
        <f t="shared" si="21"/>
        <v>0</v>
      </c>
      <c r="F90" s="4">
        <f t="shared" si="22"/>
        <v>824</v>
      </c>
      <c r="G90" s="4">
        <f t="shared" si="23"/>
        <v>0</v>
      </c>
      <c r="H90" s="15">
        <f>(SQRT(4*I89*I89*V*V + 'Drilling Spec'!$C$42*I89 + W*('Drilling Spec'!$C$43 + 2*l*V*(s*W + 2*V*G90/(1+e)) + 'Drilling Spec'!$C$44)) - 'Drilling Spec'!$C$45)/(2*V)</f>
        <v>728.69980844307224</v>
      </c>
      <c r="I90" s="23">
        <f>IF(AND(OR(I89=0,I89=""),F90=0),IF(F91=0,"",'Drilling Spec'!$C$26),H90)</f>
        <v>728.69980844307224</v>
      </c>
      <c r="J90" s="16">
        <f>MAX(0,I90-'Drilling Spec'!$C$30)</f>
        <v>648.69980844307224</v>
      </c>
      <c r="K90" s="18">
        <f>IFERROR(J90/'Drilling Spec'!$C$31,0)</f>
        <v>43.246653896204819</v>
      </c>
      <c r="L90" s="21">
        <f t="shared" si="24"/>
        <v>0</v>
      </c>
      <c r="M90" s="4">
        <f t="shared" si="34"/>
        <v>132</v>
      </c>
      <c r="N90" s="21">
        <f t="shared" si="25"/>
        <v>0</v>
      </c>
      <c r="O90" s="18">
        <f>(SQRT(4*O89*O89*vB*vB + 'Drilling Spec'!$C$48*O89 + WB*('Drilling Spec'!$C$49 + 2*lB*vB*(sB*WB + 2*vB*N90/(1+eB)) + 'Drilling Spec'!$C$50)) - 'Drilling Spec'!$C$51)/(2*vB)</f>
        <v>723.46681615545504</v>
      </c>
      <c r="P90" s="18">
        <f>IFERROR(((S90-'Drilling Spec'!$C$30)/'Drilling Spec'!$C$31)*'Drilling Spec'!$C$32,0)</f>
        <v>38.608008969327301</v>
      </c>
      <c r="Q90" s="18">
        <f t="shared" si="35"/>
        <v>0</v>
      </c>
      <c r="R90" s="18"/>
      <c r="S90" s="26">
        <f>IF(AND(OR(T89=0,T89=""),M90=0),IF(M91=0,"",'Drilling Spec'!$C$30),O90)</f>
        <v>723.46681615545504</v>
      </c>
      <c r="U90" s="15">
        <f>E90*'Drilling Spec'!$C$22 + L90*'Drilling Spec'!$C$23</f>
        <v>0</v>
      </c>
      <c r="V90" s="15">
        <f t="shared" si="36"/>
        <v>19.733008130081299</v>
      </c>
      <c r="W90" s="15">
        <f t="shared" si="26"/>
        <v>0.26699186991870127</v>
      </c>
      <c r="X90" s="10"/>
      <c r="Y90" s="30">
        <f>IF(W90&lt;U91,'Drilling Spec'!$C$35,0)</f>
        <v>0</v>
      </c>
      <c r="AA90" s="4">
        <f t="shared" si="40"/>
        <v>44</v>
      </c>
      <c r="AB90" s="10"/>
      <c r="AC90" s="30">
        <f>IF('04-07-25-Scen4-ExFrontloadCargo'!K91&gt;'04-07-25-Scen4-ExFrontloadCargo'!AA90,'Drilling Spec'!$C$36,)</f>
        <v>0</v>
      </c>
      <c r="AE90" s="18">
        <f>(I90-'Drilling Spec'!$C$26)/'Drilling Spec'!$C$38</f>
        <v>109.78330140717871</v>
      </c>
      <c r="AF90" s="18">
        <f t="shared" si="27"/>
        <v>0</v>
      </c>
      <c r="AG90" s="34">
        <f t="shared" si="28"/>
        <v>0</v>
      </c>
      <c r="AH90" s="10"/>
      <c r="AI90" s="26">
        <f>IF(C90="Camp Closed",AG90,IF(AG90&lt;'Drilling Spec'!$C$39,,'Drilling Spec'!$C$39))</f>
        <v>0</v>
      </c>
      <c r="AL90" s="16">
        <f t="shared" si="29"/>
        <v>-728.69980844307224</v>
      </c>
      <c r="AM90" s="16">
        <f t="shared" si="30"/>
        <v>-723.46681615545504</v>
      </c>
      <c r="AN90">
        <f>-'Drilling Spec'!$C$29</f>
        <v>-720</v>
      </c>
      <c r="AO90">
        <f>-'Drilling Spec'!$C$27</f>
        <v>-624</v>
      </c>
      <c r="AP90">
        <f>-'Drilling Spec'!$C$28</f>
        <v>-688</v>
      </c>
      <c r="AQ90" t="e">
        <f t="shared" si="31"/>
        <v>#N/A</v>
      </c>
      <c r="AR90" t="e">
        <f>IF(X90=0,NA(),-'Drilling Spec'!$C$29*0.1)</f>
        <v>#N/A</v>
      </c>
      <c r="AS90" t="e">
        <f>IF(Y90=0,NA(),-'Drilling Spec'!$C$29*0.1)</f>
        <v>#N/A</v>
      </c>
      <c r="AT90" t="e">
        <f>IF(AB90=0,NA(),-'Drilling Spec'!$C$29*0.2)</f>
        <v>#N/A</v>
      </c>
      <c r="AU90" t="e">
        <f>IF(AC90=0,NA(),-'Drilling Spec'!$C$29*0.2)</f>
        <v>#N/A</v>
      </c>
      <c r="AV90" t="e">
        <f>IF(AH90=0,NA(),-'Drilling Spec'!$C$29*0.3)</f>
        <v>#N/A</v>
      </c>
      <c r="AW90" t="e">
        <f>IF(AI90=0,NA(),-'Drilling Spec'!$C$29*0.3)</f>
        <v>#N/A</v>
      </c>
      <c r="AX90" s="29">
        <f t="shared" si="32"/>
        <v>0.26699186991870127</v>
      </c>
      <c r="AY90" s="29">
        <f t="shared" si="33"/>
        <v>39.361355073122482</v>
      </c>
      <c r="AZ90" s="29">
        <f t="shared" si="37"/>
        <v>0</v>
      </c>
    </row>
    <row r="91" spans="1:52" x14ac:dyDescent="0.35">
      <c r="A91" s="28">
        <f t="shared" si="42"/>
        <v>46061</v>
      </c>
      <c r="B91" t="str">
        <f t="shared" si="20"/>
        <v>Sun</v>
      </c>
      <c r="C91" s="10"/>
      <c r="D91" s="10"/>
      <c r="E91" s="4">
        <f t="shared" si="21"/>
        <v>0</v>
      </c>
      <c r="F91" s="4">
        <f t="shared" si="22"/>
        <v>824</v>
      </c>
      <c r="G91" s="4">
        <f t="shared" si="23"/>
        <v>0</v>
      </c>
      <c r="H91" s="15">
        <f>(SQRT(4*I90*I90*V*V + 'Drilling Spec'!$C$42*I90 + W*('Drilling Spec'!$C$43 + 2*l*V*(s*W + 2*V*G91/(1+e)) + 'Drilling Spec'!$C$44)) - 'Drilling Spec'!$C$45)/(2*V)</f>
        <v>728.69980844307224</v>
      </c>
      <c r="I91" s="23">
        <f>IF(AND(OR(I90=0,I90=""),F91=0),IF(F92=0,"",'Drilling Spec'!$C$26),H91)</f>
        <v>728.69980844307224</v>
      </c>
      <c r="J91" s="16">
        <f>MAX(0,I91-'Drilling Spec'!$C$30)</f>
        <v>648.69980844307224</v>
      </c>
      <c r="K91" s="18">
        <f>IFERROR(J91/'Drilling Spec'!$C$31,0)</f>
        <v>43.246653896204819</v>
      </c>
      <c r="L91" s="21">
        <f t="shared" si="24"/>
        <v>0</v>
      </c>
      <c r="M91" s="4">
        <f t="shared" si="34"/>
        <v>132</v>
      </c>
      <c r="N91" s="21">
        <f t="shared" si="25"/>
        <v>0</v>
      </c>
      <c r="O91" s="18">
        <f>(SQRT(4*O90*O90*vB*vB + 'Drilling Spec'!$C$48*O90 + WB*('Drilling Spec'!$C$49 + 2*lB*vB*(sB*WB + 2*vB*N91/(1+eB)) + 'Drilling Spec'!$C$50)) - 'Drilling Spec'!$C$51)/(2*vB)</f>
        <v>723.46681615545504</v>
      </c>
      <c r="P91" s="18">
        <f>IFERROR(((S91-'Drilling Spec'!$C$30)/'Drilling Spec'!$C$31)*'Drilling Spec'!$C$32,0)</f>
        <v>38.608008969327301</v>
      </c>
      <c r="Q91" s="18">
        <f t="shared" si="35"/>
        <v>0</v>
      </c>
      <c r="R91" s="18"/>
      <c r="S91" s="26">
        <f>IF(AND(OR(T90=0,T90=""),M91=0),IF(M92=0,"",'Drilling Spec'!$C$30),O91)</f>
        <v>723.46681615545504</v>
      </c>
      <c r="U91" s="15">
        <f>E91*'Drilling Spec'!$C$22 + L91*'Drilling Spec'!$C$23</f>
        <v>0</v>
      </c>
      <c r="V91" s="15">
        <f t="shared" si="36"/>
        <v>19.733008130081299</v>
      </c>
      <c r="W91" s="15">
        <f t="shared" si="26"/>
        <v>0.26699186991870127</v>
      </c>
      <c r="X91" s="10"/>
      <c r="Y91" s="30">
        <f>IF(W91&lt;U92,'Drilling Spec'!$C$35,0)</f>
        <v>0</v>
      </c>
      <c r="AA91" s="4">
        <f t="shared" si="40"/>
        <v>44</v>
      </c>
      <c r="AB91" s="10"/>
      <c r="AC91" s="30">
        <f>IF('04-07-25-Scen4-ExFrontloadCargo'!K92&gt;'04-07-25-Scen4-ExFrontloadCargo'!AA91,'Drilling Spec'!$C$36,)</f>
        <v>0</v>
      </c>
      <c r="AE91" s="18">
        <f>(I91-'Drilling Spec'!$C$26)/'Drilling Spec'!$C$38</f>
        <v>109.78330140717871</v>
      </c>
      <c r="AF91" s="18">
        <f t="shared" si="27"/>
        <v>0</v>
      </c>
      <c r="AG91" s="34">
        <f t="shared" si="28"/>
        <v>0</v>
      </c>
      <c r="AH91" s="10"/>
      <c r="AI91" s="26">
        <f>IF(C91="Camp Closed",AG91,IF(AG91&lt;'Drilling Spec'!$C$39,,'Drilling Spec'!$C$39))</f>
        <v>0</v>
      </c>
      <c r="AL91" s="16">
        <f t="shared" si="29"/>
        <v>-728.69980844307224</v>
      </c>
      <c r="AM91" s="16">
        <f t="shared" si="30"/>
        <v>-723.46681615545504</v>
      </c>
      <c r="AN91">
        <f>-'Drilling Spec'!$C$29</f>
        <v>-720</v>
      </c>
      <c r="AO91">
        <f>-'Drilling Spec'!$C$27</f>
        <v>-624</v>
      </c>
      <c r="AP91">
        <f>-'Drilling Spec'!$C$28</f>
        <v>-688</v>
      </c>
      <c r="AQ91" t="e">
        <f t="shared" si="31"/>
        <v>#N/A</v>
      </c>
      <c r="AR91" t="e">
        <f>IF(X91=0,NA(),-'Drilling Spec'!$C$29*0.1)</f>
        <v>#N/A</v>
      </c>
      <c r="AS91" t="e">
        <f>IF(Y91=0,NA(),-'Drilling Spec'!$C$29*0.1)</f>
        <v>#N/A</v>
      </c>
      <c r="AT91" t="e">
        <f>IF(AB91=0,NA(),-'Drilling Spec'!$C$29*0.2)</f>
        <v>#N/A</v>
      </c>
      <c r="AU91" t="e">
        <f>IF(AC91=0,NA(),-'Drilling Spec'!$C$29*0.2)</f>
        <v>#N/A</v>
      </c>
      <c r="AV91" t="e">
        <f>IF(AH91=0,NA(),-'Drilling Spec'!$C$29*0.3)</f>
        <v>#N/A</v>
      </c>
      <c r="AW91" t="e">
        <f>IF(AI91=0,NA(),-'Drilling Spec'!$C$29*0.3)</f>
        <v>#N/A</v>
      </c>
      <c r="AX91" s="29">
        <f t="shared" si="32"/>
        <v>0.26699186991870127</v>
      </c>
      <c r="AY91" s="29">
        <f t="shared" si="33"/>
        <v>39.361355073122482</v>
      </c>
      <c r="AZ91" s="29">
        <f t="shared" si="37"/>
        <v>0</v>
      </c>
    </row>
    <row r="92" spans="1:52" x14ac:dyDescent="0.35">
      <c r="A92" s="28">
        <f t="shared" si="42"/>
        <v>46062</v>
      </c>
      <c r="B92" t="str">
        <f t="shared" si="20"/>
        <v>Mon</v>
      </c>
      <c r="C92" s="10"/>
      <c r="D92" s="10"/>
      <c r="E92" s="4">
        <f t="shared" si="21"/>
        <v>0</v>
      </c>
      <c r="F92" s="4">
        <f t="shared" si="22"/>
        <v>824</v>
      </c>
      <c r="G92" s="4">
        <f t="shared" si="23"/>
        <v>0</v>
      </c>
      <c r="H92" s="15">
        <f>(SQRT(4*I91*I91*V*V + 'Drilling Spec'!$C$42*I91 + W*('Drilling Spec'!$C$43 + 2*l*V*(s*W + 2*V*G92/(1+e)) + 'Drilling Spec'!$C$44)) - 'Drilling Spec'!$C$45)/(2*V)</f>
        <v>728.69980844307224</v>
      </c>
      <c r="I92" s="23">
        <f>IF(AND(OR(I91=0,I91=""),F92=0),IF(F93=0,"",'Drilling Spec'!$C$26),H92)</f>
        <v>728.69980844307224</v>
      </c>
      <c r="J92" s="16">
        <f>MAX(0,I92-'Drilling Spec'!$C$30)</f>
        <v>648.69980844307224</v>
      </c>
      <c r="K92" s="18">
        <f>IFERROR(J92/'Drilling Spec'!$C$31,0)</f>
        <v>43.246653896204819</v>
      </c>
      <c r="L92" s="21">
        <f t="shared" si="24"/>
        <v>0</v>
      </c>
      <c r="M92" s="4">
        <f t="shared" si="34"/>
        <v>132</v>
      </c>
      <c r="N92" s="21">
        <f t="shared" si="25"/>
        <v>0</v>
      </c>
      <c r="O92" s="18">
        <f>(SQRT(4*O91*O91*vB*vB + 'Drilling Spec'!$C$48*O91 + WB*('Drilling Spec'!$C$49 + 2*lB*vB*(sB*WB + 2*vB*N92/(1+eB)) + 'Drilling Spec'!$C$50)) - 'Drilling Spec'!$C$51)/(2*vB)</f>
        <v>723.46681615545504</v>
      </c>
      <c r="P92" s="18">
        <f>IFERROR(((S92-'Drilling Spec'!$C$30)/'Drilling Spec'!$C$31)*'Drilling Spec'!$C$32,0)</f>
        <v>38.608008969327301</v>
      </c>
      <c r="Q92" s="18">
        <f t="shared" si="35"/>
        <v>0</v>
      </c>
      <c r="R92" s="18"/>
      <c r="S92" s="26">
        <f>IF(AND(OR(T91=0,T91=""),M92=0),IF(M93=0,"",'Drilling Spec'!$C$30),O92)</f>
        <v>723.46681615545504</v>
      </c>
      <c r="U92" s="15">
        <f>E92*'Drilling Spec'!$C$22 + L92*'Drilling Spec'!$C$23</f>
        <v>0</v>
      </c>
      <c r="V92" s="15">
        <f t="shared" si="36"/>
        <v>19.733008130081299</v>
      </c>
      <c r="W92" s="15">
        <f t="shared" si="26"/>
        <v>0.26699186991870127</v>
      </c>
      <c r="X92" s="10"/>
      <c r="Y92" s="30">
        <f>IF(W92&lt;U93,'Drilling Spec'!$C$35,0)</f>
        <v>0</v>
      </c>
      <c r="AA92" s="4">
        <f t="shared" si="40"/>
        <v>44</v>
      </c>
      <c r="AB92" s="10"/>
      <c r="AC92" s="30">
        <f>IF('04-07-25-Scen4-ExFrontloadCargo'!K93&gt;'04-07-25-Scen4-ExFrontloadCargo'!AA92,'Drilling Spec'!$C$36,)</f>
        <v>0</v>
      </c>
      <c r="AE92" s="18">
        <f>(I92-'Drilling Spec'!$C$26)/'Drilling Spec'!$C$38</f>
        <v>109.78330140717871</v>
      </c>
      <c r="AF92" s="18">
        <f t="shared" si="27"/>
        <v>0</v>
      </c>
      <c r="AG92" s="34">
        <f t="shared" si="28"/>
        <v>0</v>
      </c>
      <c r="AH92" s="10"/>
      <c r="AI92" s="26">
        <f>IF(C92="Camp Closed",AG92,IF(AG92&lt;'Drilling Spec'!$C$39,,'Drilling Spec'!$C$39))</f>
        <v>0</v>
      </c>
      <c r="AL92" s="16">
        <f t="shared" si="29"/>
        <v>-728.69980844307224</v>
      </c>
      <c r="AM92" s="16">
        <f t="shared" si="30"/>
        <v>-723.46681615545504</v>
      </c>
      <c r="AN92">
        <f>-'Drilling Spec'!$C$29</f>
        <v>-720</v>
      </c>
      <c r="AO92">
        <f>-'Drilling Spec'!$C$27</f>
        <v>-624</v>
      </c>
      <c r="AP92">
        <f>-'Drilling Spec'!$C$28</f>
        <v>-688</v>
      </c>
      <c r="AQ92" t="e">
        <f t="shared" si="31"/>
        <v>#N/A</v>
      </c>
      <c r="AR92" t="e">
        <f>IF(X92=0,NA(),-'Drilling Spec'!$C$29*0.1)</f>
        <v>#N/A</v>
      </c>
      <c r="AS92" t="e">
        <f>IF(Y92=0,NA(),-'Drilling Spec'!$C$29*0.1)</f>
        <v>#N/A</v>
      </c>
      <c r="AT92" t="e">
        <f>IF(AB92=0,NA(),-'Drilling Spec'!$C$29*0.2)</f>
        <v>#N/A</v>
      </c>
      <c r="AU92" t="e">
        <f>IF(AC92=0,NA(),-'Drilling Spec'!$C$29*0.2)</f>
        <v>#N/A</v>
      </c>
      <c r="AV92" t="e">
        <f>IF(AH92=0,NA(),-'Drilling Spec'!$C$29*0.3)</f>
        <v>#N/A</v>
      </c>
      <c r="AW92" t="e">
        <f>IF(AI92=0,NA(),-'Drilling Spec'!$C$29*0.3)</f>
        <v>#N/A</v>
      </c>
      <c r="AX92" s="29">
        <f t="shared" si="32"/>
        <v>0.26699186991870127</v>
      </c>
      <c r="AY92" s="29">
        <f t="shared" si="33"/>
        <v>39.361355073122482</v>
      </c>
      <c r="AZ92" s="29">
        <f t="shared" si="37"/>
        <v>0</v>
      </c>
    </row>
    <row r="93" spans="1:52" x14ac:dyDescent="0.35">
      <c r="A93" s="28">
        <f t="shared" si="42"/>
        <v>46063</v>
      </c>
      <c r="B93" t="str">
        <f t="shared" si="20"/>
        <v>Tue</v>
      </c>
      <c r="C93" s="10"/>
      <c r="D93" s="10"/>
      <c r="E93" s="4">
        <f t="shared" si="21"/>
        <v>0</v>
      </c>
      <c r="F93" s="4">
        <f t="shared" si="22"/>
        <v>824</v>
      </c>
      <c r="G93" s="4">
        <f t="shared" si="23"/>
        <v>0</v>
      </c>
      <c r="H93" s="15">
        <f>(SQRT(4*I92*I92*V*V + 'Drilling Spec'!$C$42*I92 + W*('Drilling Spec'!$C$43 + 2*l*V*(s*W + 2*V*G93/(1+e)) + 'Drilling Spec'!$C$44)) - 'Drilling Spec'!$C$45)/(2*V)</f>
        <v>728.69980844307224</v>
      </c>
      <c r="I93" s="23">
        <f>IF(AND(OR(I92=0,I92=""),F93=0),IF(F94=0,"",'Drilling Spec'!$C$26),H93)</f>
        <v>728.69980844307224</v>
      </c>
      <c r="J93" s="16">
        <f>MAX(0,I93-'Drilling Spec'!$C$30)</f>
        <v>648.69980844307224</v>
      </c>
      <c r="K93" s="18">
        <f>IFERROR(J93/'Drilling Spec'!$C$31,0)</f>
        <v>43.246653896204819</v>
      </c>
      <c r="L93" s="21">
        <f t="shared" si="24"/>
        <v>0</v>
      </c>
      <c r="M93" s="4">
        <f t="shared" si="34"/>
        <v>132</v>
      </c>
      <c r="N93" s="21">
        <f t="shared" si="25"/>
        <v>0</v>
      </c>
      <c r="O93" s="18">
        <f>(SQRT(4*O92*O92*vB*vB + 'Drilling Spec'!$C$48*O92 + WB*('Drilling Spec'!$C$49 + 2*lB*vB*(sB*WB + 2*vB*N93/(1+eB)) + 'Drilling Spec'!$C$50)) - 'Drilling Spec'!$C$51)/(2*vB)</f>
        <v>723.46681615545504</v>
      </c>
      <c r="P93" s="18">
        <f>IFERROR(((S93-'Drilling Spec'!$C$30)/'Drilling Spec'!$C$31)*'Drilling Spec'!$C$32,0)</f>
        <v>38.608008969327301</v>
      </c>
      <c r="Q93" s="18">
        <f t="shared" si="35"/>
        <v>0</v>
      </c>
      <c r="R93" s="18"/>
      <c r="S93" s="26">
        <f>IF(AND(OR(T92=0,T92=""),M93=0),IF(M94=0,"",'Drilling Spec'!$C$30),O93)</f>
        <v>723.46681615545504</v>
      </c>
      <c r="U93" s="15">
        <f>E93*'Drilling Spec'!$C$22 + L93*'Drilling Spec'!$C$23</f>
        <v>0</v>
      </c>
      <c r="V93" s="15">
        <f t="shared" si="36"/>
        <v>19.733008130081299</v>
      </c>
      <c r="W93" s="15">
        <f t="shared" si="26"/>
        <v>0.26699186991870127</v>
      </c>
      <c r="X93" s="10"/>
      <c r="Y93" s="30">
        <f>IF(W93&lt;U94,'Drilling Spec'!$C$35,0)</f>
        <v>0</v>
      </c>
      <c r="AA93" s="4">
        <f t="shared" si="40"/>
        <v>44</v>
      </c>
      <c r="AB93" s="10"/>
      <c r="AC93" s="30">
        <f>IF('04-07-25-Scen4-ExFrontloadCargo'!K94&gt;'04-07-25-Scen4-ExFrontloadCargo'!AA93,'Drilling Spec'!$C$36,)</f>
        <v>0</v>
      </c>
      <c r="AE93" s="18">
        <f>(I93-'Drilling Spec'!$C$26)/'Drilling Spec'!$C$38</f>
        <v>109.78330140717871</v>
      </c>
      <c r="AF93" s="18">
        <f t="shared" si="27"/>
        <v>0</v>
      </c>
      <c r="AG93" s="34">
        <f t="shared" si="28"/>
        <v>0</v>
      </c>
      <c r="AH93" s="10"/>
      <c r="AI93" s="26">
        <f>IF(C93="Camp Closed",AG93,IF(AG93&lt;'Drilling Spec'!$C$39,,'Drilling Spec'!$C$39))</f>
        <v>0</v>
      </c>
      <c r="AL93" s="16">
        <f t="shared" si="29"/>
        <v>-728.69980844307224</v>
      </c>
      <c r="AM93" s="16">
        <f t="shared" si="30"/>
        <v>-723.46681615545504</v>
      </c>
      <c r="AN93">
        <f>-'Drilling Spec'!$C$29</f>
        <v>-720</v>
      </c>
      <c r="AO93">
        <f>-'Drilling Spec'!$C$27</f>
        <v>-624</v>
      </c>
      <c r="AP93">
        <f>-'Drilling Spec'!$C$28</f>
        <v>-688</v>
      </c>
      <c r="AQ93" t="e">
        <f t="shared" si="31"/>
        <v>#N/A</v>
      </c>
      <c r="AR93" t="e">
        <f>IF(X93=0,NA(),-'Drilling Spec'!$C$29*0.1)</f>
        <v>#N/A</v>
      </c>
      <c r="AS93" t="e">
        <f>IF(Y93=0,NA(),-'Drilling Spec'!$C$29*0.1)</f>
        <v>#N/A</v>
      </c>
      <c r="AT93" t="e">
        <f>IF(AB93=0,NA(),-'Drilling Spec'!$C$29*0.2)</f>
        <v>#N/A</v>
      </c>
      <c r="AU93" t="e">
        <f>IF(AC93=0,NA(),-'Drilling Spec'!$C$29*0.2)</f>
        <v>#N/A</v>
      </c>
      <c r="AV93" t="e">
        <f>IF(AH93=0,NA(),-'Drilling Spec'!$C$29*0.3)</f>
        <v>#N/A</v>
      </c>
      <c r="AW93" t="e">
        <f>IF(AI93=0,NA(),-'Drilling Spec'!$C$29*0.3)</f>
        <v>#N/A</v>
      </c>
      <c r="AX93" s="29">
        <f t="shared" si="32"/>
        <v>0.26699186991870127</v>
      </c>
      <c r="AY93" s="29">
        <f t="shared" si="33"/>
        <v>39.361355073122482</v>
      </c>
      <c r="AZ93" s="29">
        <f t="shared" si="37"/>
        <v>0</v>
      </c>
    </row>
    <row r="94" spans="1:52" x14ac:dyDescent="0.35">
      <c r="A94" s="28">
        <f t="shared" si="42"/>
        <v>46064</v>
      </c>
      <c r="B94" t="str">
        <f t="shared" si="20"/>
        <v>Wed</v>
      </c>
      <c r="C94" s="10"/>
      <c r="D94" s="10"/>
      <c r="E94" s="4">
        <f t="shared" si="21"/>
        <v>0</v>
      </c>
      <c r="F94" s="4">
        <f t="shared" si="22"/>
        <v>824</v>
      </c>
      <c r="G94" s="4">
        <f t="shared" si="23"/>
        <v>0</v>
      </c>
      <c r="H94" s="15">
        <f>(SQRT(4*I93*I93*V*V + 'Drilling Spec'!$C$42*I93 + W*('Drilling Spec'!$C$43 + 2*l*V*(s*W + 2*V*G94/(1+e)) + 'Drilling Spec'!$C$44)) - 'Drilling Spec'!$C$45)/(2*V)</f>
        <v>728.69980844307224</v>
      </c>
      <c r="I94" s="23">
        <f>IF(AND(OR(I93=0,I93=""),F94=0),IF(F95=0,"",'Drilling Spec'!$C$26),H94)</f>
        <v>728.69980844307224</v>
      </c>
      <c r="J94" s="16">
        <f>MAX(0,I94-'Drilling Spec'!$C$30)</f>
        <v>648.69980844307224</v>
      </c>
      <c r="K94" s="18">
        <f>IFERROR(J94/'Drilling Spec'!$C$31,0)</f>
        <v>43.246653896204819</v>
      </c>
      <c r="L94" s="21">
        <f t="shared" si="24"/>
        <v>0</v>
      </c>
      <c r="M94" s="4">
        <f t="shared" si="34"/>
        <v>132</v>
      </c>
      <c r="N94" s="21">
        <f t="shared" si="25"/>
        <v>0</v>
      </c>
      <c r="O94" s="18">
        <f>(SQRT(4*O93*O93*vB*vB + 'Drilling Spec'!$C$48*O93 + WB*('Drilling Spec'!$C$49 + 2*lB*vB*(sB*WB + 2*vB*N94/(1+eB)) + 'Drilling Spec'!$C$50)) - 'Drilling Spec'!$C$51)/(2*vB)</f>
        <v>723.46681615545504</v>
      </c>
      <c r="P94" s="18">
        <f>IFERROR(((S94-'Drilling Spec'!$C$30)/'Drilling Spec'!$C$31)*'Drilling Spec'!$C$32,0)</f>
        <v>38.608008969327301</v>
      </c>
      <c r="Q94" s="18">
        <f t="shared" si="35"/>
        <v>0</v>
      </c>
      <c r="R94" s="18"/>
      <c r="S94" s="26">
        <f>IF(AND(OR(T93=0,T93=""),M94=0),IF(M95=0,"",'Drilling Spec'!$C$30),O94)</f>
        <v>723.46681615545504</v>
      </c>
      <c r="U94" s="15">
        <f>E94*'Drilling Spec'!$C$22 + L94*'Drilling Spec'!$C$23</f>
        <v>0</v>
      </c>
      <c r="V94" s="15">
        <f t="shared" si="36"/>
        <v>19.733008130081299</v>
      </c>
      <c r="W94" s="15">
        <f t="shared" si="26"/>
        <v>0.26699186991870127</v>
      </c>
      <c r="X94" s="10"/>
      <c r="Y94" s="30">
        <f>IF(W94&lt;U95,'Drilling Spec'!$C$35,0)</f>
        <v>0</v>
      </c>
      <c r="AA94" s="4">
        <f t="shared" si="40"/>
        <v>44</v>
      </c>
      <c r="AB94" s="10"/>
      <c r="AC94" s="30">
        <f>IF('04-07-25-Scen4-ExFrontloadCargo'!K95&gt;'04-07-25-Scen4-ExFrontloadCargo'!AA94,'Drilling Spec'!$C$36,)</f>
        <v>0</v>
      </c>
      <c r="AE94" s="18">
        <f>(I94-'Drilling Spec'!$C$26)/'Drilling Spec'!$C$38</f>
        <v>109.78330140717871</v>
      </c>
      <c r="AF94" s="18">
        <f t="shared" si="27"/>
        <v>0</v>
      </c>
      <c r="AG94" s="34">
        <f t="shared" si="28"/>
        <v>0</v>
      </c>
      <c r="AH94" s="10"/>
      <c r="AI94" s="26">
        <f>IF(C94="Camp Closed",AG94,IF(AG94&lt;'Drilling Spec'!$C$39,,'Drilling Spec'!$C$39))</f>
        <v>0</v>
      </c>
      <c r="AL94" s="16">
        <f t="shared" si="29"/>
        <v>-728.69980844307224</v>
      </c>
      <c r="AM94" s="16">
        <f t="shared" si="30"/>
        <v>-723.46681615545504</v>
      </c>
      <c r="AN94">
        <f>-'Drilling Spec'!$C$29</f>
        <v>-720</v>
      </c>
      <c r="AO94">
        <f>-'Drilling Spec'!$C$27</f>
        <v>-624</v>
      </c>
      <c r="AP94">
        <f>-'Drilling Spec'!$C$28</f>
        <v>-688</v>
      </c>
      <c r="AQ94" t="e">
        <f t="shared" si="31"/>
        <v>#N/A</v>
      </c>
      <c r="AR94" t="e">
        <f>IF(X94=0,NA(),-'Drilling Spec'!$C$29*0.1)</f>
        <v>#N/A</v>
      </c>
      <c r="AS94" t="e">
        <f>IF(Y94=0,NA(),-'Drilling Spec'!$C$29*0.1)</f>
        <v>#N/A</v>
      </c>
      <c r="AT94" t="e">
        <f>IF(AB94=0,NA(),-'Drilling Spec'!$C$29*0.2)</f>
        <v>#N/A</v>
      </c>
      <c r="AU94" t="e">
        <f>IF(AC94=0,NA(),-'Drilling Spec'!$C$29*0.2)</f>
        <v>#N/A</v>
      </c>
      <c r="AV94" t="e">
        <f>IF(AH94=0,NA(),-'Drilling Spec'!$C$29*0.3)</f>
        <v>#N/A</v>
      </c>
      <c r="AW94" t="e">
        <f>IF(AI94=0,NA(),-'Drilling Spec'!$C$29*0.3)</f>
        <v>#N/A</v>
      </c>
      <c r="AX94" s="29">
        <f t="shared" si="32"/>
        <v>0.26699186991870127</v>
      </c>
      <c r="AY94" s="29">
        <f t="shared" si="33"/>
        <v>39.361355073122482</v>
      </c>
      <c r="AZ94" s="29">
        <f t="shared" si="37"/>
        <v>0</v>
      </c>
    </row>
    <row r="95" spans="1:52" x14ac:dyDescent="0.35">
      <c r="A95" s="28">
        <f t="shared" si="42"/>
        <v>46065</v>
      </c>
      <c r="B95" t="str">
        <f t="shared" si="20"/>
        <v>Thu</v>
      </c>
      <c r="C95" s="10"/>
      <c r="D95" s="10"/>
      <c r="E95" s="4">
        <f t="shared" si="21"/>
        <v>0</v>
      </c>
      <c r="F95" s="4">
        <f t="shared" si="22"/>
        <v>824</v>
      </c>
      <c r="G95" s="4">
        <f t="shared" si="23"/>
        <v>0</v>
      </c>
      <c r="H95" s="15">
        <f>(SQRT(4*I94*I94*V*V + 'Drilling Spec'!$C$42*I94 + W*('Drilling Spec'!$C$43 + 2*l*V*(s*W + 2*V*G95/(1+e)) + 'Drilling Spec'!$C$44)) - 'Drilling Spec'!$C$45)/(2*V)</f>
        <v>728.69980844307224</v>
      </c>
      <c r="I95" s="23">
        <f>IF(AND(OR(I94=0,I94=""),F95=0),IF(F96=0,"",'Drilling Spec'!$C$26),H95)</f>
        <v>728.69980844307224</v>
      </c>
      <c r="J95" s="16">
        <f>MAX(0,I95-'Drilling Spec'!$C$30)</f>
        <v>648.69980844307224</v>
      </c>
      <c r="K95" s="18">
        <f>IFERROR(J95/'Drilling Spec'!$C$31,0)</f>
        <v>43.246653896204819</v>
      </c>
      <c r="L95" s="21">
        <f t="shared" si="24"/>
        <v>0</v>
      </c>
      <c r="M95" s="4">
        <f t="shared" si="34"/>
        <v>132</v>
      </c>
      <c r="N95" s="21">
        <f t="shared" si="25"/>
        <v>0</v>
      </c>
      <c r="O95" s="18">
        <f>(SQRT(4*O94*O94*vB*vB + 'Drilling Spec'!$C$48*O94 + WB*('Drilling Spec'!$C$49 + 2*lB*vB*(sB*WB + 2*vB*N95/(1+eB)) + 'Drilling Spec'!$C$50)) - 'Drilling Spec'!$C$51)/(2*vB)</f>
        <v>723.46681615545504</v>
      </c>
      <c r="P95" s="18">
        <f>IFERROR(((S95-'Drilling Spec'!$C$30)/'Drilling Spec'!$C$31)*'Drilling Spec'!$C$32,0)</f>
        <v>38.608008969327301</v>
      </c>
      <c r="Q95" s="18">
        <f t="shared" si="35"/>
        <v>0</v>
      </c>
      <c r="R95" s="18"/>
      <c r="S95" s="26">
        <f>IF(AND(OR(T94=0,T94=""),M95=0),IF(M96=0,"",'Drilling Spec'!$C$30),O95)</f>
        <v>723.46681615545504</v>
      </c>
      <c r="U95" s="15">
        <f>E95*'Drilling Spec'!$C$22 + L95*'Drilling Spec'!$C$23</f>
        <v>0</v>
      </c>
      <c r="V95" s="15">
        <f t="shared" si="36"/>
        <v>19.733008130081299</v>
      </c>
      <c r="W95" s="15">
        <f t="shared" si="26"/>
        <v>0.26699186991870127</v>
      </c>
      <c r="X95" s="10"/>
      <c r="Y95" s="30">
        <f>IF(W95&lt;U96,'Drilling Spec'!$C$35,0)</f>
        <v>0</v>
      </c>
      <c r="AA95" s="4">
        <f t="shared" si="40"/>
        <v>44</v>
      </c>
      <c r="AB95" s="10"/>
      <c r="AC95" s="30">
        <f>IF('04-07-25-Scen4-ExFrontloadCargo'!K96&gt;'04-07-25-Scen4-ExFrontloadCargo'!AA95,'Drilling Spec'!$C$36,)</f>
        <v>0</v>
      </c>
      <c r="AE95" s="18">
        <f>(I95-'Drilling Spec'!$C$26)/'Drilling Spec'!$C$38</f>
        <v>109.78330140717871</v>
      </c>
      <c r="AF95" s="18">
        <f t="shared" si="27"/>
        <v>0</v>
      </c>
      <c r="AG95" s="34">
        <f t="shared" si="28"/>
        <v>0</v>
      </c>
      <c r="AH95" s="10"/>
      <c r="AI95" s="26">
        <f>IF(C95="Camp Closed",AG95,IF(AG95&lt;'Drilling Spec'!$C$39,,'Drilling Spec'!$C$39))</f>
        <v>0</v>
      </c>
      <c r="AL95" s="16">
        <f t="shared" si="29"/>
        <v>-728.69980844307224</v>
      </c>
      <c r="AM95" s="16">
        <f t="shared" si="30"/>
        <v>-723.46681615545504</v>
      </c>
      <c r="AN95">
        <f>-'Drilling Spec'!$C$29</f>
        <v>-720</v>
      </c>
      <c r="AO95">
        <f>-'Drilling Spec'!$C$27</f>
        <v>-624</v>
      </c>
      <c r="AP95">
        <f>-'Drilling Spec'!$C$28</f>
        <v>-688</v>
      </c>
      <c r="AQ95" t="e">
        <f t="shared" si="31"/>
        <v>#N/A</v>
      </c>
      <c r="AR95" t="e">
        <f>IF(X95=0,NA(),-'Drilling Spec'!$C$29*0.1)</f>
        <v>#N/A</v>
      </c>
      <c r="AS95" t="e">
        <f>IF(Y95=0,NA(),-'Drilling Spec'!$C$29*0.1)</f>
        <v>#N/A</v>
      </c>
      <c r="AT95" t="e">
        <f>IF(AB95=0,NA(),-'Drilling Spec'!$C$29*0.2)</f>
        <v>#N/A</v>
      </c>
      <c r="AU95" t="e">
        <f>IF(AC95=0,NA(),-'Drilling Spec'!$C$29*0.2)</f>
        <v>#N/A</v>
      </c>
      <c r="AV95" t="e">
        <f>IF(AH95=0,NA(),-'Drilling Spec'!$C$29*0.3)</f>
        <v>#N/A</v>
      </c>
      <c r="AW95" t="e">
        <f>IF(AI95=0,NA(),-'Drilling Spec'!$C$29*0.3)</f>
        <v>#N/A</v>
      </c>
      <c r="AX95" s="29">
        <f t="shared" si="32"/>
        <v>0.26699186991870127</v>
      </c>
      <c r="AY95" s="29">
        <f t="shared" si="33"/>
        <v>39.361355073122482</v>
      </c>
      <c r="AZ95" s="29">
        <f t="shared" si="37"/>
        <v>0</v>
      </c>
    </row>
    <row r="96" spans="1:52" x14ac:dyDescent="0.35">
      <c r="A96" s="28">
        <f t="shared" si="42"/>
        <v>46066</v>
      </c>
      <c r="B96" t="str">
        <f t="shared" si="20"/>
        <v>Fri</v>
      </c>
      <c r="C96" s="10"/>
      <c r="D96" s="10"/>
      <c r="E96" s="4">
        <f t="shared" si="21"/>
        <v>0</v>
      </c>
      <c r="F96" s="4">
        <f t="shared" si="22"/>
        <v>824</v>
      </c>
      <c r="G96" s="4">
        <f t="shared" si="23"/>
        <v>0</v>
      </c>
      <c r="H96" s="15">
        <f>(SQRT(4*I95*I95*V*V + 'Drilling Spec'!$C$42*I95 + W*('Drilling Spec'!$C$43 + 2*l*V*(s*W + 2*V*G96/(1+e)) + 'Drilling Spec'!$C$44)) - 'Drilling Spec'!$C$45)/(2*V)</f>
        <v>728.69980844307224</v>
      </c>
      <c r="I96" s="23">
        <f>IF(AND(OR(I95=0,I95=""),F96=0),IF(F97=0,"",'Drilling Spec'!$C$26),H96)</f>
        <v>728.69980844307224</v>
      </c>
      <c r="J96" s="16">
        <f>MAX(0,I96-'Drilling Spec'!$C$30)</f>
        <v>648.69980844307224</v>
      </c>
      <c r="K96" s="18">
        <f>IFERROR(J96/'Drilling Spec'!$C$31,0)</f>
        <v>43.246653896204819</v>
      </c>
      <c r="L96" s="21">
        <f t="shared" si="24"/>
        <v>0</v>
      </c>
      <c r="M96" s="4">
        <f t="shared" si="34"/>
        <v>132</v>
      </c>
      <c r="N96" s="21">
        <f t="shared" si="25"/>
        <v>0</v>
      </c>
      <c r="O96" s="18">
        <f>(SQRT(4*O95*O95*vB*vB + 'Drilling Spec'!$C$48*O95 + WB*('Drilling Spec'!$C$49 + 2*lB*vB*(sB*WB + 2*vB*N96/(1+eB)) + 'Drilling Spec'!$C$50)) - 'Drilling Spec'!$C$51)/(2*vB)</f>
        <v>723.46681615545504</v>
      </c>
      <c r="P96" s="18">
        <f>IFERROR(((S96-'Drilling Spec'!$C$30)/'Drilling Spec'!$C$31)*'Drilling Spec'!$C$32,0)</f>
        <v>38.608008969327301</v>
      </c>
      <c r="Q96" s="18">
        <f t="shared" si="35"/>
        <v>0</v>
      </c>
      <c r="R96" s="18"/>
      <c r="S96" s="26">
        <f>IF(AND(OR(T95=0,T95=""),M96=0),IF(M97=0,"",'Drilling Spec'!$C$30),O96)</f>
        <v>723.46681615545504</v>
      </c>
      <c r="U96" s="15">
        <f>E96*'Drilling Spec'!$C$22 + L96*'Drilling Spec'!$C$23</f>
        <v>0</v>
      </c>
      <c r="V96" s="15">
        <f t="shared" si="36"/>
        <v>19.733008130081299</v>
      </c>
      <c r="W96" s="15">
        <f t="shared" si="26"/>
        <v>0.26699186991870127</v>
      </c>
      <c r="X96" s="10"/>
      <c r="Y96" s="30">
        <f>IF(W96&lt;U97,'Drilling Spec'!$C$35,0)</f>
        <v>0</v>
      </c>
      <c r="AA96" s="4">
        <f t="shared" si="40"/>
        <v>44</v>
      </c>
      <c r="AB96" s="10"/>
      <c r="AC96" s="30">
        <f>IF('04-07-25-Scen4-ExFrontloadCargo'!K97&gt;'04-07-25-Scen4-ExFrontloadCargo'!AA96,'Drilling Spec'!$C$36,)</f>
        <v>0</v>
      </c>
      <c r="AE96" s="18">
        <f>(I96-'Drilling Spec'!$C$26)/'Drilling Spec'!$C$38</f>
        <v>109.78330140717871</v>
      </c>
      <c r="AF96" s="18">
        <f t="shared" si="27"/>
        <v>0</v>
      </c>
      <c r="AG96" s="34">
        <f t="shared" si="28"/>
        <v>0</v>
      </c>
      <c r="AH96" s="10"/>
      <c r="AI96" s="26">
        <f>IF(C96="Camp Closed",AG96,IF(AG96&lt;'Drilling Spec'!$C$39,,'Drilling Spec'!$C$39))</f>
        <v>0</v>
      </c>
      <c r="AL96" s="16">
        <f t="shared" si="29"/>
        <v>-728.69980844307224</v>
      </c>
      <c r="AM96" s="16">
        <f t="shared" si="30"/>
        <v>-723.46681615545504</v>
      </c>
      <c r="AN96">
        <f>-'Drilling Spec'!$C$29</f>
        <v>-720</v>
      </c>
      <c r="AO96">
        <f>-'Drilling Spec'!$C$27</f>
        <v>-624</v>
      </c>
      <c r="AP96">
        <f>-'Drilling Spec'!$C$28</f>
        <v>-688</v>
      </c>
      <c r="AQ96" t="e">
        <f t="shared" si="31"/>
        <v>#N/A</v>
      </c>
      <c r="AR96" t="e">
        <f>IF(X96=0,NA(),-'Drilling Spec'!$C$29*0.1)</f>
        <v>#N/A</v>
      </c>
      <c r="AS96" t="e">
        <f>IF(Y96=0,NA(),-'Drilling Spec'!$C$29*0.1)</f>
        <v>#N/A</v>
      </c>
      <c r="AT96" t="e">
        <f>IF(AB96=0,NA(),-'Drilling Spec'!$C$29*0.2)</f>
        <v>#N/A</v>
      </c>
      <c r="AU96" t="e">
        <f>IF(AC96=0,NA(),-'Drilling Spec'!$C$29*0.2)</f>
        <v>#N/A</v>
      </c>
      <c r="AV96" t="e">
        <f>IF(AH96=0,NA(),-'Drilling Spec'!$C$29*0.3)</f>
        <v>#N/A</v>
      </c>
      <c r="AW96" t="e">
        <f>IF(AI96=0,NA(),-'Drilling Spec'!$C$29*0.3)</f>
        <v>#N/A</v>
      </c>
      <c r="AX96" s="29">
        <f t="shared" si="32"/>
        <v>0.26699186991870127</v>
      </c>
      <c r="AY96" s="29">
        <f t="shared" si="33"/>
        <v>39.361355073122482</v>
      </c>
      <c r="AZ96" s="29">
        <f t="shared" si="37"/>
        <v>0</v>
      </c>
    </row>
    <row r="97" spans="1:52" x14ac:dyDescent="0.35">
      <c r="A97" s="28">
        <f t="shared" si="42"/>
        <v>46067</v>
      </c>
      <c r="B97" t="str">
        <f t="shared" si="20"/>
        <v>Sat</v>
      </c>
      <c r="C97" s="10"/>
      <c r="D97" s="10"/>
      <c r="E97" s="4">
        <f t="shared" si="21"/>
        <v>0</v>
      </c>
      <c r="F97" s="4">
        <f t="shared" si="22"/>
        <v>824</v>
      </c>
      <c r="G97" s="4">
        <f t="shared" si="23"/>
        <v>0</v>
      </c>
      <c r="H97" s="15">
        <f>(SQRT(4*I96*I96*V*V + 'Drilling Spec'!$C$42*I96 + W*('Drilling Spec'!$C$43 + 2*l*V*(s*W + 2*V*G97/(1+e)) + 'Drilling Spec'!$C$44)) - 'Drilling Spec'!$C$45)/(2*V)</f>
        <v>728.69980844307224</v>
      </c>
      <c r="I97" s="23">
        <f>IF(AND(OR(I96=0,I96=""),F97=0),IF(F98=0,"",'Drilling Spec'!$C$26),H97)</f>
        <v>728.69980844307224</v>
      </c>
      <c r="J97" s="16">
        <f>MAX(0,I97-'Drilling Spec'!$C$30)</f>
        <v>648.69980844307224</v>
      </c>
      <c r="K97" s="18">
        <f>IFERROR(J97/'Drilling Spec'!$C$31,0)</f>
        <v>43.246653896204819</v>
      </c>
      <c r="L97" s="21">
        <f t="shared" si="24"/>
        <v>0</v>
      </c>
      <c r="M97" s="4">
        <f t="shared" si="34"/>
        <v>132</v>
      </c>
      <c r="N97" s="21">
        <f t="shared" si="25"/>
        <v>0</v>
      </c>
      <c r="O97" s="18">
        <f>(SQRT(4*O96*O96*vB*vB + 'Drilling Spec'!$C$48*O96 + WB*('Drilling Spec'!$C$49 + 2*lB*vB*(sB*WB + 2*vB*N97/(1+eB)) + 'Drilling Spec'!$C$50)) - 'Drilling Spec'!$C$51)/(2*vB)</f>
        <v>723.46681615545504</v>
      </c>
      <c r="P97" s="18">
        <f>IFERROR(((S97-'Drilling Spec'!$C$30)/'Drilling Spec'!$C$31)*'Drilling Spec'!$C$32,0)</f>
        <v>38.608008969327301</v>
      </c>
      <c r="Q97" s="18">
        <f t="shared" si="35"/>
        <v>0</v>
      </c>
      <c r="R97" s="18"/>
      <c r="S97" s="26">
        <f>IF(AND(OR(T96=0,T96=""),M97=0),IF(M98=0,"",'Drilling Spec'!$C$30),O97)</f>
        <v>723.46681615545504</v>
      </c>
      <c r="U97" s="15">
        <f>E97*'Drilling Spec'!$C$22 + L97*'Drilling Spec'!$C$23</f>
        <v>0</v>
      </c>
      <c r="V97" s="15">
        <f t="shared" si="36"/>
        <v>19.733008130081299</v>
      </c>
      <c r="W97" s="15">
        <f t="shared" si="26"/>
        <v>0.26699186991870127</v>
      </c>
      <c r="X97" s="10"/>
      <c r="Y97" s="30">
        <f>IF(W97&lt;U98,'Drilling Spec'!$C$35,0)</f>
        <v>0</v>
      </c>
      <c r="AA97" s="4">
        <f t="shared" si="40"/>
        <v>44</v>
      </c>
      <c r="AB97" s="10"/>
      <c r="AC97" s="30">
        <f>IF('04-07-25-Scen4-ExFrontloadCargo'!K98&gt;'04-07-25-Scen4-ExFrontloadCargo'!AA97,'Drilling Spec'!$C$36,)</f>
        <v>0</v>
      </c>
      <c r="AE97" s="18">
        <f>(I97-'Drilling Spec'!$C$26)/'Drilling Spec'!$C$38</f>
        <v>109.78330140717871</v>
      </c>
      <c r="AF97" s="18">
        <f t="shared" si="27"/>
        <v>0</v>
      </c>
      <c r="AG97" s="34">
        <f t="shared" si="28"/>
        <v>0</v>
      </c>
      <c r="AH97" s="10"/>
      <c r="AI97" s="26">
        <f>IF(C97="Camp Closed",AG97,IF(AG97&lt;'Drilling Spec'!$C$39,,'Drilling Spec'!$C$39))</f>
        <v>0</v>
      </c>
      <c r="AL97" s="16">
        <f t="shared" si="29"/>
        <v>-728.69980844307224</v>
      </c>
      <c r="AM97" s="16">
        <f t="shared" si="30"/>
        <v>-723.46681615545504</v>
      </c>
      <c r="AN97">
        <f>-'Drilling Spec'!$C$29</f>
        <v>-720</v>
      </c>
      <c r="AO97">
        <f>-'Drilling Spec'!$C$27</f>
        <v>-624</v>
      </c>
      <c r="AP97">
        <f>-'Drilling Spec'!$C$28</f>
        <v>-688</v>
      </c>
      <c r="AQ97" t="e">
        <f t="shared" si="31"/>
        <v>#N/A</v>
      </c>
      <c r="AR97" t="e">
        <f>IF(X97=0,NA(),-'Drilling Spec'!$C$29*0.1)</f>
        <v>#N/A</v>
      </c>
      <c r="AS97" t="e">
        <f>IF(Y97=0,NA(),-'Drilling Spec'!$C$29*0.1)</f>
        <v>#N/A</v>
      </c>
      <c r="AT97" t="e">
        <f>IF(AB97=0,NA(),-'Drilling Spec'!$C$29*0.2)</f>
        <v>#N/A</v>
      </c>
      <c r="AU97" t="e">
        <f>IF(AC97=0,NA(),-'Drilling Spec'!$C$29*0.2)</f>
        <v>#N/A</v>
      </c>
      <c r="AV97" t="e">
        <f>IF(AH97=0,NA(),-'Drilling Spec'!$C$29*0.3)</f>
        <v>#N/A</v>
      </c>
      <c r="AW97" t="e">
        <f>IF(AI97=0,NA(),-'Drilling Spec'!$C$29*0.3)</f>
        <v>#N/A</v>
      </c>
      <c r="AX97" s="29">
        <f t="shared" si="32"/>
        <v>0.26699186991870127</v>
      </c>
      <c r="AY97" s="29">
        <f t="shared" si="33"/>
        <v>39.361355073122482</v>
      </c>
      <c r="AZ97" s="29">
        <f t="shared" si="37"/>
        <v>0</v>
      </c>
    </row>
    <row r="98" spans="1:52" x14ac:dyDescent="0.35">
      <c r="A98" s="28">
        <f t="shared" si="42"/>
        <v>46068</v>
      </c>
      <c r="B98" t="str">
        <f t="shared" si="20"/>
        <v>Sun</v>
      </c>
      <c r="C98" s="10"/>
      <c r="D98" s="10"/>
      <c r="E98" s="4">
        <f t="shared" si="21"/>
        <v>0</v>
      </c>
      <c r="F98" s="4">
        <f t="shared" si="22"/>
        <v>824</v>
      </c>
      <c r="G98" s="4">
        <f t="shared" si="23"/>
        <v>0</v>
      </c>
      <c r="H98" s="15">
        <f>(SQRT(4*I97*I97*V*V + 'Drilling Spec'!$C$42*I97 + W*('Drilling Spec'!$C$43 + 2*l*V*(s*W + 2*V*G98/(1+e)) + 'Drilling Spec'!$C$44)) - 'Drilling Spec'!$C$45)/(2*V)</f>
        <v>728.69980844307224</v>
      </c>
      <c r="I98" s="23">
        <f>IF(AND(OR(I97=0,I97=""),F98=0),IF(F99=0,"",'Drilling Spec'!$C$26),H98)</f>
        <v>728.69980844307224</v>
      </c>
      <c r="J98" s="16">
        <f>MAX(0,I98-'Drilling Spec'!$C$30)</f>
        <v>648.69980844307224</v>
      </c>
      <c r="K98" s="18">
        <f>IFERROR(J98/'Drilling Spec'!$C$31,0)</f>
        <v>43.246653896204819</v>
      </c>
      <c r="L98" s="21">
        <f t="shared" si="24"/>
        <v>0</v>
      </c>
      <c r="M98" s="4">
        <f t="shared" si="34"/>
        <v>132</v>
      </c>
      <c r="N98" s="21">
        <f t="shared" si="25"/>
        <v>0</v>
      </c>
      <c r="O98" s="18">
        <f>(SQRT(4*O97*O97*vB*vB + 'Drilling Spec'!$C$48*O97 + WB*('Drilling Spec'!$C$49 + 2*lB*vB*(sB*WB + 2*vB*N98/(1+eB)) + 'Drilling Spec'!$C$50)) - 'Drilling Spec'!$C$51)/(2*vB)</f>
        <v>723.46681615545504</v>
      </c>
      <c r="P98" s="18">
        <f>IFERROR(((S98-'Drilling Spec'!$C$30)/'Drilling Spec'!$C$31)*'Drilling Spec'!$C$32,0)</f>
        <v>38.608008969327301</v>
      </c>
      <c r="Q98" s="18">
        <f t="shared" si="35"/>
        <v>0</v>
      </c>
      <c r="R98" s="18"/>
      <c r="S98" s="26">
        <f>IF(AND(OR(T97=0,T97=""),M98=0),IF(M99=0,"",'Drilling Spec'!$C$30),O98)</f>
        <v>723.46681615545504</v>
      </c>
      <c r="U98" s="15">
        <f>E98*'Drilling Spec'!$C$22 + L98*'Drilling Spec'!$C$23</f>
        <v>0</v>
      </c>
      <c r="V98" s="15">
        <f t="shared" si="36"/>
        <v>19.733008130081299</v>
      </c>
      <c r="W98" s="15">
        <f t="shared" si="26"/>
        <v>0.26699186991870127</v>
      </c>
      <c r="X98" s="10"/>
      <c r="Y98" s="30">
        <f>IF(W98&lt;U99,'Drilling Spec'!$C$35,0)</f>
        <v>0</v>
      </c>
      <c r="AA98" s="4">
        <f t="shared" si="40"/>
        <v>44</v>
      </c>
      <c r="AB98" s="10"/>
      <c r="AC98" s="30">
        <f>IF('04-07-25-Scen4-ExFrontloadCargo'!K99&gt;'04-07-25-Scen4-ExFrontloadCargo'!AA98,'Drilling Spec'!$C$36,)</f>
        <v>0</v>
      </c>
      <c r="AE98" s="18">
        <f>(I98-'Drilling Spec'!$C$26)/'Drilling Spec'!$C$38</f>
        <v>109.78330140717871</v>
      </c>
      <c r="AF98" s="18">
        <f t="shared" si="27"/>
        <v>0</v>
      </c>
      <c r="AG98" s="34">
        <f t="shared" si="28"/>
        <v>0</v>
      </c>
      <c r="AH98" s="10"/>
      <c r="AI98" s="26">
        <f>IF(C98="Camp Closed",AG98,IF(AG98&lt;'Drilling Spec'!$C$39,,'Drilling Spec'!$C$39))</f>
        <v>0</v>
      </c>
      <c r="AL98" s="16">
        <f t="shared" si="29"/>
        <v>-728.69980844307224</v>
      </c>
      <c r="AM98" s="16">
        <f t="shared" si="30"/>
        <v>-723.46681615545504</v>
      </c>
      <c r="AN98">
        <f>-'Drilling Spec'!$C$29</f>
        <v>-720</v>
      </c>
      <c r="AO98">
        <f>-'Drilling Spec'!$C$27</f>
        <v>-624</v>
      </c>
      <c r="AP98">
        <f>-'Drilling Spec'!$C$28</f>
        <v>-688</v>
      </c>
      <c r="AQ98" t="e">
        <f t="shared" si="31"/>
        <v>#N/A</v>
      </c>
      <c r="AR98" t="e">
        <f>IF(X98=0,NA(),-'Drilling Spec'!$C$29*0.1)</f>
        <v>#N/A</v>
      </c>
      <c r="AS98" t="e">
        <f>IF(Y98=0,NA(),-'Drilling Spec'!$C$29*0.1)</f>
        <v>#N/A</v>
      </c>
      <c r="AT98" t="e">
        <f>IF(AB98=0,NA(),-'Drilling Spec'!$C$29*0.2)</f>
        <v>#N/A</v>
      </c>
      <c r="AU98" t="e">
        <f>IF(AC98=0,NA(),-'Drilling Spec'!$C$29*0.2)</f>
        <v>#N/A</v>
      </c>
      <c r="AV98" t="e">
        <f>IF(AH98=0,NA(),-'Drilling Spec'!$C$29*0.3)</f>
        <v>#N/A</v>
      </c>
      <c r="AW98" t="e">
        <f>IF(AI98=0,NA(),-'Drilling Spec'!$C$29*0.3)</f>
        <v>#N/A</v>
      </c>
      <c r="AX98" s="29">
        <f t="shared" si="32"/>
        <v>0.26699186991870127</v>
      </c>
      <c r="AY98" s="29">
        <f t="shared" si="33"/>
        <v>39.361355073122482</v>
      </c>
      <c r="AZ98" s="29">
        <f t="shared" si="37"/>
        <v>0</v>
      </c>
    </row>
    <row r="99" spans="1:52" x14ac:dyDescent="0.35">
      <c r="A99" s="28">
        <f t="shared" si="42"/>
        <v>46069</v>
      </c>
      <c r="B99" t="str">
        <f t="shared" si="20"/>
        <v>Mon</v>
      </c>
      <c r="C99" s="10"/>
      <c r="D99" s="10"/>
      <c r="E99" s="4">
        <f t="shared" si="21"/>
        <v>0</v>
      </c>
      <c r="F99" s="4">
        <f t="shared" si="22"/>
        <v>824</v>
      </c>
      <c r="G99" s="4">
        <f t="shared" si="23"/>
        <v>0</v>
      </c>
      <c r="H99" s="15">
        <f>(SQRT(4*I98*I98*V*V + 'Drilling Spec'!$C$42*I98 + W*('Drilling Spec'!$C$43 + 2*l*V*(s*W + 2*V*G99/(1+e)) + 'Drilling Spec'!$C$44)) - 'Drilling Spec'!$C$45)/(2*V)</f>
        <v>728.69980844307224</v>
      </c>
      <c r="I99" s="23">
        <f>IF(AND(OR(I98=0,I98=""),F99=0),IF(F100=0,"",'Drilling Spec'!$C$26),H99)</f>
        <v>728.69980844307224</v>
      </c>
      <c r="J99" s="16">
        <f>MAX(0,I99-'Drilling Spec'!$C$30)</f>
        <v>648.69980844307224</v>
      </c>
      <c r="K99" s="18">
        <f>IFERROR(J99/'Drilling Spec'!$C$31,0)</f>
        <v>43.246653896204819</v>
      </c>
      <c r="L99" s="21">
        <f t="shared" si="24"/>
        <v>0</v>
      </c>
      <c r="M99" s="4">
        <f t="shared" si="34"/>
        <v>132</v>
      </c>
      <c r="N99" s="21">
        <f t="shared" si="25"/>
        <v>0</v>
      </c>
      <c r="O99" s="18">
        <f>(SQRT(4*O98*O98*vB*vB + 'Drilling Spec'!$C$48*O98 + WB*('Drilling Spec'!$C$49 + 2*lB*vB*(sB*WB + 2*vB*N99/(1+eB)) + 'Drilling Spec'!$C$50)) - 'Drilling Spec'!$C$51)/(2*vB)</f>
        <v>723.46681615545504</v>
      </c>
      <c r="P99" s="18">
        <f>IFERROR(((S99-'Drilling Spec'!$C$30)/'Drilling Spec'!$C$31)*'Drilling Spec'!$C$32,0)</f>
        <v>38.608008969327301</v>
      </c>
      <c r="Q99" s="18">
        <f t="shared" si="35"/>
        <v>0</v>
      </c>
      <c r="R99" s="18"/>
      <c r="S99" s="26">
        <f>IF(AND(OR(T98=0,T98=""),M99=0),IF(M100=0,"",'Drilling Spec'!$C$30),O99)</f>
        <v>723.46681615545504</v>
      </c>
      <c r="U99" s="15">
        <f>E99*'Drilling Spec'!$C$22 + L99*'Drilling Spec'!$C$23</f>
        <v>0</v>
      </c>
      <c r="V99" s="15">
        <f t="shared" si="36"/>
        <v>19.733008130081299</v>
      </c>
      <c r="W99" s="15">
        <f t="shared" si="26"/>
        <v>0.26699186991870127</v>
      </c>
      <c r="X99" s="10"/>
      <c r="Y99" s="30">
        <f>IF(W99&lt;U100,'Drilling Spec'!$C$35,0)</f>
        <v>0</v>
      </c>
      <c r="AA99" s="4">
        <f t="shared" si="40"/>
        <v>44</v>
      </c>
      <c r="AB99" s="10"/>
      <c r="AC99" s="30">
        <f>IF('04-07-25-Scen4-ExFrontloadCargo'!K100&gt;'04-07-25-Scen4-ExFrontloadCargo'!AA99,'Drilling Spec'!$C$36,)</f>
        <v>0</v>
      </c>
      <c r="AE99" s="18">
        <f>(I99-'Drilling Spec'!$C$26)/'Drilling Spec'!$C$38</f>
        <v>109.78330140717871</v>
      </c>
      <c r="AF99" s="18">
        <f t="shared" si="27"/>
        <v>0</v>
      </c>
      <c r="AG99" s="34">
        <f t="shared" si="28"/>
        <v>0</v>
      </c>
      <c r="AH99" s="10"/>
      <c r="AI99" s="26">
        <f>IF(C99="Camp Closed",AG99,IF(AG99&lt;'Drilling Spec'!$C$39,,'Drilling Spec'!$C$39))</f>
        <v>0</v>
      </c>
      <c r="AL99" s="16">
        <f t="shared" si="29"/>
        <v>-728.69980844307224</v>
      </c>
      <c r="AM99" s="16">
        <f t="shared" si="30"/>
        <v>-723.46681615545504</v>
      </c>
      <c r="AN99">
        <f>-'Drilling Spec'!$C$29</f>
        <v>-720</v>
      </c>
      <c r="AO99">
        <f>-'Drilling Spec'!$C$27</f>
        <v>-624</v>
      </c>
      <c r="AP99">
        <f>-'Drilling Spec'!$C$28</f>
        <v>-688</v>
      </c>
      <c r="AQ99" t="e">
        <f t="shared" si="31"/>
        <v>#N/A</v>
      </c>
      <c r="AR99" t="e">
        <f>IF(X99=0,NA(),-'Drilling Spec'!$C$29*0.1)</f>
        <v>#N/A</v>
      </c>
      <c r="AS99" t="e">
        <f>IF(Y99=0,NA(),-'Drilling Spec'!$C$29*0.1)</f>
        <v>#N/A</v>
      </c>
      <c r="AT99" t="e">
        <f>IF(AB99=0,NA(),-'Drilling Spec'!$C$29*0.2)</f>
        <v>#N/A</v>
      </c>
      <c r="AU99" t="e">
        <f>IF(AC99=0,NA(),-'Drilling Spec'!$C$29*0.2)</f>
        <v>#N/A</v>
      </c>
      <c r="AV99" t="e">
        <f>IF(AH99=0,NA(),-'Drilling Spec'!$C$29*0.3)</f>
        <v>#N/A</v>
      </c>
      <c r="AW99" t="e">
        <f>IF(AI99=0,NA(),-'Drilling Spec'!$C$29*0.3)</f>
        <v>#N/A</v>
      </c>
      <c r="AX99" s="29">
        <f t="shared" si="32"/>
        <v>0.26699186991870127</v>
      </c>
      <c r="AY99" s="29">
        <f t="shared" si="33"/>
        <v>39.361355073122482</v>
      </c>
      <c r="AZ99" s="29">
        <f t="shared" si="37"/>
        <v>0</v>
      </c>
    </row>
    <row r="100" spans="1:52" x14ac:dyDescent="0.35">
      <c r="A100" s="28">
        <f t="shared" si="42"/>
        <v>46070</v>
      </c>
      <c r="B100" t="str">
        <f t="shared" si="20"/>
        <v>Tue</v>
      </c>
      <c r="C100" s="10"/>
      <c r="D100" s="10"/>
      <c r="E100" s="4">
        <f t="shared" si="21"/>
        <v>0</v>
      </c>
      <c r="F100" s="4">
        <f t="shared" si="22"/>
        <v>824</v>
      </c>
      <c r="G100" s="4">
        <f t="shared" si="23"/>
        <v>0</v>
      </c>
      <c r="H100" s="15">
        <f>(SQRT(4*I99*I99*V*V + 'Drilling Spec'!$C$42*I99 + W*('Drilling Spec'!$C$43 + 2*l*V*(s*W + 2*V*G100/(1+e)) + 'Drilling Spec'!$C$44)) - 'Drilling Spec'!$C$45)/(2*V)</f>
        <v>728.69980844307224</v>
      </c>
      <c r="I100" s="23">
        <f>IF(AND(OR(I99=0,I99=""),F100=0),IF(F101=0,"",'Drilling Spec'!$C$26),H100)</f>
        <v>728.69980844307224</v>
      </c>
      <c r="J100" s="16">
        <f>MAX(0,I100-'Drilling Spec'!$C$30)</f>
        <v>648.69980844307224</v>
      </c>
      <c r="K100" s="18">
        <f>IFERROR(J100/'Drilling Spec'!$C$31,0)</f>
        <v>43.246653896204819</v>
      </c>
      <c r="L100" s="21">
        <f t="shared" si="24"/>
        <v>0</v>
      </c>
      <c r="M100" s="4">
        <f t="shared" si="34"/>
        <v>132</v>
      </c>
      <c r="N100" s="21">
        <f t="shared" si="25"/>
        <v>0</v>
      </c>
      <c r="O100" s="18">
        <f>(SQRT(4*O99*O99*vB*vB + 'Drilling Spec'!$C$48*O99 + WB*('Drilling Spec'!$C$49 + 2*lB*vB*(sB*WB + 2*vB*N100/(1+eB)) + 'Drilling Spec'!$C$50)) - 'Drilling Spec'!$C$51)/(2*vB)</f>
        <v>723.46681615545504</v>
      </c>
      <c r="P100" s="18">
        <f>IFERROR(((S100-'Drilling Spec'!$C$30)/'Drilling Spec'!$C$31)*'Drilling Spec'!$C$32,0)</f>
        <v>38.608008969327301</v>
      </c>
      <c r="Q100" s="18">
        <f t="shared" si="35"/>
        <v>0</v>
      </c>
      <c r="R100" s="18"/>
      <c r="S100" s="26">
        <f>IF(AND(OR(T99=0,T99=""),M100=0),IF(M101=0,"",'Drilling Spec'!$C$30),O100)</f>
        <v>723.46681615545504</v>
      </c>
      <c r="U100" s="15">
        <f>E100*'Drilling Spec'!$C$22 + L100*'Drilling Spec'!$C$23</f>
        <v>0</v>
      </c>
      <c r="V100" s="15">
        <f t="shared" si="36"/>
        <v>19.733008130081299</v>
      </c>
      <c r="W100" s="15">
        <f t="shared" si="26"/>
        <v>0.26699186991870127</v>
      </c>
      <c r="X100" s="10"/>
      <c r="Y100" s="30">
        <f>IF(W100&lt;U101,'Drilling Spec'!$C$35,0)</f>
        <v>0</v>
      </c>
      <c r="AA100" s="4">
        <f t="shared" si="40"/>
        <v>44</v>
      </c>
      <c r="AB100" s="10"/>
      <c r="AC100" s="30">
        <f>IF('04-07-25-Scen4-ExFrontloadCargo'!K101&gt;'04-07-25-Scen4-ExFrontloadCargo'!AA100,'Drilling Spec'!$C$36,)</f>
        <v>0</v>
      </c>
      <c r="AE100" s="18">
        <f>(I100-'Drilling Spec'!$C$26)/'Drilling Spec'!$C$38</f>
        <v>109.78330140717871</v>
      </c>
      <c r="AF100" s="18">
        <f t="shared" si="27"/>
        <v>0</v>
      </c>
      <c r="AG100" s="34">
        <f t="shared" si="28"/>
        <v>0</v>
      </c>
      <c r="AH100" s="10"/>
      <c r="AI100" s="26">
        <f>IF(C100="Camp Closed",AG100,IF(AG100&lt;'Drilling Spec'!$C$39,,'Drilling Spec'!$C$39))</f>
        <v>0</v>
      </c>
      <c r="AL100" s="16">
        <f t="shared" si="29"/>
        <v>-728.69980844307224</v>
      </c>
      <c r="AM100" s="16">
        <f t="shared" si="30"/>
        <v>-723.46681615545504</v>
      </c>
      <c r="AN100">
        <f>-'Drilling Spec'!$C$29</f>
        <v>-720</v>
      </c>
      <c r="AO100">
        <f>-'Drilling Spec'!$C$27</f>
        <v>-624</v>
      </c>
      <c r="AP100">
        <f>-'Drilling Spec'!$C$28</f>
        <v>-688</v>
      </c>
      <c r="AQ100" t="e">
        <f t="shared" si="31"/>
        <v>#N/A</v>
      </c>
      <c r="AR100" t="e">
        <f>IF(X100=0,NA(),-'Drilling Spec'!$C$29*0.1)</f>
        <v>#N/A</v>
      </c>
      <c r="AS100" t="e">
        <f>IF(Y100=0,NA(),-'Drilling Spec'!$C$29*0.1)</f>
        <v>#N/A</v>
      </c>
      <c r="AT100" t="e">
        <f>IF(AB100=0,NA(),-'Drilling Spec'!$C$29*0.2)</f>
        <v>#N/A</v>
      </c>
      <c r="AU100" t="e">
        <f>IF(AC100=0,NA(),-'Drilling Spec'!$C$29*0.2)</f>
        <v>#N/A</v>
      </c>
      <c r="AV100" t="e">
        <f>IF(AH100=0,NA(),-'Drilling Spec'!$C$29*0.3)</f>
        <v>#N/A</v>
      </c>
      <c r="AW100" t="e">
        <f>IF(AI100=0,NA(),-'Drilling Spec'!$C$29*0.3)</f>
        <v>#N/A</v>
      </c>
      <c r="AX100" s="29">
        <f t="shared" si="32"/>
        <v>0.26699186991870127</v>
      </c>
      <c r="AY100" s="29">
        <f t="shared" si="33"/>
        <v>39.361355073122482</v>
      </c>
      <c r="AZ100" s="29">
        <f t="shared" si="37"/>
        <v>0</v>
      </c>
    </row>
    <row r="101" spans="1:52" x14ac:dyDescent="0.35">
      <c r="A101" s="28">
        <f t="shared" si="42"/>
        <v>46071</v>
      </c>
      <c r="B101" t="str">
        <f t="shared" si="20"/>
        <v>Wed</v>
      </c>
      <c r="C101" s="10"/>
      <c r="D101" s="10"/>
      <c r="E101" s="4">
        <f t="shared" si="21"/>
        <v>0</v>
      </c>
      <c r="F101" s="4">
        <f t="shared" si="22"/>
        <v>824</v>
      </c>
      <c r="G101" s="4">
        <f t="shared" si="23"/>
        <v>0</v>
      </c>
      <c r="H101" s="15">
        <f>(SQRT(4*I100*I100*V*V + 'Drilling Spec'!$C$42*I100 + W*('Drilling Spec'!$C$43 + 2*l*V*(s*W + 2*V*G101/(1+e)) + 'Drilling Spec'!$C$44)) - 'Drilling Spec'!$C$45)/(2*V)</f>
        <v>728.69980844307224</v>
      </c>
      <c r="I101" s="23">
        <f>IF(AND(OR(I100=0,I100=""),F101=0),IF(F102=0,"",'Drilling Spec'!$C$26),H101)</f>
        <v>728.69980844307224</v>
      </c>
      <c r="J101" s="16">
        <f>MAX(0,I101-'Drilling Spec'!$C$30)</f>
        <v>648.69980844307224</v>
      </c>
      <c r="K101" s="18">
        <f>IFERROR(J101/'Drilling Spec'!$C$31,0)</f>
        <v>43.246653896204819</v>
      </c>
      <c r="L101" s="21">
        <f t="shared" si="24"/>
        <v>0</v>
      </c>
      <c r="M101" s="4">
        <f t="shared" si="34"/>
        <v>132</v>
      </c>
      <c r="N101" s="21">
        <f t="shared" si="25"/>
        <v>0</v>
      </c>
      <c r="O101" s="18">
        <f>(SQRT(4*O100*O100*vB*vB + 'Drilling Spec'!$C$48*O100 + WB*('Drilling Spec'!$C$49 + 2*lB*vB*(sB*WB + 2*vB*N101/(1+eB)) + 'Drilling Spec'!$C$50)) - 'Drilling Spec'!$C$51)/(2*vB)</f>
        <v>723.46681615545504</v>
      </c>
      <c r="P101" s="18">
        <f>IFERROR(((S101-'Drilling Spec'!$C$30)/'Drilling Spec'!$C$31)*'Drilling Spec'!$C$32,0)</f>
        <v>38.608008969327301</v>
      </c>
      <c r="Q101" s="18">
        <f t="shared" si="35"/>
        <v>0</v>
      </c>
      <c r="R101" s="18"/>
      <c r="S101" s="26">
        <f>IF(AND(OR(T100=0,T100=""),M101=0),IF(M102=0,"",'Drilling Spec'!$C$30),O101)</f>
        <v>723.46681615545504</v>
      </c>
      <c r="U101" s="15">
        <f>E101*'Drilling Spec'!$C$22 + L101*'Drilling Spec'!$C$23</f>
        <v>0</v>
      </c>
      <c r="V101" s="15">
        <f t="shared" si="36"/>
        <v>19.733008130081299</v>
      </c>
      <c r="W101" s="15">
        <f t="shared" si="26"/>
        <v>0.26699186991870127</v>
      </c>
      <c r="X101" s="10"/>
      <c r="Y101" s="30">
        <f>IF(W101&lt;U102,'Drilling Spec'!$C$35,0)</f>
        <v>0</v>
      </c>
      <c r="AA101" s="4">
        <f t="shared" si="40"/>
        <v>44</v>
      </c>
      <c r="AB101" s="10"/>
      <c r="AC101" s="30">
        <f>IF('04-07-25-Scen4-ExFrontloadCargo'!K102&gt;'04-07-25-Scen4-ExFrontloadCargo'!AA101,'Drilling Spec'!$C$36,)</f>
        <v>0</v>
      </c>
      <c r="AE101" s="18">
        <f>(I101-'Drilling Spec'!$C$26)/'Drilling Spec'!$C$38</f>
        <v>109.78330140717871</v>
      </c>
      <c r="AF101" s="18">
        <f t="shared" si="27"/>
        <v>0</v>
      </c>
      <c r="AG101" s="34">
        <f t="shared" si="28"/>
        <v>0</v>
      </c>
      <c r="AH101" s="10"/>
      <c r="AI101" s="26">
        <f>IF(C101="Camp Closed",AG101,IF(AG101&lt;'Drilling Spec'!$C$39,,'Drilling Spec'!$C$39))</f>
        <v>0</v>
      </c>
      <c r="AL101" s="16">
        <f t="shared" si="29"/>
        <v>-728.69980844307224</v>
      </c>
      <c r="AM101" s="16">
        <f t="shared" si="30"/>
        <v>-723.46681615545504</v>
      </c>
      <c r="AN101">
        <f>-'Drilling Spec'!$C$29</f>
        <v>-720</v>
      </c>
      <c r="AO101">
        <f>-'Drilling Spec'!$C$27</f>
        <v>-624</v>
      </c>
      <c r="AP101">
        <f>-'Drilling Spec'!$C$28</f>
        <v>-688</v>
      </c>
      <c r="AQ101" t="e">
        <f t="shared" si="31"/>
        <v>#N/A</v>
      </c>
      <c r="AR101" t="e">
        <f>IF(X101=0,NA(),-'Drilling Spec'!$C$29*0.1)</f>
        <v>#N/A</v>
      </c>
      <c r="AS101" t="e">
        <f>IF(Y101=0,NA(),-'Drilling Spec'!$C$29*0.1)</f>
        <v>#N/A</v>
      </c>
      <c r="AT101" t="e">
        <f>IF(AB101=0,NA(),-'Drilling Spec'!$C$29*0.2)</f>
        <v>#N/A</v>
      </c>
      <c r="AU101" t="e">
        <f>IF(AC101=0,NA(),-'Drilling Spec'!$C$29*0.2)</f>
        <v>#N/A</v>
      </c>
      <c r="AV101" t="e">
        <f>IF(AH101=0,NA(),-'Drilling Spec'!$C$29*0.3)</f>
        <v>#N/A</v>
      </c>
      <c r="AW101" t="e">
        <f>IF(AI101=0,NA(),-'Drilling Spec'!$C$29*0.3)</f>
        <v>#N/A</v>
      </c>
      <c r="AX101" s="29">
        <f t="shared" si="32"/>
        <v>0.26699186991870127</v>
      </c>
      <c r="AY101" s="29">
        <f t="shared" si="33"/>
        <v>39.361355073122482</v>
      </c>
      <c r="AZ101" s="29">
        <f t="shared" si="37"/>
        <v>0</v>
      </c>
    </row>
    <row r="102" spans="1:52" x14ac:dyDescent="0.35">
      <c r="A102" s="28">
        <f t="shared" si="42"/>
        <v>46072</v>
      </c>
      <c r="B102" t="str">
        <f t="shared" si="20"/>
        <v>Thu</v>
      </c>
      <c r="C102" s="10"/>
      <c r="D102" s="10"/>
      <c r="E102" s="4">
        <f t="shared" si="21"/>
        <v>0</v>
      </c>
      <c r="F102" s="4">
        <f t="shared" si="22"/>
        <v>824</v>
      </c>
      <c r="G102" s="4">
        <f t="shared" si="23"/>
        <v>0</v>
      </c>
      <c r="H102" s="15">
        <f>(SQRT(4*I101*I101*V*V + 'Drilling Spec'!$C$42*I101 + W*('Drilling Spec'!$C$43 + 2*l*V*(s*W + 2*V*G102/(1+e)) + 'Drilling Spec'!$C$44)) - 'Drilling Spec'!$C$45)/(2*V)</f>
        <v>728.69980844307224</v>
      </c>
      <c r="I102" s="23">
        <f>IF(AND(OR(I101=0,I101=""),F102=0),IF(F103=0,"",'Drilling Spec'!$C$26),H102)</f>
        <v>728.69980844307224</v>
      </c>
      <c r="J102" s="16">
        <f>MAX(0,I102-'Drilling Spec'!$C$30)</f>
        <v>648.69980844307224</v>
      </c>
      <c r="K102" s="18">
        <f>IFERROR(J102/'Drilling Spec'!$C$31,0)</f>
        <v>43.246653896204819</v>
      </c>
      <c r="L102" s="21">
        <f t="shared" si="24"/>
        <v>0</v>
      </c>
      <c r="M102" s="4">
        <f t="shared" si="34"/>
        <v>132</v>
      </c>
      <c r="N102" s="21">
        <f t="shared" si="25"/>
        <v>0</v>
      </c>
      <c r="O102" s="18">
        <f>(SQRT(4*O101*O101*vB*vB + 'Drilling Spec'!$C$48*O101 + WB*('Drilling Spec'!$C$49 + 2*lB*vB*(sB*WB + 2*vB*N102/(1+eB)) + 'Drilling Spec'!$C$50)) - 'Drilling Spec'!$C$51)/(2*vB)</f>
        <v>723.46681615545504</v>
      </c>
      <c r="P102" s="18">
        <f>IFERROR(((S102-'Drilling Spec'!$C$30)/'Drilling Spec'!$C$31)*'Drilling Spec'!$C$32,0)</f>
        <v>38.608008969327301</v>
      </c>
      <c r="Q102" s="18">
        <f t="shared" si="35"/>
        <v>0</v>
      </c>
      <c r="R102" s="18"/>
      <c r="S102" s="26">
        <f>IF(AND(OR(T101=0,T101=""),M102=0),IF(M103=0,"",'Drilling Spec'!$C$30),O102)</f>
        <v>723.46681615545504</v>
      </c>
      <c r="U102" s="15">
        <f>E102*'Drilling Spec'!$C$22 + L102*'Drilling Spec'!$C$23</f>
        <v>0</v>
      </c>
      <c r="V102" s="15">
        <f t="shared" si="36"/>
        <v>19.733008130081299</v>
      </c>
      <c r="W102" s="15">
        <f t="shared" si="26"/>
        <v>0.26699186991870127</v>
      </c>
      <c r="X102" s="10"/>
      <c r="Y102" s="30">
        <f>IF(W102&lt;U103,'Drilling Spec'!$C$35,0)</f>
        <v>0</v>
      </c>
      <c r="AA102" s="4">
        <f t="shared" si="40"/>
        <v>44</v>
      </c>
      <c r="AB102" s="10"/>
      <c r="AC102" s="30">
        <f>IF('04-07-25-Scen4-ExFrontloadCargo'!K103&gt;'04-07-25-Scen4-ExFrontloadCargo'!AA102,'Drilling Spec'!$C$36,)</f>
        <v>0</v>
      </c>
      <c r="AE102" s="18">
        <f>(I102-'Drilling Spec'!$C$26)/'Drilling Spec'!$C$38</f>
        <v>109.78330140717871</v>
      </c>
      <c r="AF102" s="18">
        <f t="shared" si="27"/>
        <v>0</v>
      </c>
      <c r="AG102" s="34">
        <f t="shared" si="28"/>
        <v>0</v>
      </c>
      <c r="AH102" s="10"/>
      <c r="AI102" s="26">
        <f>IF(C102="Camp Closed",AG102,IF(AG102&lt;'Drilling Spec'!$C$39,,'Drilling Spec'!$C$39))</f>
        <v>0</v>
      </c>
      <c r="AL102" s="16">
        <f t="shared" si="29"/>
        <v>-728.69980844307224</v>
      </c>
      <c r="AM102" s="16">
        <f t="shared" si="30"/>
        <v>-723.46681615545504</v>
      </c>
      <c r="AN102">
        <f>-'Drilling Spec'!$C$29</f>
        <v>-720</v>
      </c>
      <c r="AO102">
        <f>-'Drilling Spec'!$C$27</f>
        <v>-624</v>
      </c>
      <c r="AP102">
        <f>-'Drilling Spec'!$C$28</f>
        <v>-688</v>
      </c>
      <c r="AQ102" t="e">
        <f t="shared" si="31"/>
        <v>#N/A</v>
      </c>
      <c r="AR102" t="e">
        <f>IF(X102=0,NA(),-'Drilling Spec'!$C$29*0.1)</f>
        <v>#N/A</v>
      </c>
      <c r="AS102" t="e">
        <f>IF(Y102=0,NA(),-'Drilling Spec'!$C$29*0.1)</f>
        <v>#N/A</v>
      </c>
      <c r="AT102" t="e">
        <f>IF(AB102=0,NA(),-'Drilling Spec'!$C$29*0.2)</f>
        <v>#N/A</v>
      </c>
      <c r="AU102" t="e">
        <f>IF(AC102=0,NA(),-'Drilling Spec'!$C$29*0.2)</f>
        <v>#N/A</v>
      </c>
      <c r="AV102" t="e">
        <f>IF(AH102=0,NA(),-'Drilling Spec'!$C$29*0.3)</f>
        <v>#N/A</v>
      </c>
      <c r="AW102" t="e">
        <f>IF(AI102=0,NA(),-'Drilling Spec'!$C$29*0.3)</f>
        <v>#N/A</v>
      </c>
      <c r="AX102" s="29">
        <f t="shared" si="32"/>
        <v>0.26699186991870127</v>
      </c>
      <c r="AY102" s="29">
        <f t="shared" si="33"/>
        <v>39.361355073122482</v>
      </c>
      <c r="AZ102" s="29">
        <f t="shared" si="37"/>
        <v>0</v>
      </c>
    </row>
    <row r="103" spans="1:52" x14ac:dyDescent="0.35">
      <c r="A103" s="28">
        <f t="shared" si="42"/>
        <v>46073</v>
      </c>
      <c r="B103" t="str">
        <f t="shared" si="20"/>
        <v>Fri</v>
      </c>
      <c r="C103" s="10"/>
      <c r="D103" s="10"/>
      <c r="E103" s="4">
        <f t="shared" si="21"/>
        <v>0</v>
      </c>
      <c r="F103" s="4">
        <f t="shared" si="22"/>
        <v>824</v>
      </c>
      <c r="G103" s="4">
        <f t="shared" si="23"/>
        <v>0</v>
      </c>
      <c r="H103" s="15">
        <f>(SQRT(4*I102*I102*V*V + 'Drilling Spec'!$C$42*I102 + W*('Drilling Spec'!$C$43 + 2*l*V*(s*W + 2*V*G103/(1+e)) + 'Drilling Spec'!$C$44)) - 'Drilling Spec'!$C$45)/(2*V)</f>
        <v>728.69980844307224</v>
      </c>
      <c r="I103" s="23">
        <f>IF(AND(OR(I102=0,I102=""),F103=0),IF(F104=0,"",'Drilling Spec'!$C$26),H103)</f>
        <v>728.69980844307224</v>
      </c>
      <c r="J103" s="16">
        <f>MAX(0,I103-'Drilling Spec'!$C$30)</f>
        <v>648.69980844307224</v>
      </c>
      <c r="K103" s="18">
        <f>IFERROR(J103/'Drilling Spec'!$C$31,0)</f>
        <v>43.246653896204819</v>
      </c>
      <c r="L103" s="21">
        <f t="shared" si="24"/>
        <v>0</v>
      </c>
      <c r="M103" s="4">
        <f t="shared" si="34"/>
        <v>132</v>
      </c>
      <c r="N103" s="21">
        <f t="shared" si="25"/>
        <v>0</v>
      </c>
      <c r="O103" s="18">
        <f>(SQRT(4*O102*O102*vB*vB + 'Drilling Spec'!$C$48*O102 + WB*('Drilling Spec'!$C$49 + 2*lB*vB*(sB*WB + 2*vB*N103/(1+eB)) + 'Drilling Spec'!$C$50)) - 'Drilling Spec'!$C$51)/(2*vB)</f>
        <v>723.46681615545504</v>
      </c>
      <c r="P103" s="18">
        <f>IFERROR(((S103-'Drilling Spec'!$C$30)/'Drilling Spec'!$C$31)*'Drilling Spec'!$C$32,0)</f>
        <v>38.608008969327301</v>
      </c>
      <c r="Q103" s="18">
        <f t="shared" si="35"/>
        <v>0</v>
      </c>
      <c r="R103" s="18"/>
      <c r="S103" s="26">
        <f>IF(AND(OR(T102=0,T102=""),M103=0),IF(M104=0,"",'Drilling Spec'!$C$30),O103)</f>
        <v>723.46681615545504</v>
      </c>
      <c r="U103" s="15">
        <f>E103*'Drilling Spec'!$C$22 + L103*'Drilling Spec'!$C$23</f>
        <v>0</v>
      </c>
      <c r="V103" s="15">
        <f t="shared" si="36"/>
        <v>19.733008130081299</v>
      </c>
      <c r="W103" s="15">
        <f t="shared" si="26"/>
        <v>0.26699186991870127</v>
      </c>
      <c r="X103" s="10"/>
      <c r="Y103" s="30">
        <f>IF(W103&lt;U104,'Drilling Spec'!$C$35,0)</f>
        <v>0</v>
      </c>
      <c r="AA103" s="4">
        <f t="shared" si="40"/>
        <v>44</v>
      </c>
      <c r="AB103" s="10"/>
      <c r="AC103" s="30">
        <f>IF('04-07-25-Scen4-ExFrontloadCargo'!K104&gt;'04-07-25-Scen4-ExFrontloadCargo'!AA103,'Drilling Spec'!$C$36,)</f>
        <v>0</v>
      </c>
      <c r="AE103" s="18">
        <f>(I103-'Drilling Spec'!$C$26)/'Drilling Spec'!$C$38</f>
        <v>109.78330140717871</v>
      </c>
      <c r="AF103" s="18">
        <f t="shared" si="27"/>
        <v>0</v>
      </c>
      <c r="AG103" s="34">
        <f t="shared" si="28"/>
        <v>0</v>
      </c>
      <c r="AH103" s="10"/>
      <c r="AI103" s="26">
        <f>IF(C103="Camp Closed",AG103,IF(AG103&lt;'Drilling Spec'!$C$39,,'Drilling Spec'!$C$39))</f>
        <v>0</v>
      </c>
      <c r="AL103" s="16">
        <f t="shared" si="29"/>
        <v>-728.69980844307224</v>
      </c>
      <c r="AM103" s="16">
        <f t="shared" si="30"/>
        <v>-723.46681615545504</v>
      </c>
      <c r="AN103">
        <f>-'Drilling Spec'!$C$29</f>
        <v>-720</v>
      </c>
      <c r="AO103">
        <f>-'Drilling Spec'!$C$27</f>
        <v>-624</v>
      </c>
      <c r="AP103">
        <f>-'Drilling Spec'!$C$28</f>
        <v>-688</v>
      </c>
      <c r="AQ103" t="e">
        <f t="shared" si="31"/>
        <v>#N/A</v>
      </c>
      <c r="AR103" t="e">
        <f>IF(X103=0,NA(),-'Drilling Spec'!$C$29*0.1)</f>
        <v>#N/A</v>
      </c>
      <c r="AS103" t="e">
        <f>IF(Y103=0,NA(),-'Drilling Spec'!$C$29*0.1)</f>
        <v>#N/A</v>
      </c>
      <c r="AT103" t="e">
        <f>IF(AB103=0,NA(),-'Drilling Spec'!$C$29*0.2)</f>
        <v>#N/A</v>
      </c>
      <c r="AU103" t="e">
        <f>IF(AC103=0,NA(),-'Drilling Spec'!$C$29*0.2)</f>
        <v>#N/A</v>
      </c>
      <c r="AV103" t="e">
        <f>IF(AH103=0,NA(),-'Drilling Spec'!$C$29*0.3)</f>
        <v>#N/A</v>
      </c>
      <c r="AW103" t="e">
        <f>IF(AI103=0,NA(),-'Drilling Spec'!$C$29*0.3)</f>
        <v>#N/A</v>
      </c>
      <c r="AX103" s="29">
        <f t="shared" si="32"/>
        <v>0.26699186991870127</v>
      </c>
      <c r="AY103" s="29">
        <f t="shared" si="33"/>
        <v>39.361355073122482</v>
      </c>
      <c r="AZ103" s="29">
        <f t="shared" si="37"/>
        <v>0</v>
      </c>
    </row>
    <row r="104" spans="1:52" x14ac:dyDescent="0.35">
      <c r="A104" s="28">
        <f t="shared" si="42"/>
        <v>46074</v>
      </c>
      <c r="B104" t="str">
        <f t="shared" si="20"/>
        <v>Sat</v>
      </c>
      <c r="C104" s="10"/>
      <c r="D104" s="10"/>
      <c r="E104" s="4">
        <f t="shared" si="21"/>
        <v>0</v>
      </c>
      <c r="F104" s="4">
        <f t="shared" si="22"/>
        <v>824</v>
      </c>
      <c r="G104" s="4">
        <f t="shared" si="23"/>
        <v>0</v>
      </c>
      <c r="H104" s="15">
        <f>(SQRT(4*I103*I103*V*V + 'Drilling Spec'!$C$42*I103 + W*('Drilling Spec'!$C$43 + 2*l*V*(s*W + 2*V*G104/(1+e)) + 'Drilling Spec'!$C$44)) - 'Drilling Spec'!$C$45)/(2*V)</f>
        <v>728.69980844307224</v>
      </c>
      <c r="I104" s="23">
        <f>IF(AND(OR(I103=0,I103=""),F104=0),IF(F105=0,"",'Drilling Spec'!$C$26),H104)</f>
        <v>728.69980844307224</v>
      </c>
      <c r="J104" s="16">
        <f>MAX(0,I104-'Drilling Spec'!$C$30)</f>
        <v>648.69980844307224</v>
      </c>
      <c r="K104" s="18">
        <f>IFERROR(J104/'Drilling Spec'!$C$31,0)</f>
        <v>43.246653896204819</v>
      </c>
      <c r="L104" s="21">
        <f t="shared" si="24"/>
        <v>0</v>
      </c>
      <c r="M104" s="4">
        <f t="shared" si="34"/>
        <v>132</v>
      </c>
      <c r="N104" s="21">
        <f t="shared" si="25"/>
        <v>0</v>
      </c>
      <c r="O104" s="18">
        <f>(SQRT(4*O103*O103*vB*vB + 'Drilling Spec'!$C$48*O103 + WB*('Drilling Spec'!$C$49 + 2*lB*vB*(sB*WB + 2*vB*N104/(1+eB)) + 'Drilling Spec'!$C$50)) - 'Drilling Spec'!$C$51)/(2*vB)</f>
        <v>723.46681615545504</v>
      </c>
      <c r="P104" s="18">
        <f>IFERROR(((S104-'Drilling Spec'!$C$30)/'Drilling Spec'!$C$31)*'Drilling Spec'!$C$32,0)</f>
        <v>38.608008969327301</v>
      </c>
      <c r="Q104" s="18">
        <f t="shared" si="35"/>
        <v>0</v>
      </c>
      <c r="R104" s="18"/>
      <c r="S104" s="26">
        <f>IF(AND(OR(T103=0,T103=""),M104=0),IF(M105=0,"",'Drilling Spec'!$C$30),O104)</f>
        <v>723.46681615545504</v>
      </c>
      <c r="U104" s="15">
        <f>E104*'Drilling Spec'!$C$22 + L104*'Drilling Spec'!$C$23</f>
        <v>0</v>
      </c>
      <c r="V104" s="15">
        <f t="shared" si="36"/>
        <v>19.733008130081299</v>
      </c>
      <c r="W104" s="15">
        <f t="shared" si="26"/>
        <v>0.26699186991870127</v>
      </c>
      <c r="X104" s="10"/>
      <c r="Y104" s="30">
        <f>IF(W104&lt;U105,'Drilling Spec'!$C$35,0)</f>
        <v>0</v>
      </c>
      <c r="AA104" s="4">
        <f t="shared" si="40"/>
        <v>44</v>
      </c>
      <c r="AB104" s="10"/>
      <c r="AC104" s="30">
        <f>IF('04-07-25-Scen4-ExFrontloadCargo'!K105&gt;'04-07-25-Scen4-ExFrontloadCargo'!AA104,'Drilling Spec'!$C$36,)</f>
        <v>0</v>
      </c>
      <c r="AE104" s="18">
        <f>(I104-'Drilling Spec'!$C$26)/'Drilling Spec'!$C$38</f>
        <v>109.78330140717871</v>
      </c>
      <c r="AF104" s="18">
        <f t="shared" si="27"/>
        <v>0</v>
      </c>
      <c r="AG104" s="34">
        <f t="shared" si="28"/>
        <v>0</v>
      </c>
      <c r="AH104" s="10"/>
      <c r="AI104" s="26">
        <f>IF(C104="Camp Closed",AG104,IF(AG104&lt;'Drilling Spec'!$C$39,,'Drilling Spec'!$C$39))</f>
        <v>0</v>
      </c>
      <c r="AL104" s="16">
        <f t="shared" si="29"/>
        <v>-728.69980844307224</v>
      </c>
      <c r="AM104" s="16">
        <f t="shared" si="30"/>
        <v>-723.46681615545504</v>
      </c>
      <c r="AN104">
        <f>-'Drilling Spec'!$C$29</f>
        <v>-720</v>
      </c>
      <c r="AO104">
        <f>-'Drilling Spec'!$C$27</f>
        <v>-624</v>
      </c>
      <c r="AP104">
        <f>-'Drilling Spec'!$C$28</f>
        <v>-688</v>
      </c>
      <c r="AQ104" t="e">
        <f t="shared" si="31"/>
        <v>#N/A</v>
      </c>
      <c r="AR104" t="e">
        <f>IF(X104=0,NA(),-'Drilling Spec'!$C$29*0.1)</f>
        <v>#N/A</v>
      </c>
      <c r="AS104" t="e">
        <f>IF(Y104=0,NA(),-'Drilling Spec'!$C$29*0.1)</f>
        <v>#N/A</v>
      </c>
      <c r="AT104" t="e">
        <f>IF(AB104=0,NA(),-'Drilling Spec'!$C$29*0.2)</f>
        <v>#N/A</v>
      </c>
      <c r="AU104" t="e">
        <f>IF(AC104=0,NA(),-'Drilling Spec'!$C$29*0.2)</f>
        <v>#N/A</v>
      </c>
      <c r="AV104" t="e">
        <f>IF(AH104=0,NA(),-'Drilling Spec'!$C$29*0.3)</f>
        <v>#N/A</v>
      </c>
      <c r="AW104" t="e">
        <f>IF(AI104=0,NA(),-'Drilling Spec'!$C$29*0.3)</f>
        <v>#N/A</v>
      </c>
      <c r="AX104" s="29">
        <f t="shared" si="32"/>
        <v>0.26699186991870127</v>
      </c>
      <c r="AY104" s="29">
        <f t="shared" si="33"/>
        <v>39.361355073122482</v>
      </c>
      <c r="AZ104" s="29">
        <f t="shared" si="37"/>
        <v>0</v>
      </c>
    </row>
    <row r="105" spans="1:52" x14ac:dyDescent="0.35">
      <c r="A105" s="28">
        <f t="shared" si="42"/>
        <v>46075</v>
      </c>
      <c r="B105" t="str">
        <f t="shared" si="20"/>
        <v>Sun</v>
      </c>
      <c r="C105" s="10"/>
      <c r="D105" s="10"/>
      <c r="E105" s="4">
        <f t="shared" si="21"/>
        <v>0</v>
      </c>
      <c r="F105" s="4">
        <f t="shared" si="22"/>
        <v>824</v>
      </c>
      <c r="G105" s="4">
        <f t="shared" si="23"/>
        <v>0</v>
      </c>
      <c r="H105" s="15">
        <f>(SQRT(4*I104*I104*V*V + 'Drilling Spec'!$C$42*I104 + W*('Drilling Spec'!$C$43 + 2*l*V*(s*W + 2*V*G105/(1+e)) + 'Drilling Spec'!$C$44)) - 'Drilling Spec'!$C$45)/(2*V)</f>
        <v>728.69980844307224</v>
      </c>
      <c r="I105" s="23">
        <f>IF(AND(OR(I104=0,I104=""),F105=0),IF(F106=0,"",'Drilling Spec'!$C$26),H105)</f>
        <v>728.69980844307224</v>
      </c>
      <c r="J105" s="16">
        <f>MAX(0,I105-'Drilling Spec'!$C$30)</f>
        <v>648.69980844307224</v>
      </c>
      <c r="K105" s="18">
        <f>IFERROR(J105/'Drilling Spec'!$C$31,0)</f>
        <v>43.246653896204819</v>
      </c>
      <c r="L105" s="21">
        <f t="shared" si="24"/>
        <v>0</v>
      </c>
      <c r="M105" s="4">
        <f t="shared" si="34"/>
        <v>132</v>
      </c>
      <c r="N105" s="21">
        <f t="shared" si="25"/>
        <v>0</v>
      </c>
      <c r="O105" s="18">
        <f>(SQRT(4*O104*O104*vB*vB + 'Drilling Spec'!$C$48*O104 + WB*('Drilling Spec'!$C$49 + 2*lB*vB*(sB*WB + 2*vB*N105/(1+eB)) + 'Drilling Spec'!$C$50)) - 'Drilling Spec'!$C$51)/(2*vB)</f>
        <v>723.46681615545504</v>
      </c>
      <c r="P105" s="18">
        <f>IFERROR(((S105-'Drilling Spec'!$C$30)/'Drilling Spec'!$C$31)*'Drilling Spec'!$C$32,0)</f>
        <v>38.608008969327301</v>
      </c>
      <c r="Q105" s="18">
        <f t="shared" si="35"/>
        <v>0</v>
      </c>
      <c r="R105" s="18"/>
      <c r="S105" s="26">
        <f>IF(AND(OR(T104=0,T104=""),M105=0),IF(M106=0,"",'Drilling Spec'!$C$30),O105)</f>
        <v>723.46681615545504</v>
      </c>
      <c r="U105" s="15">
        <f>E105*'Drilling Spec'!$C$22 + L105*'Drilling Spec'!$C$23</f>
        <v>0</v>
      </c>
      <c r="V105" s="15">
        <f t="shared" si="36"/>
        <v>19.733008130081299</v>
      </c>
      <c r="W105" s="15">
        <f t="shared" si="26"/>
        <v>0.26699186991870127</v>
      </c>
      <c r="X105" s="10"/>
      <c r="Y105" s="30">
        <f>IF(W105&lt;U106,'Drilling Spec'!$C$35,0)</f>
        <v>0</v>
      </c>
      <c r="AA105" s="4">
        <f t="shared" si="40"/>
        <v>44</v>
      </c>
      <c r="AB105" s="10"/>
      <c r="AC105" s="30">
        <f>IF('04-07-25-Scen4-ExFrontloadCargo'!K106&gt;'04-07-25-Scen4-ExFrontloadCargo'!AA105,'Drilling Spec'!$C$36,)</f>
        <v>0</v>
      </c>
      <c r="AE105" s="18">
        <f>(I105-'Drilling Spec'!$C$26)/'Drilling Spec'!$C$38</f>
        <v>109.78330140717871</v>
      </c>
      <c r="AF105" s="18">
        <f t="shared" si="27"/>
        <v>0</v>
      </c>
      <c r="AG105" s="34">
        <f t="shared" si="28"/>
        <v>0</v>
      </c>
      <c r="AH105" s="10"/>
      <c r="AI105" s="26">
        <f>IF(C105="Camp Closed",AG105,IF(AG105&lt;'Drilling Spec'!$C$39,,'Drilling Spec'!$C$39))</f>
        <v>0</v>
      </c>
      <c r="AL105" s="16">
        <f t="shared" si="29"/>
        <v>-728.69980844307224</v>
      </c>
      <c r="AM105" s="16">
        <f t="shared" si="30"/>
        <v>-723.46681615545504</v>
      </c>
      <c r="AN105">
        <f>-'Drilling Spec'!$C$29</f>
        <v>-720</v>
      </c>
      <c r="AO105">
        <f>-'Drilling Spec'!$C$27</f>
        <v>-624</v>
      </c>
      <c r="AP105">
        <f>-'Drilling Spec'!$C$28</f>
        <v>-688</v>
      </c>
      <c r="AQ105" t="e">
        <f t="shared" si="31"/>
        <v>#N/A</v>
      </c>
      <c r="AR105" t="e">
        <f>IF(X105=0,NA(),-'Drilling Spec'!$C$29*0.1)</f>
        <v>#N/A</v>
      </c>
      <c r="AS105" t="e">
        <f>IF(Y105=0,NA(),-'Drilling Spec'!$C$29*0.1)</f>
        <v>#N/A</v>
      </c>
      <c r="AT105" t="e">
        <f>IF(AB105=0,NA(),-'Drilling Spec'!$C$29*0.2)</f>
        <v>#N/A</v>
      </c>
      <c r="AU105" t="e">
        <f>IF(AC105=0,NA(),-'Drilling Spec'!$C$29*0.2)</f>
        <v>#N/A</v>
      </c>
      <c r="AV105" t="e">
        <f>IF(AH105=0,NA(),-'Drilling Spec'!$C$29*0.3)</f>
        <v>#N/A</v>
      </c>
      <c r="AW105" t="e">
        <f>IF(AI105=0,NA(),-'Drilling Spec'!$C$29*0.3)</f>
        <v>#N/A</v>
      </c>
      <c r="AX105" s="29">
        <f t="shared" si="32"/>
        <v>0.26699186991870127</v>
      </c>
      <c r="AY105" s="29">
        <f t="shared" si="33"/>
        <v>39.361355073122482</v>
      </c>
      <c r="AZ105" s="29">
        <f t="shared" si="37"/>
        <v>0</v>
      </c>
    </row>
    <row r="106" spans="1:52" x14ac:dyDescent="0.35">
      <c r="A106" s="28">
        <f t="shared" si="42"/>
        <v>46076</v>
      </c>
      <c r="B106" t="str">
        <f t="shared" si="20"/>
        <v>Mon</v>
      </c>
      <c r="C106" s="10"/>
      <c r="D106" s="10"/>
      <c r="E106" s="4">
        <f t="shared" si="21"/>
        <v>0</v>
      </c>
      <c r="F106" s="4">
        <f t="shared" si="22"/>
        <v>824</v>
      </c>
      <c r="G106" s="4">
        <f t="shared" si="23"/>
        <v>0</v>
      </c>
      <c r="H106" s="15">
        <f>(SQRT(4*I105*I105*V*V + 'Drilling Spec'!$C$42*I105 + W*('Drilling Spec'!$C$43 + 2*l*V*(s*W + 2*V*G106/(1+e)) + 'Drilling Spec'!$C$44)) - 'Drilling Spec'!$C$45)/(2*V)</f>
        <v>728.69980844307224</v>
      </c>
      <c r="I106" s="23">
        <f>IF(AND(OR(I105=0,I105=""),F106=0),IF(F107=0,"",'Drilling Spec'!$C$26),H106)</f>
        <v>728.69980844307224</v>
      </c>
      <c r="J106" s="16">
        <f>MAX(0,I106-'Drilling Spec'!$C$30)</f>
        <v>648.69980844307224</v>
      </c>
      <c r="K106" s="18">
        <f>IFERROR(J106/'Drilling Spec'!$C$31,0)</f>
        <v>43.246653896204819</v>
      </c>
      <c r="L106" s="21">
        <f t="shared" si="24"/>
        <v>0</v>
      </c>
      <c r="M106" s="4">
        <f t="shared" si="34"/>
        <v>132</v>
      </c>
      <c r="N106" s="21">
        <f t="shared" si="25"/>
        <v>0</v>
      </c>
      <c r="O106" s="18">
        <f>(SQRT(4*O105*O105*vB*vB + 'Drilling Spec'!$C$48*O105 + WB*('Drilling Spec'!$C$49 + 2*lB*vB*(sB*WB + 2*vB*N106/(1+eB)) + 'Drilling Spec'!$C$50)) - 'Drilling Spec'!$C$51)/(2*vB)</f>
        <v>723.46681615545504</v>
      </c>
      <c r="P106" s="18">
        <f>IFERROR(((S106-'Drilling Spec'!$C$30)/'Drilling Spec'!$C$31)*'Drilling Spec'!$C$32,0)</f>
        <v>38.608008969327301</v>
      </c>
      <c r="Q106" s="18">
        <f t="shared" si="35"/>
        <v>0</v>
      </c>
      <c r="R106" s="18"/>
      <c r="S106" s="26">
        <f>IF(AND(OR(T105=0,T105=""),M106=0),IF(M107=0,"",'Drilling Spec'!$C$30),O106)</f>
        <v>723.46681615545504</v>
      </c>
      <c r="U106" s="15">
        <f>E106*'Drilling Spec'!$C$22 + L106*'Drilling Spec'!$C$23</f>
        <v>0</v>
      </c>
      <c r="V106" s="15">
        <f t="shared" si="36"/>
        <v>19.733008130081299</v>
      </c>
      <c r="W106" s="15">
        <f t="shared" si="26"/>
        <v>0.26699186991870127</v>
      </c>
      <c r="X106" s="10"/>
      <c r="Y106" s="30">
        <f>IF(W106&lt;U107,'Drilling Spec'!$C$35,0)</f>
        <v>0</v>
      </c>
      <c r="AA106" s="4">
        <f t="shared" si="40"/>
        <v>44</v>
      </c>
      <c r="AB106" s="10"/>
      <c r="AC106" s="30">
        <f>IF('04-07-25-Scen4-ExFrontloadCargo'!K107&gt;'04-07-25-Scen4-ExFrontloadCargo'!AA106,'Drilling Spec'!$C$36,)</f>
        <v>0</v>
      </c>
      <c r="AE106" s="18">
        <f>(I106-'Drilling Spec'!$C$26)/'Drilling Spec'!$C$38</f>
        <v>109.78330140717871</v>
      </c>
      <c r="AF106" s="18">
        <f t="shared" si="27"/>
        <v>0</v>
      </c>
      <c r="AG106" s="34">
        <f t="shared" si="28"/>
        <v>0</v>
      </c>
      <c r="AH106" s="10"/>
      <c r="AI106" s="26">
        <f>IF(C106="Camp Closed",AG106,IF(AG106&lt;'Drilling Spec'!$C$39,,'Drilling Spec'!$C$39))</f>
        <v>0</v>
      </c>
      <c r="AL106" s="16">
        <f t="shared" si="29"/>
        <v>-728.69980844307224</v>
      </c>
      <c r="AM106" s="16">
        <f t="shared" si="30"/>
        <v>-723.46681615545504</v>
      </c>
      <c r="AN106">
        <f>-'Drilling Spec'!$C$29</f>
        <v>-720</v>
      </c>
      <c r="AO106">
        <f>-'Drilling Spec'!$C$27</f>
        <v>-624</v>
      </c>
      <c r="AP106">
        <f>-'Drilling Spec'!$C$28</f>
        <v>-688</v>
      </c>
      <c r="AQ106" t="e">
        <f t="shared" si="31"/>
        <v>#N/A</v>
      </c>
      <c r="AR106" t="e">
        <f>IF(X106=0,NA(),-'Drilling Spec'!$C$29*0.1)</f>
        <v>#N/A</v>
      </c>
      <c r="AS106" t="e">
        <f>IF(Y106=0,NA(),-'Drilling Spec'!$C$29*0.1)</f>
        <v>#N/A</v>
      </c>
      <c r="AT106" t="e">
        <f>IF(AB106=0,NA(),-'Drilling Spec'!$C$29*0.2)</f>
        <v>#N/A</v>
      </c>
      <c r="AU106" t="e">
        <f>IF(AC106=0,NA(),-'Drilling Spec'!$C$29*0.2)</f>
        <v>#N/A</v>
      </c>
      <c r="AV106" t="e">
        <f>IF(AH106=0,NA(),-'Drilling Spec'!$C$29*0.3)</f>
        <v>#N/A</v>
      </c>
      <c r="AW106" t="e">
        <f>IF(AI106=0,NA(),-'Drilling Spec'!$C$29*0.3)</f>
        <v>#N/A</v>
      </c>
      <c r="AX106" s="29">
        <f t="shared" si="32"/>
        <v>0.26699186991870127</v>
      </c>
      <c r="AY106" s="29">
        <f t="shared" si="33"/>
        <v>39.361355073122482</v>
      </c>
      <c r="AZ106" s="29">
        <f t="shared" si="37"/>
        <v>0</v>
      </c>
    </row>
    <row r="107" spans="1:52" x14ac:dyDescent="0.35">
      <c r="A107" s="28">
        <f t="shared" si="42"/>
        <v>46077</v>
      </c>
      <c r="B107" t="str">
        <f t="shared" si="20"/>
        <v>Tue</v>
      </c>
      <c r="C107" s="10"/>
      <c r="D107" s="10"/>
      <c r="E107" s="4">
        <f t="shared" si="21"/>
        <v>0</v>
      </c>
      <c r="F107" s="4">
        <f t="shared" si="22"/>
        <v>824</v>
      </c>
      <c r="G107" s="4">
        <f t="shared" si="23"/>
        <v>0</v>
      </c>
      <c r="H107" s="15">
        <f>(SQRT(4*I106*I106*V*V + 'Drilling Spec'!$C$42*I106 + W*('Drilling Spec'!$C$43 + 2*l*V*(s*W + 2*V*G107/(1+e)) + 'Drilling Spec'!$C$44)) - 'Drilling Spec'!$C$45)/(2*V)</f>
        <v>728.69980844307224</v>
      </c>
      <c r="I107" s="23">
        <f>IF(AND(OR(I106=0,I106=""),F107=0),IF(F108=0,"",'Drilling Spec'!$C$26),H107)</f>
        <v>728.69980844307224</v>
      </c>
      <c r="J107" s="16">
        <f>MAX(0,I107-'Drilling Spec'!$C$30)</f>
        <v>648.69980844307224</v>
      </c>
      <c r="K107" s="18">
        <f>IFERROR(J107/'Drilling Spec'!$C$31,0)</f>
        <v>43.246653896204819</v>
      </c>
      <c r="L107" s="21">
        <f t="shared" si="24"/>
        <v>0</v>
      </c>
      <c r="M107" s="4">
        <f t="shared" si="34"/>
        <v>132</v>
      </c>
      <c r="N107" s="21">
        <f t="shared" si="25"/>
        <v>0</v>
      </c>
      <c r="O107" s="18">
        <f>(SQRT(4*O106*O106*vB*vB + 'Drilling Spec'!$C$48*O106 + WB*('Drilling Spec'!$C$49 + 2*lB*vB*(sB*WB + 2*vB*N107/(1+eB)) + 'Drilling Spec'!$C$50)) - 'Drilling Spec'!$C$51)/(2*vB)</f>
        <v>723.46681615545504</v>
      </c>
      <c r="P107" s="18">
        <f>IFERROR(((S107-'Drilling Spec'!$C$30)/'Drilling Spec'!$C$31)*'Drilling Spec'!$C$32,0)</f>
        <v>38.608008969327301</v>
      </c>
      <c r="Q107" s="18">
        <f t="shared" si="35"/>
        <v>0</v>
      </c>
      <c r="R107" s="18"/>
      <c r="S107" s="26">
        <f>IF(AND(OR(T106=0,T106=""),M107=0),IF(M108=0,"",'Drilling Spec'!$C$30),O107)</f>
        <v>723.46681615545504</v>
      </c>
      <c r="U107" s="15">
        <f>E107*'Drilling Spec'!$C$22 + L107*'Drilling Spec'!$C$23</f>
        <v>0</v>
      </c>
      <c r="V107" s="15">
        <f t="shared" si="36"/>
        <v>19.733008130081299</v>
      </c>
      <c r="W107" s="15">
        <f t="shared" si="26"/>
        <v>0.26699186991870127</v>
      </c>
      <c r="X107" s="10"/>
      <c r="Y107" s="30">
        <f>IF(W107&lt;U108,'Drilling Spec'!$C$35,0)</f>
        <v>0</v>
      </c>
      <c r="AA107" s="4">
        <f t="shared" si="40"/>
        <v>44</v>
      </c>
      <c r="AB107" s="10"/>
      <c r="AC107" s="30">
        <f>IF('04-07-25-Scen4-ExFrontloadCargo'!K108&gt;'04-07-25-Scen4-ExFrontloadCargo'!AA107,'Drilling Spec'!$C$36,)</f>
        <v>0</v>
      </c>
      <c r="AE107" s="18">
        <f>(I107-'Drilling Spec'!$C$26)/'Drilling Spec'!$C$38</f>
        <v>109.78330140717871</v>
      </c>
      <c r="AF107" s="18">
        <f t="shared" si="27"/>
        <v>0</v>
      </c>
      <c r="AG107" s="34">
        <f t="shared" si="28"/>
        <v>0</v>
      </c>
      <c r="AH107" s="10"/>
      <c r="AI107" s="26">
        <f>IF(C107="Camp Closed",AG107,IF(AG107&lt;'Drilling Spec'!$C$39,,'Drilling Spec'!$C$39))</f>
        <v>0</v>
      </c>
      <c r="AL107" s="16">
        <f t="shared" si="29"/>
        <v>-728.69980844307224</v>
      </c>
      <c r="AM107" s="16">
        <f t="shared" si="30"/>
        <v>-723.46681615545504</v>
      </c>
      <c r="AN107">
        <f>-'Drilling Spec'!$C$29</f>
        <v>-720</v>
      </c>
      <c r="AO107">
        <f>-'Drilling Spec'!$C$27</f>
        <v>-624</v>
      </c>
      <c r="AP107">
        <f>-'Drilling Spec'!$C$28</f>
        <v>-688</v>
      </c>
      <c r="AQ107" t="e">
        <f t="shared" si="31"/>
        <v>#N/A</v>
      </c>
      <c r="AR107" t="e">
        <f>IF(X107=0,NA(),-'Drilling Spec'!$C$29*0.1)</f>
        <v>#N/A</v>
      </c>
      <c r="AS107" t="e">
        <f>IF(Y107=0,NA(),-'Drilling Spec'!$C$29*0.1)</f>
        <v>#N/A</v>
      </c>
      <c r="AT107" t="e">
        <f>IF(AB107=0,NA(),-'Drilling Spec'!$C$29*0.2)</f>
        <v>#N/A</v>
      </c>
      <c r="AU107" t="e">
        <f>IF(AC107=0,NA(),-'Drilling Spec'!$C$29*0.2)</f>
        <v>#N/A</v>
      </c>
      <c r="AV107" t="e">
        <f>IF(AH107=0,NA(),-'Drilling Spec'!$C$29*0.3)</f>
        <v>#N/A</v>
      </c>
      <c r="AW107" t="e">
        <f>IF(AI107=0,NA(),-'Drilling Spec'!$C$29*0.3)</f>
        <v>#N/A</v>
      </c>
      <c r="AX107" s="29">
        <f t="shared" si="32"/>
        <v>0.26699186991870127</v>
      </c>
      <c r="AY107" s="29">
        <f t="shared" si="33"/>
        <v>39.361355073122482</v>
      </c>
      <c r="AZ107" s="29">
        <f t="shared" si="37"/>
        <v>0</v>
      </c>
    </row>
    <row r="108" spans="1:52" x14ac:dyDescent="0.35">
      <c r="A108" s="28">
        <f t="shared" si="42"/>
        <v>46078</v>
      </c>
      <c r="B108" t="str">
        <f t="shared" si="20"/>
        <v>Wed</v>
      </c>
      <c r="C108" s="10"/>
      <c r="D108" s="10"/>
      <c r="E108" s="4">
        <f t="shared" si="21"/>
        <v>0</v>
      </c>
      <c r="F108" s="4">
        <f t="shared" si="22"/>
        <v>824</v>
      </c>
      <c r="G108" s="4">
        <f t="shared" si="23"/>
        <v>0</v>
      </c>
      <c r="H108" s="15">
        <f>(SQRT(4*I107*I107*V*V + 'Drilling Spec'!$C$42*I107 + W*('Drilling Spec'!$C$43 + 2*l*V*(s*W + 2*V*G108/(1+e)) + 'Drilling Spec'!$C$44)) - 'Drilling Spec'!$C$45)/(2*V)</f>
        <v>728.69980844307224</v>
      </c>
      <c r="I108" s="23">
        <f>IF(AND(OR(I107=0,I107=""),F108=0),IF(F109=0,"",'Drilling Spec'!$C$26),H108)</f>
        <v>728.69980844307224</v>
      </c>
      <c r="J108" s="16">
        <f>MAX(0,I108-'Drilling Spec'!$C$30)</f>
        <v>648.69980844307224</v>
      </c>
      <c r="K108" s="18">
        <f>IFERROR(J108/'Drilling Spec'!$C$31,0)</f>
        <v>43.246653896204819</v>
      </c>
      <c r="L108" s="21">
        <f t="shared" si="24"/>
        <v>0</v>
      </c>
      <c r="M108" s="4">
        <f t="shared" si="34"/>
        <v>132</v>
      </c>
      <c r="N108" s="21">
        <f t="shared" si="25"/>
        <v>0</v>
      </c>
      <c r="O108" s="18">
        <f>(SQRT(4*O107*O107*vB*vB + 'Drilling Spec'!$C$48*O107 + WB*('Drilling Spec'!$C$49 + 2*lB*vB*(sB*WB + 2*vB*N108/(1+eB)) + 'Drilling Spec'!$C$50)) - 'Drilling Spec'!$C$51)/(2*vB)</f>
        <v>723.46681615545504</v>
      </c>
      <c r="P108" s="18">
        <f>IFERROR(((S108-'Drilling Spec'!$C$30)/'Drilling Spec'!$C$31)*'Drilling Spec'!$C$32,0)</f>
        <v>38.608008969327301</v>
      </c>
      <c r="Q108" s="18">
        <f t="shared" si="35"/>
        <v>0</v>
      </c>
      <c r="R108" s="18"/>
      <c r="S108" s="26">
        <f>IF(AND(OR(T107=0,T107=""),M108=0),IF(M109=0,"",'Drilling Spec'!$C$30),O108)</f>
        <v>723.46681615545504</v>
      </c>
      <c r="U108" s="15">
        <f>E108*'Drilling Spec'!$C$22 + L108*'Drilling Spec'!$C$23</f>
        <v>0</v>
      </c>
      <c r="V108" s="15">
        <f t="shared" si="36"/>
        <v>19.733008130081299</v>
      </c>
      <c r="W108" s="15">
        <f t="shared" si="26"/>
        <v>0.26699186991870127</v>
      </c>
      <c r="X108" s="10"/>
      <c r="Y108" s="30">
        <f>IF(W108&lt;U109,'Drilling Spec'!$C$35,0)</f>
        <v>0</v>
      </c>
      <c r="AA108" s="4">
        <f t="shared" si="40"/>
        <v>44</v>
      </c>
      <c r="AB108" s="10"/>
      <c r="AC108" s="30">
        <f>IF('04-07-25-Scen4-ExFrontloadCargo'!K109&gt;'04-07-25-Scen4-ExFrontloadCargo'!AA108,'Drilling Spec'!$C$36,)</f>
        <v>0</v>
      </c>
      <c r="AE108" s="18">
        <f>(I108-'Drilling Spec'!$C$26)/'Drilling Spec'!$C$38</f>
        <v>109.78330140717871</v>
      </c>
      <c r="AF108" s="18">
        <f t="shared" si="27"/>
        <v>0</v>
      </c>
      <c r="AG108" s="34">
        <f t="shared" si="28"/>
        <v>0</v>
      </c>
      <c r="AH108" s="10"/>
      <c r="AI108" s="26">
        <f>IF(C108="Camp Closed",AG108,IF(AG108&lt;'Drilling Spec'!$C$39,,'Drilling Spec'!$C$39))</f>
        <v>0</v>
      </c>
      <c r="AL108" s="16">
        <f t="shared" si="29"/>
        <v>-728.69980844307224</v>
      </c>
      <c r="AM108" s="16">
        <f t="shared" si="30"/>
        <v>-723.46681615545504</v>
      </c>
      <c r="AN108">
        <f>-'Drilling Spec'!$C$29</f>
        <v>-720</v>
      </c>
      <c r="AO108">
        <f>-'Drilling Spec'!$C$27</f>
        <v>-624</v>
      </c>
      <c r="AP108">
        <f>-'Drilling Spec'!$C$28</f>
        <v>-688</v>
      </c>
      <c r="AQ108" t="e">
        <f t="shared" si="31"/>
        <v>#N/A</v>
      </c>
      <c r="AR108" t="e">
        <f>IF(X108=0,NA(),-'Drilling Spec'!$C$29*0.1)</f>
        <v>#N/A</v>
      </c>
      <c r="AS108" t="e">
        <f>IF(Y108=0,NA(),-'Drilling Spec'!$C$29*0.1)</f>
        <v>#N/A</v>
      </c>
      <c r="AT108" t="e">
        <f>IF(AB108=0,NA(),-'Drilling Spec'!$C$29*0.2)</f>
        <v>#N/A</v>
      </c>
      <c r="AU108" t="e">
        <f>IF(AC108=0,NA(),-'Drilling Spec'!$C$29*0.2)</f>
        <v>#N/A</v>
      </c>
      <c r="AV108" t="e">
        <f>IF(AH108=0,NA(),-'Drilling Spec'!$C$29*0.3)</f>
        <v>#N/A</v>
      </c>
      <c r="AW108" t="e">
        <f>IF(AI108=0,NA(),-'Drilling Spec'!$C$29*0.3)</f>
        <v>#N/A</v>
      </c>
      <c r="AX108" s="29">
        <f t="shared" si="32"/>
        <v>0.26699186991870127</v>
      </c>
      <c r="AY108" s="29">
        <f t="shared" si="33"/>
        <v>39.361355073122482</v>
      </c>
      <c r="AZ108" s="29">
        <f t="shared" si="37"/>
        <v>0</v>
      </c>
    </row>
    <row r="109" spans="1:52" x14ac:dyDescent="0.35">
      <c r="A109" s="28">
        <f t="shared" si="42"/>
        <v>46079</v>
      </c>
      <c r="B109" t="str">
        <f t="shared" si="20"/>
        <v>Thu</v>
      </c>
      <c r="C109" s="10"/>
      <c r="D109" s="10"/>
      <c r="E109" s="4">
        <f t="shared" si="21"/>
        <v>0</v>
      </c>
      <c r="F109" s="4">
        <f t="shared" si="22"/>
        <v>824</v>
      </c>
      <c r="G109" s="4">
        <f t="shared" si="23"/>
        <v>0</v>
      </c>
      <c r="H109" s="15">
        <f>(SQRT(4*I108*I108*V*V + 'Drilling Spec'!$C$42*I108 + W*('Drilling Spec'!$C$43 + 2*l*V*(s*W + 2*V*G109/(1+e)) + 'Drilling Spec'!$C$44)) - 'Drilling Spec'!$C$45)/(2*V)</f>
        <v>728.69980844307224</v>
      </c>
      <c r="I109" s="23">
        <f>IF(AND(OR(I108=0,I108=""),F109=0),IF(F110=0,"",'Drilling Spec'!$C$26),H109)</f>
        <v>728.69980844307224</v>
      </c>
      <c r="J109" s="16">
        <f>MAX(0,I109-'Drilling Spec'!$C$30)</f>
        <v>648.69980844307224</v>
      </c>
      <c r="K109" s="18">
        <f>IFERROR(J109/'Drilling Spec'!$C$31,0)</f>
        <v>43.246653896204819</v>
      </c>
      <c r="L109" s="21">
        <f t="shared" si="24"/>
        <v>0</v>
      </c>
      <c r="M109" s="4">
        <f t="shared" si="34"/>
        <v>132</v>
      </c>
      <c r="N109" s="21">
        <f t="shared" si="25"/>
        <v>0</v>
      </c>
      <c r="O109" s="18">
        <f>(SQRT(4*O108*O108*vB*vB + 'Drilling Spec'!$C$48*O108 + WB*('Drilling Spec'!$C$49 + 2*lB*vB*(sB*WB + 2*vB*N109/(1+eB)) + 'Drilling Spec'!$C$50)) - 'Drilling Spec'!$C$51)/(2*vB)</f>
        <v>723.46681615545504</v>
      </c>
      <c r="P109" s="18">
        <f>IFERROR(((S109-'Drilling Spec'!$C$30)/'Drilling Spec'!$C$31)*'Drilling Spec'!$C$32,0)</f>
        <v>38.608008969327301</v>
      </c>
      <c r="Q109" s="18">
        <f t="shared" si="35"/>
        <v>0</v>
      </c>
      <c r="R109" s="18"/>
      <c r="S109" s="26">
        <f>IF(AND(OR(T108=0,T108=""),M109=0),IF(M110=0,"",'Drilling Spec'!$C$30),O109)</f>
        <v>723.46681615545504</v>
      </c>
      <c r="U109" s="15">
        <f>E109*'Drilling Spec'!$C$22 + L109*'Drilling Spec'!$C$23</f>
        <v>0</v>
      </c>
      <c r="V109" s="15">
        <f t="shared" si="36"/>
        <v>19.733008130081299</v>
      </c>
      <c r="W109" s="15">
        <f t="shared" si="26"/>
        <v>0.26699186991870127</v>
      </c>
      <c r="X109" s="10"/>
      <c r="Y109" s="30">
        <f>IF(W109&lt;U110,'Drilling Spec'!$C$35,0)</f>
        <v>0</v>
      </c>
      <c r="AA109" s="4">
        <f t="shared" si="40"/>
        <v>44</v>
      </c>
      <c r="AB109" s="10"/>
      <c r="AC109" s="30">
        <f>IF('04-07-25-Scen4-ExFrontloadCargo'!K110&gt;'04-07-25-Scen4-ExFrontloadCargo'!AA109,'Drilling Spec'!$C$36,)</f>
        <v>0</v>
      </c>
      <c r="AE109" s="18">
        <f>(I109-'Drilling Spec'!$C$26)/'Drilling Spec'!$C$38</f>
        <v>109.78330140717871</v>
      </c>
      <c r="AF109" s="18">
        <f t="shared" si="27"/>
        <v>0</v>
      </c>
      <c r="AG109" s="34">
        <f t="shared" si="28"/>
        <v>0</v>
      </c>
      <c r="AH109" s="10"/>
      <c r="AI109" s="26">
        <f>IF(C109="Camp Closed",AG109,IF(AG109&lt;'Drilling Spec'!$C$39,,'Drilling Spec'!$C$39))</f>
        <v>0</v>
      </c>
      <c r="AL109" s="16">
        <f t="shared" si="29"/>
        <v>-728.69980844307224</v>
      </c>
      <c r="AM109" s="16">
        <f t="shared" si="30"/>
        <v>-723.46681615545504</v>
      </c>
      <c r="AN109">
        <f>-'Drilling Spec'!$C$29</f>
        <v>-720</v>
      </c>
      <c r="AO109">
        <f>-'Drilling Spec'!$C$27</f>
        <v>-624</v>
      </c>
      <c r="AP109">
        <f>-'Drilling Spec'!$C$28</f>
        <v>-688</v>
      </c>
      <c r="AQ109" t="e">
        <f t="shared" si="31"/>
        <v>#N/A</v>
      </c>
      <c r="AR109" t="e">
        <f>IF(X109=0,NA(),-'Drilling Spec'!$C$29*0.1)</f>
        <v>#N/A</v>
      </c>
      <c r="AS109" t="e">
        <f>IF(Y109=0,NA(),-'Drilling Spec'!$C$29*0.1)</f>
        <v>#N/A</v>
      </c>
      <c r="AT109" t="e">
        <f>IF(AB109=0,NA(),-'Drilling Spec'!$C$29*0.2)</f>
        <v>#N/A</v>
      </c>
      <c r="AU109" t="e">
        <f>IF(AC109=0,NA(),-'Drilling Spec'!$C$29*0.2)</f>
        <v>#N/A</v>
      </c>
      <c r="AV109" t="e">
        <f>IF(AH109=0,NA(),-'Drilling Spec'!$C$29*0.3)</f>
        <v>#N/A</v>
      </c>
      <c r="AW109" t="e">
        <f>IF(AI109=0,NA(),-'Drilling Spec'!$C$29*0.3)</f>
        <v>#N/A</v>
      </c>
      <c r="AX109" s="29">
        <f t="shared" si="32"/>
        <v>0.26699186991870127</v>
      </c>
      <c r="AY109" s="29">
        <f t="shared" si="33"/>
        <v>39.361355073122482</v>
      </c>
      <c r="AZ109" s="29">
        <f t="shared" si="37"/>
        <v>0</v>
      </c>
    </row>
    <row r="110" spans="1:52" x14ac:dyDescent="0.35">
      <c r="A110" s="28">
        <f t="shared" si="42"/>
        <v>46080</v>
      </c>
      <c r="B110" t="str">
        <f t="shared" si="20"/>
        <v>Fri</v>
      </c>
      <c r="C110" s="10"/>
      <c r="D110" s="10"/>
      <c r="E110" s="4">
        <f t="shared" si="21"/>
        <v>0</v>
      </c>
      <c r="F110" s="4">
        <f t="shared" si="22"/>
        <v>824</v>
      </c>
      <c r="G110" s="4">
        <f t="shared" si="23"/>
        <v>0</v>
      </c>
      <c r="H110" s="15">
        <f>(SQRT(4*I109*I109*V*V + 'Drilling Spec'!$C$42*I109 + W*('Drilling Spec'!$C$43 + 2*l*V*(s*W + 2*V*G110/(1+e)) + 'Drilling Spec'!$C$44)) - 'Drilling Spec'!$C$45)/(2*V)</f>
        <v>728.69980844307224</v>
      </c>
      <c r="I110" s="23">
        <f>IF(AND(OR(I109=0,I109=""),F110=0),IF(F111=0,"",'Drilling Spec'!$C$26),H110)</f>
        <v>728.69980844307224</v>
      </c>
      <c r="J110" s="16">
        <f>MAX(0,I110-'Drilling Spec'!$C$30)</f>
        <v>648.69980844307224</v>
      </c>
      <c r="K110" s="18">
        <f>IFERROR(J110/'Drilling Spec'!$C$31,0)</f>
        <v>43.246653896204819</v>
      </c>
      <c r="L110" s="21">
        <f t="shared" si="24"/>
        <v>0</v>
      </c>
      <c r="M110" s="4">
        <f t="shared" si="34"/>
        <v>132</v>
      </c>
      <c r="N110" s="21">
        <f t="shared" si="25"/>
        <v>0</v>
      </c>
      <c r="O110" s="18">
        <f>(SQRT(4*O109*O109*vB*vB + 'Drilling Spec'!$C$48*O109 + WB*('Drilling Spec'!$C$49 + 2*lB*vB*(sB*WB + 2*vB*N110/(1+eB)) + 'Drilling Spec'!$C$50)) - 'Drilling Spec'!$C$51)/(2*vB)</f>
        <v>723.46681615545504</v>
      </c>
      <c r="P110" s="18">
        <f>IFERROR(((S110-'Drilling Spec'!$C$30)/'Drilling Spec'!$C$31)*'Drilling Spec'!$C$32,0)</f>
        <v>38.608008969327301</v>
      </c>
      <c r="Q110" s="18">
        <f t="shared" si="35"/>
        <v>0</v>
      </c>
      <c r="R110" s="18"/>
      <c r="S110" s="26">
        <f>IF(AND(OR(T109=0,T109=""),M110=0),IF(M111=0,"",'Drilling Spec'!$C$30),O110)</f>
        <v>723.46681615545504</v>
      </c>
      <c r="U110" s="15">
        <f>E110*'Drilling Spec'!$C$22 + L110*'Drilling Spec'!$C$23</f>
        <v>0</v>
      </c>
      <c r="V110" s="15">
        <f t="shared" si="36"/>
        <v>19.733008130081299</v>
      </c>
      <c r="W110" s="15">
        <f t="shared" si="26"/>
        <v>0.26699186991870127</v>
      </c>
      <c r="X110" s="10"/>
      <c r="Y110" s="30">
        <f>IF(W110&lt;U111,'Drilling Spec'!$C$35,0)</f>
        <v>0</v>
      </c>
      <c r="AA110" s="4">
        <f t="shared" si="40"/>
        <v>44</v>
      </c>
      <c r="AB110" s="10"/>
      <c r="AC110" s="30">
        <f>IF('04-07-25-Scen4-ExFrontloadCargo'!K111&gt;'04-07-25-Scen4-ExFrontloadCargo'!AA110,'Drilling Spec'!$C$36,)</f>
        <v>0</v>
      </c>
      <c r="AE110" s="18">
        <f>(I110-'Drilling Spec'!$C$26)/'Drilling Spec'!$C$38</f>
        <v>109.78330140717871</v>
      </c>
      <c r="AF110" s="18">
        <f t="shared" si="27"/>
        <v>0</v>
      </c>
      <c r="AG110" s="34">
        <f t="shared" si="28"/>
        <v>0</v>
      </c>
      <c r="AH110" s="10"/>
      <c r="AI110" s="26">
        <f>IF(C110="Camp Closed",AG110,IF(AG110&lt;'Drilling Spec'!$C$39,,'Drilling Spec'!$C$39))</f>
        <v>0</v>
      </c>
      <c r="AL110" s="16">
        <f t="shared" si="29"/>
        <v>-728.69980844307224</v>
      </c>
      <c r="AM110" s="16">
        <f t="shared" si="30"/>
        <v>-723.46681615545504</v>
      </c>
      <c r="AN110">
        <f>-'Drilling Spec'!$C$29</f>
        <v>-720</v>
      </c>
      <c r="AO110">
        <f>-'Drilling Spec'!$C$27</f>
        <v>-624</v>
      </c>
      <c r="AP110">
        <f>-'Drilling Spec'!$C$28</f>
        <v>-688</v>
      </c>
      <c r="AQ110" t="e">
        <f t="shared" si="31"/>
        <v>#N/A</v>
      </c>
      <c r="AR110" t="e">
        <f>IF(X110=0,NA(),-'Drilling Spec'!$C$29*0.1)</f>
        <v>#N/A</v>
      </c>
      <c r="AS110" t="e">
        <f>IF(Y110=0,NA(),-'Drilling Spec'!$C$29*0.1)</f>
        <v>#N/A</v>
      </c>
      <c r="AT110" t="e">
        <f>IF(AB110=0,NA(),-'Drilling Spec'!$C$29*0.2)</f>
        <v>#N/A</v>
      </c>
      <c r="AU110" t="e">
        <f>IF(AC110=0,NA(),-'Drilling Spec'!$C$29*0.2)</f>
        <v>#N/A</v>
      </c>
      <c r="AV110" t="e">
        <f>IF(AH110=0,NA(),-'Drilling Spec'!$C$29*0.3)</f>
        <v>#N/A</v>
      </c>
      <c r="AW110" t="e">
        <f>IF(AI110=0,NA(),-'Drilling Spec'!$C$29*0.3)</f>
        <v>#N/A</v>
      </c>
      <c r="AX110" s="29">
        <f t="shared" si="32"/>
        <v>0.26699186991870127</v>
      </c>
      <c r="AY110" s="29">
        <f t="shared" si="33"/>
        <v>39.361355073122482</v>
      </c>
      <c r="AZ110" s="29">
        <f t="shared" si="37"/>
        <v>0</v>
      </c>
    </row>
    <row r="111" spans="1:52" x14ac:dyDescent="0.35">
      <c r="A111" s="28">
        <f t="shared" si="42"/>
        <v>46081</v>
      </c>
      <c r="B111" t="str">
        <f t="shared" si="20"/>
        <v>Sat</v>
      </c>
      <c r="C111" s="10"/>
      <c r="D111" s="10"/>
      <c r="E111" s="4">
        <f t="shared" si="21"/>
        <v>0</v>
      </c>
      <c r="F111" s="4">
        <f t="shared" si="22"/>
        <v>824</v>
      </c>
      <c r="G111" s="4">
        <f t="shared" si="23"/>
        <v>0</v>
      </c>
      <c r="H111" s="15">
        <f>(SQRT(4*I110*I110*V*V + 'Drilling Spec'!$C$42*I110 + W*('Drilling Spec'!$C$43 + 2*l*V*(s*W + 2*V*G111/(1+e)) + 'Drilling Spec'!$C$44)) - 'Drilling Spec'!$C$45)/(2*V)</f>
        <v>728.69980844307224</v>
      </c>
      <c r="I111" s="23">
        <f>IF(AND(OR(I110=0,I110=""),F111=0),IF(F112=0,"",'Drilling Spec'!$C$26),H111)</f>
        <v>728.69980844307224</v>
      </c>
      <c r="J111" s="16">
        <f>MAX(0,I111-'Drilling Spec'!$C$30)</f>
        <v>648.69980844307224</v>
      </c>
      <c r="K111" s="18">
        <f>IFERROR(J111/'Drilling Spec'!$C$31,0)</f>
        <v>43.246653896204819</v>
      </c>
      <c r="L111" s="21">
        <f t="shared" si="24"/>
        <v>0</v>
      </c>
      <c r="M111" s="4">
        <f t="shared" si="34"/>
        <v>132</v>
      </c>
      <c r="N111" s="21">
        <f t="shared" si="25"/>
        <v>0</v>
      </c>
      <c r="O111" s="18">
        <f>(SQRT(4*O110*O110*vB*vB + 'Drilling Spec'!$C$48*O110 + WB*('Drilling Spec'!$C$49 + 2*lB*vB*(sB*WB + 2*vB*N111/(1+eB)) + 'Drilling Spec'!$C$50)) - 'Drilling Spec'!$C$51)/(2*vB)</f>
        <v>723.46681615545504</v>
      </c>
      <c r="P111" s="18">
        <f>IFERROR(((S111-'Drilling Spec'!$C$30)/'Drilling Spec'!$C$31)*'Drilling Spec'!$C$32,0)</f>
        <v>38.608008969327301</v>
      </c>
      <c r="Q111" s="18">
        <f t="shared" si="35"/>
        <v>0</v>
      </c>
      <c r="R111" s="18"/>
      <c r="S111" s="26">
        <f>IF(AND(OR(T110=0,T110=""),M111=0),IF(M112=0,"",'Drilling Spec'!$C$30),O111)</f>
        <v>723.46681615545504</v>
      </c>
      <c r="U111" s="15">
        <f>E111*'Drilling Spec'!$C$22 + L111*'Drilling Spec'!$C$23</f>
        <v>0</v>
      </c>
      <c r="V111" s="15">
        <f t="shared" si="36"/>
        <v>19.733008130081299</v>
      </c>
      <c r="W111" s="15">
        <f t="shared" si="26"/>
        <v>0.26699186991870127</v>
      </c>
      <c r="X111" s="10"/>
      <c r="Y111" s="30">
        <f>IF(W111&lt;U112,'Drilling Spec'!$C$35,0)</f>
        <v>0</v>
      </c>
      <c r="AA111" s="4">
        <f t="shared" si="40"/>
        <v>44</v>
      </c>
      <c r="AB111" s="10"/>
      <c r="AC111" s="30">
        <f>IF('04-07-25-Scen4-ExFrontloadCargo'!K112&gt;'04-07-25-Scen4-ExFrontloadCargo'!AA111,'Drilling Spec'!$C$36,)</f>
        <v>0</v>
      </c>
      <c r="AE111" s="18">
        <f>(I111-'Drilling Spec'!$C$26)/'Drilling Spec'!$C$38</f>
        <v>109.78330140717871</v>
      </c>
      <c r="AF111" s="18">
        <f t="shared" si="27"/>
        <v>0</v>
      </c>
      <c r="AG111" s="34">
        <f t="shared" si="28"/>
        <v>0</v>
      </c>
      <c r="AH111" s="10"/>
      <c r="AI111" s="26">
        <f>IF(C111="Camp Closed",AG111,IF(AG111&lt;'Drilling Spec'!$C$39,,'Drilling Spec'!$C$39))</f>
        <v>0</v>
      </c>
      <c r="AL111" s="16">
        <f t="shared" si="29"/>
        <v>-728.69980844307224</v>
      </c>
      <c r="AM111" s="16">
        <f t="shared" si="30"/>
        <v>-723.46681615545504</v>
      </c>
      <c r="AN111">
        <f>-'Drilling Spec'!$C$29</f>
        <v>-720</v>
      </c>
      <c r="AO111">
        <f>-'Drilling Spec'!$C$27</f>
        <v>-624</v>
      </c>
      <c r="AP111">
        <f>-'Drilling Spec'!$C$28</f>
        <v>-688</v>
      </c>
      <c r="AQ111" t="e">
        <f t="shared" si="31"/>
        <v>#N/A</v>
      </c>
      <c r="AR111" t="e">
        <f>IF(X111=0,NA(),-'Drilling Spec'!$C$29*0.1)</f>
        <v>#N/A</v>
      </c>
      <c r="AS111" t="e">
        <f>IF(Y111=0,NA(),-'Drilling Spec'!$C$29*0.1)</f>
        <v>#N/A</v>
      </c>
      <c r="AT111" t="e">
        <f>IF(AB111=0,NA(),-'Drilling Spec'!$C$29*0.2)</f>
        <v>#N/A</v>
      </c>
      <c r="AU111" t="e">
        <f>IF(AC111=0,NA(),-'Drilling Spec'!$C$29*0.2)</f>
        <v>#N/A</v>
      </c>
      <c r="AV111" t="e">
        <f>IF(AH111=0,NA(),-'Drilling Spec'!$C$29*0.3)</f>
        <v>#N/A</v>
      </c>
      <c r="AW111" t="e">
        <f>IF(AI111=0,NA(),-'Drilling Spec'!$C$29*0.3)</f>
        <v>#N/A</v>
      </c>
      <c r="AX111" s="29">
        <f t="shared" si="32"/>
        <v>0.26699186991870127</v>
      </c>
      <c r="AY111" s="29">
        <f t="shared" si="33"/>
        <v>39.361355073122482</v>
      </c>
      <c r="AZ111" s="29">
        <f t="shared" si="37"/>
        <v>0</v>
      </c>
    </row>
    <row r="112" spans="1:52" x14ac:dyDescent="0.35">
      <c r="A112" s="28">
        <f t="shared" si="42"/>
        <v>46082</v>
      </c>
      <c r="B112" t="str">
        <f t="shared" si="20"/>
        <v>Sun</v>
      </c>
      <c r="C112" s="10"/>
      <c r="D112" s="10"/>
      <c r="E112" s="4">
        <f t="shared" si="21"/>
        <v>0</v>
      </c>
      <c r="F112" s="4">
        <f t="shared" si="22"/>
        <v>824</v>
      </c>
      <c r="G112" s="4">
        <f t="shared" si="23"/>
        <v>0</v>
      </c>
      <c r="H112" s="15">
        <f>(SQRT(4*I111*I111*V*V + 'Drilling Spec'!$C$42*I111 + W*('Drilling Spec'!$C$43 + 2*l*V*(s*W + 2*V*G112/(1+e)) + 'Drilling Spec'!$C$44)) - 'Drilling Spec'!$C$45)/(2*V)</f>
        <v>728.69980844307224</v>
      </c>
      <c r="I112" s="23">
        <f>IF(AND(OR(I111=0,I111=""),F112=0),IF(F113=0,"",'Drilling Spec'!$C$26),H112)</f>
        <v>728.69980844307224</v>
      </c>
      <c r="J112" s="16">
        <f>MAX(0,I112-'Drilling Spec'!$C$30)</f>
        <v>648.69980844307224</v>
      </c>
      <c r="K112" s="18">
        <f>IFERROR(J112/'Drilling Spec'!$C$31,0)</f>
        <v>43.246653896204819</v>
      </c>
      <c r="L112" s="21">
        <f t="shared" si="24"/>
        <v>0</v>
      </c>
      <c r="M112" s="4">
        <f t="shared" si="34"/>
        <v>132</v>
      </c>
      <c r="N112" s="21">
        <f t="shared" si="25"/>
        <v>0</v>
      </c>
      <c r="O112" s="18">
        <f>(SQRT(4*O111*O111*vB*vB + 'Drilling Spec'!$C$48*O111 + WB*('Drilling Spec'!$C$49 + 2*lB*vB*(sB*WB + 2*vB*N112/(1+eB)) + 'Drilling Spec'!$C$50)) - 'Drilling Spec'!$C$51)/(2*vB)</f>
        <v>723.46681615545504</v>
      </c>
      <c r="P112" s="18">
        <f>IFERROR(((S112-'Drilling Spec'!$C$30)/'Drilling Spec'!$C$31)*'Drilling Spec'!$C$32,0)</f>
        <v>38.608008969327301</v>
      </c>
      <c r="Q112" s="18">
        <f t="shared" si="35"/>
        <v>0</v>
      </c>
      <c r="R112" s="18"/>
      <c r="S112" s="26">
        <f>IF(AND(OR(T111=0,T111=""),M112=0),IF(M113=0,"",'Drilling Spec'!$C$30),O112)</f>
        <v>723.46681615545504</v>
      </c>
      <c r="U112" s="15">
        <f>E112*'Drilling Spec'!$C$22 + L112*'Drilling Spec'!$C$23</f>
        <v>0</v>
      </c>
      <c r="V112" s="15">
        <f t="shared" si="36"/>
        <v>19.733008130081299</v>
      </c>
      <c r="W112" s="15">
        <f t="shared" si="26"/>
        <v>0.26699186991870127</v>
      </c>
      <c r="X112" s="10"/>
      <c r="Y112" s="30">
        <f>IF(W112&lt;U113,'Drilling Spec'!$C$35,0)</f>
        <v>0</v>
      </c>
      <c r="AA112" s="4">
        <f t="shared" si="40"/>
        <v>44</v>
      </c>
      <c r="AB112" s="10"/>
      <c r="AC112" s="30">
        <f>IF('04-07-25-Scen4-ExFrontloadCargo'!K113&gt;'04-07-25-Scen4-ExFrontloadCargo'!AA112,'Drilling Spec'!$C$36,)</f>
        <v>0</v>
      </c>
      <c r="AE112" s="18">
        <f>(I112-'Drilling Spec'!$C$26)/'Drilling Spec'!$C$38</f>
        <v>109.78330140717871</v>
      </c>
      <c r="AF112" s="18">
        <f t="shared" si="27"/>
        <v>0</v>
      </c>
      <c r="AG112" s="34">
        <f t="shared" si="28"/>
        <v>0</v>
      </c>
      <c r="AH112" s="10"/>
      <c r="AI112" s="26">
        <f>IF(C112="Camp Closed",AG112,IF(AG112&lt;'Drilling Spec'!$C$39,,'Drilling Spec'!$C$39))</f>
        <v>0</v>
      </c>
      <c r="AL112" s="16">
        <f t="shared" si="29"/>
        <v>-728.69980844307224</v>
      </c>
      <c r="AM112" s="16">
        <f t="shared" si="30"/>
        <v>-723.46681615545504</v>
      </c>
      <c r="AN112">
        <f>-'Drilling Spec'!$C$29</f>
        <v>-720</v>
      </c>
      <c r="AO112">
        <f>-'Drilling Spec'!$C$27</f>
        <v>-624</v>
      </c>
      <c r="AP112">
        <f>-'Drilling Spec'!$C$28</f>
        <v>-688</v>
      </c>
      <c r="AQ112" t="e">
        <f t="shared" si="31"/>
        <v>#N/A</v>
      </c>
      <c r="AR112" t="e">
        <f>IF(X112=0,NA(),-'Drilling Spec'!$C$29*0.1)</f>
        <v>#N/A</v>
      </c>
      <c r="AS112" t="e">
        <f>IF(Y112=0,NA(),-'Drilling Spec'!$C$29*0.1)</f>
        <v>#N/A</v>
      </c>
      <c r="AT112" t="e">
        <f>IF(AB112=0,NA(),-'Drilling Spec'!$C$29*0.2)</f>
        <v>#N/A</v>
      </c>
      <c r="AU112" t="e">
        <f>IF(AC112=0,NA(),-'Drilling Spec'!$C$29*0.2)</f>
        <v>#N/A</v>
      </c>
      <c r="AV112" t="e">
        <f>IF(AH112=0,NA(),-'Drilling Spec'!$C$29*0.3)</f>
        <v>#N/A</v>
      </c>
      <c r="AW112" t="e">
        <f>IF(AI112=0,NA(),-'Drilling Spec'!$C$29*0.3)</f>
        <v>#N/A</v>
      </c>
      <c r="AX112" s="29">
        <f t="shared" si="32"/>
        <v>0.26699186991870127</v>
      </c>
      <c r="AY112" s="29">
        <f t="shared" si="33"/>
        <v>39.361355073122482</v>
      </c>
      <c r="AZ112" s="29">
        <f t="shared" si="37"/>
        <v>0</v>
      </c>
    </row>
  </sheetData>
  <mergeCells count="24">
    <mergeCell ref="BT6:CA6"/>
    <mergeCell ref="BA1:BR1"/>
    <mergeCell ref="BT1:CA1"/>
    <mergeCell ref="BT3:BU3"/>
    <mergeCell ref="BW3:CA3"/>
    <mergeCell ref="BT4:CA5"/>
    <mergeCell ref="BU17:CA18"/>
    <mergeCell ref="BT8:CA10"/>
    <mergeCell ref="BW11:CA11"/>
    <mergeCell ref="BW12:CA12"/>
    <mergeCell ref="BW13:CA13"/>
    <mergeCell ref="BW14:CA14"/>
    <mergeCell ref="BU11:BV11"/>
    <mergeCell ref="BU12:BV12"/>
    <mergeCell ref="BU13:BV13"/>
    <mergeCell ref="BU14:BV14"/>
    <mergeCell ref="BU15:CA16"/>
    <mergeCell ref="BU31:CA32"/>
    <mergeCell ref="BU33:CA34"/>
    <mergeCell ref="BT35:CA37"/>
    <mergeCell ref="BT38:CA39"/>
    <mergeCell ref="BU19:CA23"/>
    <mergeCell ref="BU24:CA25"/>
    <mergeCell ref="BT26:CA30"/>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DF57D-B3EC-4690-BBB0-5FD1DAF08EE0}">
  <dimension ref="A1:CA112"/>
  <sheetViews>
    <sheetView topLeftCell="C1" workbookViewId="0">
      <pane ySplit="1" topLeftCell="A2" activePane="bottomLeft" state="frozen"/>
      <selection pane="bottomLeft" activeCell="BR49" sqref="BR49"/>
    </sheetView>
  </sheetViews>
  <sheetFormatPr defaultRowHeight="14.5" x14ac:dyDescent="0.35"/>
  <cols>
    <col min="1" max="1" width="5.26953125" bestFit="1" customWidth="1"/>
    <col min="2" max="2" width="4.81640625" bestFit="1" customWidth="1"/>
    <col min="3" max="3" width="20" style="4" bestFit="1" customWidth="1"/>
    <col min="4" max="4" width="8.453125" style="4" bestFit="1" customWidth="1"/>
    <col min="5" max="5" width="7.54296875" style="4" hidden="1" customWidth="1"/>
    <col min="6" max="6" width="12.453125" style="4" hidden="1" customWidth="1"/>
    <col min="7" max="7" width="9.1796875" style="4" hidden="1" customWidth="1"/>
    <col min="8" max="8" width="12.453125" style="4" hidden="1" customWidth="1"/>
    <col min="9" max="9" width="8.7265625" style="4" hidden="1" customWidth="1"/>
    <col min="10" max="10" width="9.7265625" style="4" hidden="1" customWidth="1"/>
    <col min="11" max="11" width="8.453125" style="4" hidden="1" customWidth="1"/>
    <col min="12" max="14" width="7" style="4" hidden="1" customWidth="1"/>
    <col min="15" max="17" width="9.7265625" style="4" hidden="1" customWidth="1"/>
    <col min="18" max="18" width="1.453125" style="4" hidden="1" customWidth="1"/>
    <col min="19" max="19" width="10.1796875" style="4" hidden="1" customWidth="1"/>
    <col min="20" max="20" width="3.26953125" customWidth="1"/>
    <col min="21" max="23" width="9.7265625" hidden="1" customWidth="1"/>
    <col min="24" max="24" width="14.1796875" style="4" bestFit="1" customWidth="1"/>
    <col min="25" max="25" width="14" style="4" customWidth="1"/>
    <col min="26" max="26" width="2.453125" style="4" customWidth="1"/>
    <col min="27" max="27" width="9.54296875" style="4" hidden="1" customWidth="1"/>
    <col min="28" max="28" width="9.7265625" style="4" bestFit="1" customWidth="1"/>
    <col min="29" max="29" width="11.7265625" style="4" customWidth="1"/>
    <col min="30" max="30" width="1.453125" style="4" customWidth="1"/>
    <col min="31" max="32" width="9.1796875" style="4" hidden="1" customWidth="1"/>
    <col min="33" max="33" width="8.26953125" style="4" bestFit="1" customWidth="1"/>
    <col min="34" max="34" width="8.81640625" style="4" bestFit="1" customWidth="1"/>
    <col min="35" max="35" width="9.7265625" style="4" bestFit="1" customWidth="1"/>
    <col min="36" max="36" width="2.26953125" customWidth="1"/>
    <col min="37" max="37" width="9.1796875" hidden="1" customWidth="1"/>
    <col min="38" max="39" width="10" style="4" hidden="1" customWidth="1"/>
    <col min="40" max="50" width="9.1796875" hidden="1" customWidth="1"/>
    <col min="51" max="51" width="11.453125" hidden="1" customWidth="1"/>
    <col min="52" max="52" width="9.1796875" hidden="1" customWidth="1"/>
    <col min="53" max="53" width="16.26953125" bestFit="1" customWidth="1"/>
    <col min="54" max="54" width="10.453125" bestFit="1" customWidth="1"/>
    <col min="55" max="55" width="5.1796875" bestFit="1" customWidth="1"/>
    <col min="56" max="56" width="5" bestFit="1" customWidth="1"/>
    <col min="57" max="57" width="14" bestFit="1" customWidth="1"/>
    <col min="58" max="58" width="10.453125" bestFit="1" customWidth="1"/>
    <col min="59" max="59" width="4.453125" bestFit="1" customWidth="1"/>
    <col min="61" max="61" width="4.453125" bestFit="1" customWidth="1"/>
    <col min="71" max="71" width="0.54296875" customWidth="1"/>
    <col min="72" max="72" width="2.54296875" customWidth="1"/>
  </cols>
  <sheetData>
    <row r="1" spans="1:79" s="6" customFormat="1" ht="60" customHeight="1" x14ac:dyDescent="0.7">
      <c r="A1" s="6" t="s">
        <v>160</v>
      </c>
      <c r="B1" s="6" t="s">
        <v>6</v>
      </c>
      <c r="C1" s="6" t="s">
        <v>1</v>
      </c>
      <c r="D1" s="6" t="s">
        <v>5</v>
      </c>
      <c r="E1" s="13" t="s">
        <v>8</v>
      </c>
      <c r="F1" s="13" t="s">
        <v>28</v>
      </c>
      <c r="G1" s="13" t="s">
        <v>51</v>
      </c>
      <c r="H1" s="13" t="s">
        <v>49</v>
      </c>
      <c r="I1" s="6" t="s">
        <v>48</v>
      </c>
      <c r="J1" s="13" t="s">
        <v>103</v>
      </c>
      <c r="K1" s="6" t="s">
        <v>11</v>
      </c>
      <c r="L1" s="13" t="s">
        <v>101</v>
      </c>
      <c r="M1" s="13" t="s">
        <v>107</v>
      </c>
      <c r="N1" s="13" t="s">
        <v>102</v>
      </c>
      <c r="O1" s="13" t="s">
        <v>105</v>
      </c>
      <c r="P1" s="13" t="s">
        <v>163</v>
      </c>
      <c r="Q1" s="13" t="s">
        <v>164</v>
      </c>
      <c r="R1" s="13"/>
      <c r="S1" s="6" t="s">
        <v>106</v>
      </c>
      <c r="U1" s="13" t="s">
        <v>155</v>
      </c>
      <c r="V1" s="13" t="s">
        <v>156</v>
      </c>
      <c r="W1" s="13" t="s">
        <v>157</v>
      </c>
      <c r="X1" s="6" t="s">
        <v>158</v>
      </c>
      <c r="Y1" s="6" t="s">
        <v>159</v>
      </c>
      <c r="AA1" s="13" t="s">
        <v>75</v>
      </c>
      <c r="AB1" s="6" t="s">
        <v>118</v>
      </c>
      <c r="AC1" s="6" t="s">
        <v>119</v>
      </c>
      <c r="AE1" s="13" t="s">
        <v>122</v>
      </c>
      <c r="AF1" s="13" t="s">
        <v>125</v>
      </c>
      <c r="AG1" s="13" t="s">
        <v>124</v>
      </c>
      <c r="AH1" s="6" t="s">
        <v>123</v>
      </c>
      <c r="AI1" s="6" t="s">
        <v>126</v>
      </c>
      <c r="AJ1"/>
      <c r="AK1" s="13" t="s">
        <v>69</v>
      </c>
      <c r="AL1" s="13" t="s">
        <v>67</v>
      </c>
      <c r="AM1" s="13" t="s">
        <v>104</v>
      </c>
      <c r="AN1" s="13" t="s">
        <v>54</v>
      </c>
      <c r="AO1" s="13" t="s">
        <v>65</v>
      </c>
      <c r="AP1" s="13" t="s">
        <v>66</v>
      </c>
      <c r="AQ1" s="13" t="s">
        <v>115</v>
      </c>
      <c r="AR1" s="13" t="s">
        <v>152</v>
      </c>
      <c r="AS1" s="13" t="s">
        <v>153</v>
      </c>
      <c r="AT1" s="13" t="s">
        <v>121</v>
      </c>
      <c r="AU1" s="13" t="s">
        <v>120</v>
      </c>
      <c r="AV1" s="13" t="s">
        <v>127</v>
      </c>
      <c r="AW1" s="13" t="s">
        <v>128</v>
      </c>
      <c r="AX1" s="13" t="s">
        <v>161</v>
      </c>
      <c r="AY1" s="13" t="s">
        <v>166</v>
      </c>
      <c r="AZ1" s="13" t="s">
        <v>162</v>
      </c>
      <c r="BA1" s="37" t="s">
        <v>170</v>
      </c>
      <c r="BB1" s="37"/>
      <c r="BC1" s="37"/>
      <c r="BD1" s="37"/>
      <c r="BE1" s="37"/>
      <c r="BF1" s="37"/>
      <c r="BG1" s="37"/>
      <c r="BH1" s="37"/>
      <c r="BI1" s="37"/>
      <c r="BJ1" s="37"/>
      <c r="BK1" s="37"/>
      <c r="BL1" s="37"/>
      <c r="BM1" s="37"/>
      <c r="BN1" s="37"/>
      <c r="BO1" s="37"/>
      <c r="BP1" s="37"/>
      <c r="BQ1" s="37"/>
      <c r="BR1" s="37"/>
      <c r="BT1" s="46" t="s">
        <v>173</v>
      </c>
      <c r="BU1" s="46"/>
      <c r="BV1" s="46"/>
      <c r="BW1" s="46"/>
      <c r="BX1" s="46"/>
      <c r="BY1" s="46"/>
      <c r="BZ1" s="46"/>
      <c r="CA1" s="46"/>
    </row>
    <row r="2" spans="1:79" s="6" customFormat="1" ht="5.25" customHeight="1" x14ac:dyDescent="0.35">
      <c r="AJ2"/>
    </row>
    <row r="3" spans="1:79" x14ac:dyDescent="0.35">
      <c r="A3" s="27">
        <f>BB4</f>
        <v>45973</v>
      </c>
      <c r="B3" t="str">
        <f t="shared" ref="B3:B66" si="0">TEXT(A3,"ddd")</f>
        <v>Wed</v>
      </c>
      <c r="C3" s="10" t="s">
        <v>2</v>
      </c>
      <c r="D3" s="10">
        <v>12</v>
      </c>
      <c r="E3" s="4">
        <f t="shared" ref="E3:E66" si="1">IF(C3="Drilling",D3,0)</f>
        <v>0</v>
      </c>
      <c r="F3" s="4">
        <f t="shared" ref="F3:F66" si="2">(F2+E3)</f>
        <v>0</v>
      </c>
      <c r="G3" s="4">
        <f t="shared" ref="G3:G66" si="3">E3*60</f>
        <v>0</v>
      </c>
      <c r="H3" s="15">
        <f>(SQRT(4*I2*I2*V*V + 'Drilling Spec'!$C$42*I2 + W*('Drilling Spec'!$C$43 + 2*l*V*(s*W + 2*V*G3/(1+e)) + 'Drilling Spec'!$C$44)) - 'Drilling Spec'!$C$45)/(2*V)</f>
        <v>0</v>
      </c>
      <c r="I3" s="23" t="str">
        <f>IF(AND(OR(I2=0,I2=""),F3=0),IF(F4=0,"",'Drilling Spec'!$C$26),H3)</f>
        <v/>
      </c>
      <c r="J3" s="16" t="e">
        <f>MAX(0,I3-'Drilling Spec'!$C$30)</f>
        <v>#VALUE!</v>
      </c>
      <c r="K3" s="18">
        <f>IFERROR(J3/'Drilling Spec'!$C$31,0)</f>
        <v>0</v>
      </c>
      <c r="L3" s="21">
        <f t="shared" ref="L3:L66" si="4">IF(C3="Bailing",D3,0)</f>
        <v>0</v>
      </c>
      <c r="M3" s="4">
        <f>(M2+L3)</f>
        <v>0</v>
      </c>
      <c r="N3" s="4">
        <f t="shared" ref="N3:N66" si="5">L3*60</f>
        <v>0</v>
      </c>
      <c r="O3" s="18">
        <f>(SQRT(4*O2*O2*vB*vB + 'Drilling Spec'!$C$48*O2 + WB*('Drilling Spec'!$C$49 + 2*lB*vB*(sB*WB + 2*vB*N3/(1+eB)) + 'Drilling Spec'!$C$50)) - 'Drilling Spec'!$C$51)/(2*vB)</f>
        <v>0</v>
      </c>
      <c r="P3" s="18">
        <f>IFERROR(((S3-'Drilling Spec'!$C$30)/'Drilling Spec'!$C$31)*'Drilling Spec'!$C$32,0)</f>
        <v>0</v>
      </c>
      <c r="Q3" s="18">
        <f>P3-P2</f>
        <v>0</v>
      </c>
      <c r="R3" s="18"/>
      <c r="S3" s="26" t="str">
        <f>IF(AND(OR(T2=0,T2=""),M3=0),IF(M4=0,"",'Drilling Spec'!$C$30),O3)</f>
        <v/>
      </c>
      <c r="U3" s="15">
        <f>E3*'Drilling Spec'!$C$22 + L3*'Drilling Spec'!$C$23</f>
        <v>0</v>
      </c>
      <c r="V3" s="15">
        <f>V2+U3</f>
        <v>0</v>
      </c>
      <c r="W3" s="15">
        <f t="shared" ref="W3:W66" si="6">W2-U3+X2+Y2</f>
        <v>0</v>
      </c>
      <c r="X3" s="10"/>
      <c r="Y3" s="30">
        <f>IF(W3&lt;U4,'Drilling Spec'!$C$35,0)</f>
        <v>0</v>
      </c>
      <c r="AA3" s="4">
        <f>AA2+AC2+AB3+'Drilling Spec'!$C$37</f>
        <v>4</v>
      </c>
      <c r="AB3" s="10"/>
      <c r="AC3" s="30">
        <f>IF('04-07-25-Scen5-WorstCargoJIT'!K4&gt;'04-07-25-Scen5-WorstCargoJIT'!AA3,'Drilling Spec'!$C$36,)</f>
        <v>0</v>
      </c>
      <c r="AE3" s="18" t="e">
        <f>(I3-'Drilling Spec'!$C$26)/'Drilling Spec'!$C$38</f>
        <v>#VALUE!</v>
      </c>
      <c r="AF3" s="18">
        <f t="shared" ref="AF3:AF66" si="7">IFERROR(AE3-AE2,0)</f>
        <v>0</v>
      </c>
      <c r="AG3" s="34">
        <f t="shared" ref="AG3:AG66" si="8">AG2+AF3-AH3-AI2</f>
        <v>0</v>
      </c>
      <c r="AH3" s="10"/>
      <c r="AI3" s="26">
        <f>IF(C3="Camp Closed",AG3,IF(AG3&lt;'Drilling Spec'!$C$39,,'Drilling Spec'!$C$39))</f>
        <v>0</v>
      </c>
      <c r="AK3">
        <v>0</v>
      </c>
      <c r="AL3" s="16" t="e">
        <f t="shared" ref="AL3:AL66" si="9">IFERROR(-I3,NA())</f>
        <v>#N/A</v>
      </c>
      <c r="AM3" s="16" t="e">
        <f t="shared" ref="AM3:AM66" si="10">IF(OR(S3=0,S3=""),NA(),-S3)</f>
        <v>#N/A</v>
      </c>
      <c r="AN3">
        <f>-'Drilling Spec'!$C$29</f>
        <v>-720</v>
      </c>
      <c r="AO3">
        <f>-'Drilling Spec'!$C$27</f>
        <v>-624</v>
      </c>
      <c r="AP3">
        <f>-'Drilling Spec'!$C$28</f>
        <v>-688</v>
      </c>
      <c r="AQ3" t="e">
        <f t="shared" ref="AQ3:AQ66" si="11">IF(C3="Camp Closed",0,NA())</f>
        <v>#N/A</v>
      </c>
      <c r="AR3" t="e">
        <f>IF(X3=0,NA(),-'Drilling Spec'!$C$29*0.1)</f>
        <v>#N/A</v>
      </c>
      <c r="AS3" t="e">
        <f>IF(Y3=0,NA(),-'Drilling Spec'!$C$29*0.1)</f>
        <v>#N/A</v>
      </c>
      <c r="AT3" t="e">
        <f>IF(AB3=0,NA(),-'Drilling Spec'!$C$29*0.2)</f>
        <v>#N/A</v>
      </c>
      <c r="AU3" t="e">
        <f>IF(AC3=0,NA(),-'Drilling Spec'!$C$29*0.2)</f>
        <v>#N/A</v>
      </c>
      <c r="AV3" t="e">
        <f>IF(AH3=0,NA(),-'Drilling Spec'!$C$29*0.3)</f>
        <v>#N/A</v>
      </c>
      <c r="AW3" t="e">
        <f>IF(AI3=0,NA(),-'Drilling Spec'!$C$29*0.3)</f>
        <v>#N/A</v>
      </c>
      <c r="AX3" s="29">
        <f t="shared" ref="AX3:AX66" si="12">W3</f>
        <v>0</v>
      </c>
      <c r="AY3" s="29">
        <f t="shared" ref="AY3:AY66" si="13">AA3-K3+P3</f>
        <v>4</v>
      </c>
      <c r="AZ3" s="29">
        <f>AG3</f>
        <v>0</v>
      </c>
      <c r="BB3" s="33" t="s">
        <v>160</v>
      </c>
      <c r="BC3" s="33" t="s">
        <v>131</v>
      </c>
      <c r="BF3" s="33" t="s">
        <v>160</v>
      </c>
      <c r="BG3" s="33" t="s">
        <v>131</v>
      </c>
      <c r="BT3" s="45" t="s">
        <v>174</v>
      </c>
      <c r="BU3" s="45"/>
      <c r="BV3" s="36" t="s">
        <v>175</v>
      </c>
      <c r="BW3" s="47" t="s">
        <v>176</v>
      </c>
      <c r="BX3" s="45"/>
      <c r="BY3" s="45"/>
      <c r="BZ3" s="45"/>
      <c r="CA3" s="45"/>
    </row>
    <row r="4" spans="1:79" x14ac:dyDescent="0.35">
      <c r="A4" s="28">
        <f>A3+1</f>
        <v>45974</v>
      </c>
      <c r="B4" t="str">
        <f t="shared" si="0"/>
        <v>Thu</v>
      </c>
      <c r="C4" s="10" t="s">
        <v>3</v>
      </c>
      <c r="D4" s="10">
        <v>12</v>
      </c>
      <c r="E4" s="4">
        <f t="shared" si="1"/>
        <v>0</v>
      </c>
      <c r="F4" s="4">
        <f t="shared" si="2"/>
        <v>0</v>
      </c>
      <c r="G4" s="4">
        <f t="shared" si="3"/>
        <v>0</v>
      </c>
      <c r="H4" s="15" t="e">
        <f>(SQRT(4*I3*I3*V*V + 'Drilling Spec'!$C$42*I3 + W*('Drilling Spec'!$C$43 + 2*l*V*(s*W + 2*V*G4/(1+e)) + 'Drilling Spec'!$C$44)) - 'Drilling Spec'!$C$45)/(2*V)</f>
        <v>#VALUE!</v>
      </c>
      <c r="I4" s="23" t="str">
        <f>IF(AND(OR(I3=0,I3=""),F4=0),IF(F5=0,"",'Drilling Spec'!$C$26),H4)</f>
        <v/>
      </c>
      <c r="J4" s="16" t="e">
        <f>MAX(0,I4-'Drilling Spec'!$C$30)</f>
        <v>#VALUE!</v>
      </c>
      <c r="K4" s="18">
        <f>IFERROR(J4/'Drilling Spec'!$C$31,0)</f>
        <v>0</v>
      </c>
      <c r="L4" s="21">
        <f t="shared" si="4"/>
        <v>0</v>
      </c>
      <c r="M4" s="4">
        <f t="shared" ref="M4:M67" si="14">(M3+L4)</f>
        <v>0</v>
      </c>
      <c r="N4" s="21">
        <f t="shared" si="5"/>
        <v>0</v>
      </c>
      <c r="O4" s="18">
        <f>(SQRT(4*O3*O3*vB*vB + 'Drilling Spec'!$C$48*O3 + WB*('Drilling Spec'!$C$49 + 2*lB*vB*(sB*WB + 2*vB*N4/(1+eB)) + 'Drilling Spec'!$C$50)) - 'Drilling Spec'!$C$51)/(2*vB)</f>
        <v>0</v>
      </c>
      <c r="P4" s="18">
        <f>IFERROR(((S4-'Drilling Spec'!$C$30)/'Drilling Spec'!$C$31)*'Drilling Spec'!$C$32,0)</f>
        <v>0</v>
      </c>
      <c r="Q4" s="18">
        <f t="shared" ref="Q4:Q67" si="15">P4-P3</f>
        <v>0</v>
      </c>
      <c r="R4" s="18"/>
      <c r="S4" s="26" t="str">
        <f>IF(AND(OR(T3=0,T3=""),M4=0),IF(M5=0,"",'Drilling Spec'!$C$30),O4)</f>
        <v/>
      </c>
      <c r="U4" s="15">
        <f>E4*'Drilling Spec'!$C$22 + L4*'Drilling Spec'!$C$23</f>
        <v>0</v>
      </c>
      <c r="V4" s="15">
        <f t="shared" ref="V4:V67" si="16">V3+U4</f>
        <v>0</v>
      </c>
      <c r="W4" s="15">
        <f t="shared" si="6"/>
        <v>0</v>
      </c>
      <c r="X4" s="10"/>
      <c r="Y4" s="30">
        <f>IF(W4&lt;U5,'Drilling Spec'!$C$35,0)</f>
        <v>0</v>
      </c>
      <c r="AA4" s="4">
        <f>AA3+AC3+AB4</f>
        <v>4</v>
      </c>
      <c r="AB4" s="10"/>
      <c r="AC4" s="30">
        <f>IF('04-07-25-Scen5-WorstCargoJIT'!K5&gt;'04-07-25-Scen5-WorstCargoJIT'!AA4,'Drilling Spec'!$C$36,)</f>
        <v>0</v>
      </c>
      <c r="AE4" s="18" t="e">
        <f>(I4-'Drilling Spec'!$C$26)/'Drilling Spec'!$C$38</f>
        <v>#VALUE!</v>
      </c>
      <c r="AF4" s="18">
        <f t="shared" si="7"/>
        <v>0</v>
      </c>
      <c r="AG4" s="34">
        <f t="shared" si="8"/>
        <v>0</v>
      </c>
      <c r="AH4" s="10"/>
      <c r="AI4" s="26">
        <f>IF(C4="Camp Closed",AG4,IF(AG4&lt;'Drilling Spec'!$C$39,,'Drilling Spec'!$C$39))</f>
        <v>0</v>
      </c>
      <c r="AL4" s="16" t="e">
        <f t="shared" si="9"/>
        <v>#N/A</v>
      </c>
      <c r="AM4" s="16" t="e">
        <f t="shared" si="10"/>
        <v>#N/A</v>
      </c>
      <c r="AN4">
        <f>-'Drilling Spec'!$C$29</f>
        <v>-720</v>
      </c>
      <c r="AO4">
        <f>-'Drilling Spec'!$C$27</f>
        <v>-624</v>
      </c>
      <c r="AP4">
        <f>-'Drilling Spec'!$C$28</f>
        <v>-688</v>
      </c>
      <c r="AQ4" t="e">
        <f t="shared" si="11"/>
        <v>#N/A</v>
      </c>
      <c r="AR4" t="e">
        <f>IF(X4=0,NA(),-'Drilling Spec'!$C$29*0.1)</f>
        <v>#N/A</v>
      </c>
      <c r="AS4" t="e">
        <f>IF(Y4=0,NA(),-'Drilling Spec'!$C$29*0.1)</f>
        <v>#N/A</v>
      </c>
      <c r="AT4" t="e">
        <f>IF(AB4=0,NA(),-'Drilling Spec'!$C$29*0.2)</f>
        <v>#N/A</v>
      </c>
      <c r="AU4" t="e">
        <f>IF(AC4=0,NA(),-'Drilling Spec'!$C$29*0.2)</f>
        <v>#N/A</v>
      </c>
      <c r="AV4" t="e">
        <f>IF(AH4=0,NA(),-'Drilling Spec'!$C$29*0.3)</f>
        <v>#N/A</v>
      </c>
      <c r="AW4" t="e">
        <f>IF(AI4=0,NA(),-'Drilling Spec'!$C$29*0.3)</f>
        <v>#N/A</v>
      </c>
      <c r="AX4" s="29">
        <f t="shared" si="12"/>
        <v>0</v>
      </c>
      <c r="AY4" s="29">
        <f t="shared" si="13"/>
        <v>4</v>
      </c>
      <c r="AZ4" s="29">
        <f t="shared" ref="AZ4:AZ67" si="17">AG4</f>
        <v>0</v>
      </c>
      <c r="BA4" s="31" t="s">
        <v>132</v>
      </c>
      <c r="BB4" s="32">
        <v>45973</v>
      </c>
      <c r="BC4" s="10">
        <v>5</v>
      </c>
      <c r="BE4" s="31" t="s">
        <v>134</v>
      </c>
      <c r="BF4" s="32">
        <v>46043</v>
      </c>
      <c r="BG4" s="10">
        <v>5</v>
      </c>
      <c r="BT4" s="39" t="s">
        <v>177</v>
      </c>
      <c r="BU4" s="39"/>
      <c r="BV4" s="39"/>
      <c r="BW4" s="39"/>
      <c r="BX4" s="39"/>
      <c r="BY4" s="39"/>
      <c r="BZ4" s="39"/>
      <c r="CA4" s="39"/>
    </row>
    <row r="5" spans="1:79" x14ac:dyDescent="0.35">
      <c r="A5" s="28">
        <f t="shared" ref="A5:A68" si="18">A4+1</f>
        <v>45975</v>
      </c>
      <c r="B5" t="str">
        <f t="shared" si="0"/>
        <v>Fri</v>
      </c>
      <c r="C5" s="10" t="s">
        <v>3</v>
      </c>
      <c r="D5" s="10">
        <v>12</v>
      </c>
      <c r="E5" s="4">
        <f t="shared" si="1"/>
        <v>0</v>
      </c>
      <c r="F5" s="4">
        <f t="shared" si="2"/>
        <v>0</v>
      </c>
      <c r="G5" s="4">
        <f t="shared" si="3"/>
        <v>0</v>
      </c>
      <c r="H5" s="15" t="e">
        <f>(SQRT(4*I4*I4*V*V + 'Drilling Spec'!$C$42*I4 + W*('Drilling Spec'!$C$43 + 2*l*V*(s*W + 2*V*G5/(1+e)) + 'Drilling Spec'!$C$44)) - 'Drilling Spec'!$C$45)/(2*V)</f>
        <v>#VALUE!</v>
      </c>
      <c r="I5" s="23" t="str">
        <f>IF(AND(OR(I4=0,I4=""),F5=0),IF(F6=0,"",'Drilling Spec'!$C$26),H5)</f>
        <v/>
      </c>
      <c r="J5" s="16" t="e">
        <f>MAX(0,I5-'Drilling Spec'!$C$30)</f>
        <v>#VALUE!</v>
      </c>
      <c r="K5" s="18">
        <f>IFERROR(J5/'Drilling Spec'!$C$31,0)</f>
        <v>0</v>
      </c>
      <c r="L5" s="21">
        <f t="shared" si="4"/>
        <v>0</v>
      </c>
      <c r="M5" s="4">
        <f t="shared" si="14"/>
        <v>0</v>
      </c>
      <c r="N5" s="21">
        <f t="shared" si="5"/>
        <v>0</v>
      </c>
      <c r="O5" s="18">
        <f>(SQRT(4*O4*O4*vB*vB + 'Drilling Spec'!$C$48*O4 + WB*('Drilling Spec'!$C$49 + 2*lB*vB*(sB*WB + 2*vB*N5/(1+eB)) + 'Drilling Spec'!$C$50)) - 'Drilling Spec'!$C$51)/(2*vB)</f>
        <v>0</v>
      </c>
      <c r="P5" s="18">
        <f>IFERROR(((S5-'Drilling Spec'!$C$30)/'Drilling Spec'!$C$31)*'Drilling Spec'!$C$32,0)</f>
        <v>0</v>
      </c>
      <c r="Q5" s="18">
        <f t="shared" si="15"/>
        <v>0</v>
      </c>
      <c r="R5" s="18"/>
      <c r="S5" s="26" t="str">
        <f>IF(AND(OR(T4=0,T4=""),M5=0),IF(M6=0,"",'Drilling Spec'!$C$30),O5)</f>
        <v/>
      </c>
      <c r="U5" s="15">
        <f>E5*'Drilling Spec'!$C$22 + L5*'Drilling Spec'!$C$23</f>
        <v>0</v>
      </c>
      <c r="V5" s="15">
        <f t="shared" si="16"/>
        <v>0</v>
      </c>
      <c r="W5" s="15">
        <f t="shared" si="6"/>
        <v>0</v>
      </c>
      <c r="X5" s="10"/>
      <c r="Y5" s="30">
        <f>IF(W5&lt;U6,'Drilling Spec'!$C$35,0)</f>
        <v>0</v>
      </c>
      <c r="AA5" s="4">
        <f t="shared" ref="AA5:AA68" si="19">AA4+AC4+AB5</f>
        <v>4</v>
      </c>
      <c r="AB5" s="10"/>
      <c r="AC5" s="30">
        <f>IF('04-07-25-Scen5-WorstCargoJIT'!K6&gt;'04-07-25-Scen5-WorstCargoJIT'!AA5,'Drilling Spec'!$C$36,)</f>
        <v>0</v>
      </c>
      <c r="AE5" s="18" t="e">
        <f>(I5-'Drilling Spec'!$C$26)/'Drilling Spec'!$C$38</f>
        <v>#VALUE!</v>
      </c>
      <c r="AF5" s="18">
        <f t="shared" si="7"/>
        <v>0</v>
      </c>
      <c r="AG5" s="34">
        <f t="shared" si="8"/>
        <v>0</v>
      </c>
      <c r="AH5" s="10"/>
      <c r="AI5" s="26">
        <f>IF(C5="Camp Closed",AG5,IF(AG5&lt;'Drilling Spec'!$C$39,,'Drilling Spec'!$C$39))</f>
        <v>0</v>
      </c>
      <c r="AL5" s="16" t="e">
        <f t="shared" si="9"/>
        <v>#N/A</v>
      </c>
      <c r="AM5" s="16" t="e">
        <f t="shared" si="10"/>
        <v>#N/A</v>
      </c>
      <c r="AN5">
        <f>-'Drilling Spec'!$C$29</f>
        <v>-720</v>
      </c>
      <c r="AO5">
        <f>-'Drilling Spec'!$C$27</f>
        <v>-624</v>
      </c>
      <c r="AP5">
        <f>-'Drilling Spec'!$C$28</f>
        <v>-688</v>
      </c>
      <c r="AQ5" t="e">
        <f t="shared" si="11"/>
        <v>#N/A</v>
      </c>
      <c r="AR5" t="e">
        <f>IF(X5=0,NA(),-'Drilling Spec'!$C$29*0.1)</f>
        <v>#N/A</v>
      </c>
      <c r="AS5" t="e">
        <f>IF(Y5=0,NA(),-'Drilling Spec'!$C$29*0.1)</f>
        <v>#N/A</v>
      </c>
      <c r="AT5" t="e">
        <f>IF(AB5=0,NA(),-'Drilling Spec'!$C$29*0.2)</f>
        <v>#N/A</v>
      </c>
      <c r="AU5" t="e">
        <f>IF(AC5=0,NA(),-'Drilling Spec'!$C$29*0.2)</f>
        <v>#N/A</v>
      </c>
      <c r="AV5" t="e">
        <f>IF(AH5=0,NA(),-'Drilling Spec'!$C$29*0.3)</f>
        <v>#N/A</v>
      </c>
      <c r="AW5" t="e">
        <f>IF(AI5=0,NA(),-'Drilling Spec'!$C$29*0.3)</f>
        <v>#N/A</v>
      </c>
      <c r="AX5" s="29">
        <f t="shared" si="12"/>
        <v>0</v>
      </c>
      <c r="AY5" s="29">
        <f t="shared" si="13"/>
        <v>4</v>
      </c>
      <c r="AZ5" s="29">
        <f t="shared" si="17"/>
        <v>0</v>
      </c>
      <c r="BA5" s="31" t="s">
        <v>133</v>
      </c>
      <c r="BB5" s="32">
        <v>45978</v>
      </c>
      <c r="BC5" s="10">
        <v>5</v>
      </c>
      <c r="BE5" s="31" t="s">
        <v>167</v>
      </c>
      <c r="BF5" s="32">
        <v>46055</v>
      </c>
      <c r="BG5" s="10">
        <v>5</v>
      </c>
      <c r="BT5" s="39"/>
      <c r="BU5" s="39"/>
      <c r="BV5" s="39"/>
      <c r="BW5" s="39"/>
      <c r="BX5" s="39"/>
      <c r="BY5" s="39"/>
      <c r="BZ5" s="39"/>
      <c r="CA5" s="39"/>
    </row>
    <row r="6" spans="1:79" x14ac:dyDescent="0.35">
      <c r="A6" s="28">
        <f t="shared" si="18"/>
        <v>45976</v>
      </c>
      <c r="B6" t="str">
        <f t="shared" si="0"/>
        <v>Sat</v>
      </c>
      <c r="C6" s="10" t="s">
        <v>4</v>
      </c>
      <c r="D6" s="10">
        <v>12</v>
      </c>
      <c r="E6" s="4">
        <f t="shared" si="1"/>
        <v>0</v>
      </c>
      <c r="F6" s="4">
        <f t="shared" si="2"/>
        <v>0</v>
      </c>
      <c r="G6" s="4">
        <f t="shared" si="3"/>
        <v>0</v>
      </c>
      <c r="H6" s="15" t="e">
        <f>(SQRT(4*I5*I5*V*V + 'Drilling Spec'!$C$42*I5 + W*('Drilling Spec'!$C$43 + 2*l*V*(s*W + 2*V*G6/(1+e)) + 'Drilling Spec'!$C$44)) - 'Drilling Spec'!$C$45)/(2*V)</f>
        <v>#VALUE!</v>
      </c>
      <c r="I6" s="23" t="str">
        <f>IF(AND(OR(I5=0,I5=""),F6=0),IF(F7=0,"",'Drilling Spec'!$C$26),H6)</f>
        <v/>
      </c>
      <c r="J6" s="16" t="e">
        <f>MAX(0,I6-'Drilling Spec'!$C$30)</f>
        <v>#VALUE!</v>
      </c>
      <c r="K6" s="18">
        <f>IFERROR(J6/'Drilling Spec'!$C$31,0)</f>
        <v>0</v>
      </c>
      <c r="L6" s="21">
        <f t="shared" si="4"/>
        <v>0</v>
      </c>
      <c r="M6" s="4">
        <f t="shared" si="14"/>
        <v>0</v>
      </c>
      <c r="N6" s="21">
        <f t="shared" si="5"/>
        <v>0</v>
      </c>
      <c r="O6" s="18">
        <f>(SQRT(4*O5*O5*vB*vB + 'Drilling Spec'!$C$48*O5 + WB*('Drilling Spec'!$C$49 + 2*lB*vB*(sB*WB + 2*vB*N6/(1+eB)) + 'Drilling Spec'!$C$50)) - 'Drilling Spec'!$C$51)/(2*vB)</f>
        <v>0</v>
      </c>
      <c r="P6" s="18">
        <f>IFERROR(((S6-'Drilling Spec'!$C$30)/'Drilling Spec'!$C$31)*'Drilling Spec'!$C$32,0)</f>
        <v>0</v>
      </c>
      <c r="Q6" s="18">
        <f t="shared" si="15"/>
        <v>0</v>
      </c>
      <c r="R6" s="18"/>
      <c r="S6" s="26" t="str">
        <f>IF(AND(OR(T5=0,T5=""),M6=0),IF(M7=0,"",'Drilling Spec'!$C$30),O6)</f>
        <v/>
      </c>
      <c r="U6" s="15">
        <f>E6*'Drilling Spec'!$C$22 + L6*'Drilling Spec'!$C$23</f>
        <v>0</v>
      </c>
      <c r="V6" s="15">
        <f t="shared" si="16"/>
        <v>0</v>
      </c>
      <c r="W6" s="15">
        <f t="shared" si="6"/>
        <v>0</v>
      </c>
      <c r="X6" s="10"/>
      <c r="Y6" s="30">
        <f>IF(W6&lt;U7,'Drilling Spec'!$C$35,0)</f>
        <v>0</v>
      </c>
      <c r="AA6" s="4">
        <f t="shared" si="19"/>
        <v>4</v>
      </c>
      <c r="AB6" s="10"/>
      <c r="AC6" s="30">
        <f>IF('04-07-25-Scen5-WorstCargoJIT'!K7&gt;'04-07-25-Scen5-WorstCargoJIT'!AA6,'Drilling Spec'!$C$36,)</f>
        <v>0</v>
      </c>
      <c r="AE6" s="18" t="e">
        <f>(I6-'Drilling Spec'!$C$26)/'Drilling Spec'!$C$38</f>
        <v>#VALUE!</v>
      </c>
      <c r="AF6" s="18">
        <f t="shared" si="7"/>
        <v>0</v>
      </c>
      <c r="AG6" s="34">
        <f t="shared" si="8"/>
        <v>0</v>
      </c>
      <c r="AH6" s="10"/>
      <c r="AI6" s="26">
        <f>IF(C6="Camp Closed",AG6,IF(AG6&lt;'Drilling Spec'!$C$39,,'Drilling Spec'!$C$39))</f>
        <v>0</v>
      </c>
      <c r="AL6" s="16" t="e">
        <f t="shared" si="9"/>
        <v>#N/A</v>
      </c>
      <c r="AM6" s="16" t="e">
        <f t="shared" si="10"/>
        <v>#N/A</v>
      </c>
      <c r="AN6">
        <f>-'Drilling Spec'!$C$29</f>
        <v>-720</v>
      </c>
      <c r="AO6">
        <f>-'Drilling Spec'!$C$27</f>
        <v>-624</v>
      </c>
      <c r="AP6">
        <f>-'Drilling Spec'!$C$28</f>
        <v>-688</v>
      </c>
      <c r="AQ6" t="e">
        <f t="shared" si="11"/>
        <v>#N/A</v>
      </c>
      <c r="AR6" t="e">
        <f>IF(X6=0,NA(),-'Drilling Spec'!$C$29*0.1)</f>
        <v>#N/A</v>
      </c>
      <c r="AS6" t="e">
        <f>IF(Y6=0,NA(),-'Drilling Spec'!$C$29*0.1)</f>
        <v>#N/A</v>
      </c>
      <c r="AT6" t="e">
        <f>IF(AB6=0,NA(),-'Drilling Spec'!$C$29*0.2)</f>
        <v>#N/A</v>
      </c>
      <c r="AU6" t="e">
        <f>IF(AC6=0,NA(),-'Drilling Spec'!$C$29*0.2)</f>
        <v>#N/A</v>
      </c>
      <c r="AV6" t="e">
        <f>IF(AH6=0,NA(),-'Drilling Spec'!$C$29*0.3)</f>
        <v>#N/A</v>
      </c>
      <c r="AW6" t="e">
        <f>IF(AI6=0,NA(),-'Drilling Spec'!$C$29*0.3)</f>
        <v>#N/A</v>
      </c>
      <c r="AX6" s="29">
        <f t="shared" si="12"/>
        <v>0</v>
      </c>
      <c r="AY6" s="29">
        <f t="shared" si="13"/>
        <v>4</v>
      </c>
      <c r="AZ6" s="29">
        <f t="shared" si="17"/>
        <v>0</v>
      </c>
      <c r="BT6" s="45" t="s">
        <v>178</v>
      </c>
      <c r="BU6" s="45"/>
      <c r="BV6" s="45"/>
      <c r="BW6" s="45"/>
      <c r="BX6" s="45"/>
      <c r="BY6" s="45"/>
      <c r="BZ6" s="45"/>
      <c r="CA6" s="45"/>
    </row>
    <row r="7" spans="1:79" x14ac:dyDescent="0.35">
      <c r="A7" s="28">
        <f t="shared" si="18"/>
        <v>45977</v>
      </c>
      <c r="B7" t="str">
        <f t="shared" si="0"/>
        <v>Sun</v>
      </c>
      <c r="C7" s="10" t="s">
        <v>4</v>
      </c>
      <c r="D7" s="10">
        <v>12</v>
      </c>
      <c r="E7" s="4">
        <f t="shared" si="1"/>
        <v>0</v>
      </c>
      <c r="F7" s="4">
        <f t="shared" si="2"/>
        <v>0</v>
      </c>
      <c r="G7" s="4">
        <f t="shared" si="3"/>
        <v>0</v>
      </c>
      <c r="H7" s="15" t="e">
        <f>(SQRT(4*I6*I6*V*V + 'Drilling Spec'!$C$42*I6 + W*('Drilling Spec'!$C$43 + 2*l*V*(s*W + 2*V*G7/(1+e)) + 'Drilling Spec'!$C$44)) - 'Drilling Spec'!$C$45)/(2*V)</f>
        <v>#VALUE!</v>
      </c>
      <c r="I7" s="23" t="str">
        <f>IF(AND(OR(I6=0,I6=""),F7=0),IF(F8=0,"",'Drilling Spec'!$C$26),H7)</f>
        <v/>
      </c>
      <c r="J7" s="16" t="e">
        <f>MAX(0,I7-'Drilling Spec'!$C$30)</f>
        <v>#VALUE!</v>
      </c>
      <c r="K7" s="18">
        <f>IFERROR(J7/'Drilling Spec'!$C$31,0)</f>
        <v>0</v>
      </c>
      <c r="L7" s="21">
        <f t="shared" si="4"/>
        <v>0</v>
      </c>
      <c r="M7" s="4">
        <f t="shared" si="14"/>
        <v>0</v>
      </c>
      <c r="N7" s="21">
        <f t="shared" si="5"/>
        <v>0</v>
      </c>
      <c r="O7" s="18">
        <f>(SQRT(4*O6*O6*vB*vB + 'Drilling Spec'!$C$48*O6 + WB*('Drilling Spec'!$C$49 + 2*lB*vB*(sB*WB + 2*vB*N7/(1+eB)) + 'Drilling Spec'!$C$50)) - 'Drilling Spec'!$C$51)/(2*vB)</f>
        <v>0</v>
      </c>
      <c r="P7" s="18">
        <f>IFERROR(((S7-'Drilling Spec'!$C$30)/'Drilling Spec'!$C$31)*'Drilling Spec'!$C$32,0)</f>
        <v>0</v>
      </c>
      <c r="Q7" s="18">
        <f t="shared" si="15"/>
        <v>0</v>
      </c>
      <c r="R7" s="18"/>
      <c r="S7" s="26" t="str">
        <f>IF(AND(OR(T6=0,T6=""),M7=0),IF(M8=0,"",'Drilling Spec'!$C$30),O7)</f>
        <v/>
      </c>
      <c r="U7" s="15">
        <f>E7*'Drilling Spec'!$C$22 + L7*'Drilling Spec'!$C$23</f>
        <v>0</v>
      </c>
      <c r="V7" s="15">
        <f t="shared" si="16"/>
        <v>0</v>
      </c>
      <c r="W7" s="15">
        <f t="shared" si="6"/>
        <v>0</v>
      </c>
      <c r="X7" s="10"/>
      <c r="Y7" s="30">
        <f>IF(W7&lt;U8,'Drilling Spec'!$C$35,0)</f>
        <v>0</v>
      </c>
      <c r="AA7" s="4">
        <f t="shared" si="19"/>
        <v>4</v>
      </c>
      <c r="AB7" s="10"/>
      <c r="AC7" s="30">
        <f>IF('04-07-25-Scen5-WorstCargoJIT'!K8&gt;'04-07-25-Scen5-WorstCargoJIT'!AA7,'Drilling Spec'!$C$36,)</f>
        <v>0</v>
      </c>
      <c r="AE7" s="18" t="e">
        <f>(I7-'Drilling Spec'!$C$26)/'Drilling Spec'!$C$38</f>
        <v>#VALUE!</v>
      </c>
      <c r="AF7" s="18">
        <f t="shared" si="7"/>
        <v>0</v>
      </c>
      <c r="AG7" s="34">
        <f t="shared" si="8"/>
        <v>0</v>
      </c>
      <c r="AH7" s="10"/>
      <c r="AI7" s="26">
        <f>IF(C7="Camp Closed",AG7,IF(AG7&lt;'Drilling Spec'!$C$39,,'Drilling Spec'!$C$39))</f>
        <v>0</v>
      </c>
      <c r="AL7" s="16" t="e">
        <f t="shared" si="9"/>
        <v>#N/A</v>
      </c>
      <c r="AM7" s="16" t="e">
        <f t="shared" si="10"/>
        <v>#N/A</v>
      </c>
      <c r="AN7">
        <f>-'Drilling Spec'!$C$29</f>
        <v>-720</v>
      </c>
      <c r="AO7">
        <f>-'Drilling Spec'!$C$27</f>
        <v>-624</v>
      </c>
      <c r="AP7">
        <f>-'Drilling Spec'!$C$28</f>
        <v>-688</v>
      </c>
      <c r="AQ7" t="e">
        <f t="shared" si="11"/>
        <v>#N/A</v>
      </c>
      <c r="AR7" t="e">
        <f>IF(X7=0,NA(),-'Drilling Spec'!$C$29*0.1)</f>
        <v>#N/A</v>
      </c>
      <c r="AS7" t="e">
        <f>IF(Y7=0,NA(),-'Drilling Spec'!$C$29*0.1)</f>
        <v>#N/A</v>
      </c>
      <c r="AT7" t="e">
        <f>IF(AB7=0,NA(),-'Drilling Spec'!$C$29*0.2)</f>
        <v>#N/A</v>
      </c>
      <c r="AU7" t="e">
        <f>IF(AC7=0,NA(),-'Drilling Spec'!$C$29*0.2)</f>
        <v>#N/A</v>
      </c>
      <c r="AV7" t="e">
        <f>IF(AH7=0,NA(),-'Drilling Spec'!$C$29*0.3)</f>
        <v>#N/A</v>
      </c>
      <c r="AW7" t="e">
        <f>IF(AI7=0,NA(),-'Drilling Spec'!$C$29*0.3)</f>
        <v>#N/A</v>
      </c>
      <c r="AX7" s="29">
        <f t="shared" si="12"/>
        <v>0</v>
      </c>
      <c r="AY7" s="29">
        <f t="shared" si="13"/>
        <v>4</v>
      </c>
      <c r="AZ7" s="29">
        <f t="shared" si="17"/>
        <v>0</v>
      </c>
      <c r="BT7" t="s">
        <v>184</v>
      </c>
    </row>
    <row r="8" spans="1:79" x14ac:dyDescent="0.35">
      <c r="A8" s="28">
        <f t="shared" si="18"/>
        <v>45978</v>
      </c>
      <c r="B8" t="str">
        <f t="shared" si="0"/>
        <v>Mon</v>
      </c>
      <c r="C8" s="10" t="s">
        <v>4</v>
      </c>
      <c r="D8" s="10">
        <v>12</v>
      </c>
      <c r="E8" s="4">
        <f t="shared" si="1"/>
        <v>0</v>
      </c>
      <c r="F8" s="4">
        <f t="shared" si="2"/>
        <v>0</v>
      </c>
      <c r="G8" s="4">
        <f t="shared" si="3"/>
        <v>0</v>
      </c>
      <c r="H8" s="15" t="e">
        <f>(SQRT(4*I7*I7*V*V + 'Drilling Spec'!$C$42*I7 + W*('Drilling Spec'!$C$43 + 2*l*V*(s*W + 2*V*G8/(1+e)) + 'Drilling Spec'!$C$44)) - 'Drilling Spec'!$C$45)/(2*V)</f>
        <v>#VALUE!</v>
      </c>
      <c r="I8" s="23" t="str">
        <f>IF(AND(OR(I7=0,I7=""),F8=0),IF(F9=0,"",'Drilling Spec'!$C$26),H8)</f>
        <v/>
      </c>
      <c r="J8" s="16" t="e">
        <f>MAX(0,I8-'Drilling Spec'!$C$30)</f>
        <v>#VALUE!</v>
      </c>
      <c r="K8" s="18">
        <f>IFERROR(J8/'Drilling Spec'!$C$31,0)</f>
        <v>0</v>
      </c>
      <c r="L8" s="21">
        <f t="shared" si="4"/>
        <v>0</v>
      </c>
      <c r="M8" s="4">
        <f t="shared" si="14"/>
        <v>0</v>
      </c>
      <c r="N8" s="21">
        <f t="shared" si="5"/>
        <v>0</v>
      </c>
      <c r="O8" s="18">
        <f>(SQRT(4*O7*O7*vB*vB + 'Drilling Spec'!$C$48*O7 + WB*('Drilling Spec'!$C$49 + 2*lB*vB*(sB*WB + 2*vB*N8/(1+eB)) + 'Drilling Spec'!$C$50)) - 'Drilling Spec'!$C$51)/(2*vB)</f>
        <v>0</v>
      </c>
      <c r="P8" s="18">
        <f>IFERROR(((S8-'Drilling Spec'!$C$30)/'Drilling Spec'!$C$31)*'Drilling Spec'!$C$32,0)</f>
        <v>0</v>
      </c>
      <c r="Q8" s="18">
        <f t="shared" si="15"/>
        <v>0</v>
      </c>
      <c r="R8" s="18"/>
      <c r="S8" s="26" t="str">
        <f>IF(AND(OR(T7=0,T7=""),M8=0),IF(M9=0,"",'Drilling Spec'!$C$30),O8)</f>
        <v/>
      </c>
      <c r="U8" s="15">
        <f>E8*'Drilling Spec'!$C$22 + L8*'Drilling Spec'!$C$23</f>
        <v>0</v>
      </c>
      <c r="V8" s="15">
        <f t="shared" si="16"/>
        <v>0</v>
      </c>
      <c r="W8" s="15">
        <f t="shared" si="6"/>
        <v>0</v>
      </c>
      <c r="X8" s="10"/>
      <c r="Y8" s="30">
        <f>IF(W8&lt;U9,'Drilling Spec'!$C$35,0)</f>
        <v>0</v>
      </c>
      <c r="AA8" s="4">
        <f t="shared" si="19"/>
        <v>4</v>
      </c>
      <c r="AB8" s="10"/>
      <c r="AC8" s="30">
        <f>IF('04-07-25-Scen5-WorstCargoJIT'!K9&gt;'04-07-25-Scen5-WorstCargoJIT'!AA8,'Drilling Spec'!$C$36,)</f>
        <v>0</v>
      </c>
      <c r="AE8" s="18" t="e">
        <f>(I8-'Drilling Spec'!$C$26)/'Drilling Spec'!$C$38</f>
        <v>#VALUE!</v>
      </c>
      <c r="AF8" s="18">
        <f t="shared" si="7"/>
        <v>0</v>
      </c>
      <c r="AG8" s="34">
        <f t="shared" si="8"/>
        <v>0</v>
      </c>
      <c r="AH8" s="10"/>
      <c r="AI8" s="26">
        <f>IF(C8="Camp Closed",AG8,IF(AG8&lt;'Drilling Spec'!$C$39,,'Drilling Spec'!$C$39))</f>
        <v>0</v>
      </c>
      <c r="AL8" s="16" t="e">
        <f t="shared" si="9"/>
        <v>#N/A</v>
      </c>
      <c r="AM8" s="16" t="e">
        <f t="shared" si="10"/>
        <v>#N/A</v>
      </c>
      <c r="AN8">
        <f>-'Drilling Spec'!$C$29</f>
        <v>-720</v>
      </c>
      <c r="AO8">
        <f>-'Drilling Spec'!$C$27</f>
        <v>-624</v>
      </c>
      <c r="AP8">
        <f>-'Drilling Spec'!$C$28</f>
        <v>-688</v>
      </c>
      <c r="AQ8" t="e">
        <f t="shared" si="11"/>
        <v>#N/A</v>
      </c>
      <c r="AR8" t="e">
        <f>IF(X8=0,NA(),-'Drilling Spec'!$C$29*0.1)</f>
        <v>#N/A</v>
      </c>
      <c r="AS8" t="e">
        <f>IF(Y8=0,NA(),-'Drilling Spec'!$C$29*0.1)</f>
        <v>#N/A</v>
      </c>
      <c r="AT8" t="e">
        <f>IF(AB8=0,NA(),-'Drilling Spec'!$C$29*0.2)</f>
        <v>#N/A</v>
      </c>
      <c r="AU8" t="e">
        <f>IF(AC8=0,NA(),-'Drilling Spec'!$C$29*0.2)</f>
        <v>#N/A</v>
      </c>
      <c r="AV8" t="e">
        <f>IF(AH8=0,NA(),-'Drilling Spec'!$C$29*0.3)</f>
        <v>#N/A</v>
      </c>
      <c r="AW8" t="e">
        <f>IF(AI8=0,NA(),-'Drilling Spec'!$C$29*0.3)</f>
        <v>#N/A</v>
      </c>
      <c r="AX8" s="29">
        <f t="shared" si="12"/>
        <v>0</v>
      </c>
      <c r="AY8" s="29">
        <f t="shared" si="13"/>
        <v>4</v>
      </c>
      <c r="AZ8" s="29">
        <f t="shared" si="17"/>
        <v>0</v>
      </c>
      <c r="BT8" s="39" t="s">
        <v>183</v>
      </c>
      <c r="BU8" s="39"/>
      <c r="BV8" s="39"/>
      <c r="BW8" s="39"/>
      <c r="BX8" s="39"/>
      <c r="BY8" s="39"/>
      <c r="BZ8" s="39"/>
      <c r="CA8" s="39"/>
    </row>
    <row r="9" spans="1:79" x14ac:dyDescent="0.35">
      <c r="A9" s="28">
        <f t="shared" si="18"/>
        <v>45979</v>
      </c>
      <c r="B9" t="str">
        <f t="shared" si="0"/>
        <v>Tue</v>
      </c>
      <c r="C9" s="10" t="s">
        <v>7</v>
      </c>
      <c r="D9" s="10">
        <v>0</v>
      </c>
      <c r="E9" s="4">
        <f t="shared" si="1"/>
        <v>0</v>
      </c>
      <c r="F9" s="4">
        <f t="shared" si="2"/>
        <v>0</v>
      </c>
      <c r="G9" s="4">
        <f t="shared" si="3"/>
        <v>0</v>
      </c>
      <c r="H9" s="15" t="e">
        <f>(SQRT(4*I8*I8*V*V + 'Drilling Spec'!$C$42*I8 + W*('Drilling Spec'!$C$43 + 2*l*V*(s*W + 2*V*G9/(1+e)) + 'Drilling Spec'!$C$44)) - 'Drilling Spec'!$C$45)/(2*V)</f>
        <v>#VALUE!</v>
      </c>
      <c r="I9" s="23">
        <f>IF(AND(OR(I8=0,I8=""),F9=0),IF(F10=0,"",'Drilling Spec'!$C$26),H9)</f>
        <v>70</v>
      </c>
      <c r="J9" s="16">
        <f>MAX(0,I9-'Drilling Spec'!$C$30)</f>
        <v>0</v>
      </c>
      <c r="K9" s="18">
        <f>IFERROR(J9/'Drilling Spec'!$C$31,0)</f>
        <v>0</v>
      </c>
      <c r="L9" s="21">
        <f t="shared" si="4"/>
        <v>0</v>
      </c>
      <c r="M9" s="4">
        <f t="shared" si="14"/>
        <v>0</v>
      </c>
      <c r="N9" s="21">
        <f t="shared" si="5"/>
        <v>0</v>
      </c>
      <c r="O9" s="18">
        <f>(SQRT(4*O8*O8*vB*vB + 'Drilling Spec'!$C$48*O8 + WB*('Drilling Spec'!$C$49 + 2*lB*vB*(sB*WB + 2*vB*N9/(1+eB)) + 'Drilling Spec'!$C$50)) - 'Drilling Spec'!$C$51)/(2*vB)</f>
        <v>0</v>
      </c>
      <c r="P9" s="18">
        <f>IFERROR(((S9-'Drilling Spec'!$C$30)/'Drilling Spec'!$C$31)*'Drilling Spec'!$C$32,0)</f>
        <v>0</v>
      </c>
      <c r="Q9" s="18">
        <f t="shared" si="15"/>
        <v>0</v>
      </c>
      <c r="R9" s="18"/>
      <c r="S9" s="26" t="str">
        <f>IF(AND(OR(T8=0,T8=""),M9=0),IF(M10=0,"",'Drilling Spec'!$C$30),O9)</f>
        <v/>
      </c>
      <c r="U9" s="15">
        <f>E9*'Drilling Spec'!$C$22 + L9*'Drilling Spec'!$C$23</f>
        <v>0</v>
      </c>
      <c r="V9" s="15">
        <f t="shared" si="16"/>
        <v>0</v>
      </c>
      <c r="W9" s="15">
        <f t="shared" si="6"/>
        <v>0</v>
      </c>
      <c r="X9" s="10"/>
      <c r="Y9" s="30">
        <f>IF(W9&lt;U10,'Drilling Spec'!$C$35,0)</f>
        <v>6</v>
      </c>
      <c r="AA9" s="4">
        <f t="shared" si="19"/>
        <v>4</v>
      </c>
      <c r="AB9" s="10"/>
      <c r="AC9" s="30">
        <f>IF('04-07-25-Scen5-WorstCargoJIT'!K10&gt;'04-07-25-Scen5-WorstCargoJIT'!AA9,'Drilling Spec'!$C$36,)</f>
        <v>0</v>
      </c>
      <c r="AE9" s="18">
        <f>(I9-'Drilling Spec'!$C$26)/'Drilling Spec'!$C$38</f>
        <v>0</v>
      </c>
      <c r="AF9" s="18">
        <f t="shared" si="7"/>
        <v>0</v>
      </c>
      <c r="AG9" s="34">
        <f t="shared" si="8"/>
        <v>0</v>
      </c>
      <c r="AH9" s="10"/>
      <c r="AI9" s="26">
        <f>IF(C9="Camp Closed",AG9,IF(AG9&lt;'Drilling Spec'!$C$39,,'Drilling Spec'!$C$39))</f>
        <v>0</v>
      </c>
      <c r="AL9" s="16">
        <f t="shared" si="9"/>
        <v>-70</v>
      </c>
      <c r="AM9" s="16" t="e">
        <f t="shared" si="10"/>
        <v>#N/A</v>
      </c>
      <c r="AN9">
        <f>-'Drilling Spec'!$C$29</f>
        <v>-720</v>
      </c>
      <c r="AO9">
        <f>-'Drilling Spec'!$C$27</f>
        <v>-624</v>
      </c>
      <c r="AP9">
        <f>-'Drilling Spec'!$C$28</f>
        <v>-688</v>
      </c>
      <c r="AQ9" t="e">
        <f t="shared" si="11"/>
        <v>#N/A</v>
      </c>
      <c r="AR9" t="e">
        <f>IF(X9=0,NA(),-'Drilling Spec'!$C$29*0.1)</f>
        <v>#N/A</v>
      </c>
      <c r="AS9">
        <f>IF(Y9=0,NA(),-'Drilling Spec'!$C$29*0.1)</f>
        <v>-72</v>
      </c>
      <c r="AT9" t="e">
        <f>IF(AB9=0,NA(),-'Drilling Spec'!$C$29*0.2)</f>
        <v>#N/A</v>
      </c>
      <c r="AU9" t="e">
        <f>IF(AC9=0,NA(),-'Drilling Spec'!$C$29*0.2)</f>
        <v>#N/A</v>
      </c>
      <c r="AV9" t="e">
        <f>IF(AH9=0,NA(),-'Drilling Spec'!$C$29*0.3)</f>
        <v>#N/A</v>
      </c>
      <c r="AW9" t="e">
        <f>IF(AI9=0,NA(),-'Drilling Spec'!$C$29*0.3)</f>
        <v>#N/A</v>
      </c>
      <c r="AX9" s="29">
        <f t="shared" si="12"/>
        <v>0</v>
      </c>
      <c r="AY9" s="29">
        <f t="shared" si="13"/>
        <v>4</v>
      </c>
      <c r="AZ9" s="29">
        <f t="shared" si="17"/>
        <v>0</v>
      </c>
      <c r="BT9" s="39"/>
      <c r="BU9" s="39"/>
      <c r="BV9" s="39"/>
      <c r="BW9" s="39"/>
      <c r="BX9" s="39"/>
      <c r="BY9" s="39"/>
      <c r="BZ9" s="39"/>
      <c r="CA9" s="39"/>
    </row>
    <row r="10" spans="1:79" x14ac:dyDescent="0.35">
      <c r="A10" s="28">
        <f t="shared" si="18"/>
        <v>45980</v>
      </c>
      <c r="B10" t="str">
        <f t="shared" si="0"/>
        <v>Wed</v>
      </c>
      <c r="C10" s="10" t="s">
        <v>9</v>
      </c>
      <c r="D10" s="10">
        <v>8</v>
      </c>
      <c r="E10" s="4">
        <f t="shared" si="1"/>
        <v>8</v>
      </c>
      <c r="F10" s="4">
        <f t="shared" si="2"/>
        <v>8</v>
      </c>
      <c r="G10" s="4">
        <f t="shared" si="3"/>
        <v>480</v>
      </c>
      <c r="H10" s="15">
        <f>(SQRT(4*I9*I9*V*V + 'Drilling Spec'!$C$42*I9 + W*('Drilling Spec'!$C$43 + 2*l*V*(s*W + 2*V*G10/(1+e)) + 'Drilling Spec'!$C$44)) - 'Drilling Spec'!$C$45)/(2*V)</f>
        <v>79.833321918590045</v>
      </c>
      <c r="I10" s="23">
        <f>IF(AND(OR(I9=0,I9=""),F10=0),IF(F11=0,"",'Drilling Spec'!$C$26),H10)</f>
        <v>79.833321918590045</v>
      </c>
      <c r="J10" s="16">
        <f>MAX(0,I10-'Drilling Spec'!$C$30)</f>
        <v>0</v>
      </c>
      <c r="K10" s="18">
        <f>IFERROR(J10/'Drilling Spec'!$C$31,0)</f>
        <v>0</v>
      </c>
      <c r="L10" s="21">
        <f t="shared" si="4"/>
        <v>0</v>
      </c>
      <c r="M10" s="4">
        <f t="shared" si="14"/>
        <v>0</v>
      </c>
      <c r="N10" s="21">
        <f t="shared" si="5"/>
        <v>0</v>
      </c>
      <c r="O10" s="18">
        <f>(SQRT(4*O9*O9*vB*vB + 'Drilling Spec'!$C$48*O9 + WB*('Drilling Spec'!$C$49 + 2*lB*vB*(sB*WB + 2*vB*N10/(1+eB)) + 'Drilling Spec'!$C$50)) - 'Drilling Spec'!$C$51)/(2*vB)</f>
        <v>0</v>
      </c>
      <c r="P10" s="18">
        <f>IFERROR(((S10-'Drilling Spec'!$C$30)/'Drilling Spec'!$C$31)*'Drilling Spec'!$C$32,0)</f>
        <v>0</v>
      </c>
      <c r="Q10" s="18">
        <f t="shared" si="15"/>
        <v>0</v>
      </c>
      <c r="R10" s="18"/>
      <c r="S10" s="26" t="str">
        <f>IF(AND(OR(T9=0,T9=""),M10=0),IF(M11=0,"",'Drilling Spec'!$C$30),O10)</f>
        <v/>
      </c>
      <c r="U10" s="15">
        <f>E10*'Drilling Spec'!$C$22 + L10*'Drilling Spec'!$C$23</f>
        <v>0.16032520325203253</v>
      </c>
      <c r="V10" s="15">
        <f t="shared" si="16"/>
        <v>0.16032520325203253</v>
      </c>
      <c r="W10" s="15">
        <f t="shared" si="6"/>
        <v>5.8396747967479676</v>
      </c>
      <c r="X10" s="10"/>
      <c r="Y10" s="30">
        <f>IF(W10&lt;U11,'Drilling Spec'!$C$35,0)</f>
        <v>0</v>
      </c>
      <c r="AA10" s="4">
        <f t="shared" si="19"/>
        <v>4</v>
      </c>
      <c r="AB10" s="10"/>
      <c r="AC10" s="30">
        <f>IF('04-07-25-Scen5-WorstCargoJIT'!K11&gt;'04-07-25-Scen5-WorstCargoJIT'!AA10,'Drilling Spec'!$C$36,)</f>
        <v>0</v>
      </c>
      <c r="AE10" s="18">
        <f>(I10-'Drilling Spec'!$C$26)/'Drilling Spec'!$C$38</f>
        <v>1.6388869864316742</v>
      </c>
      <c r="AF10" s="18">
        <f t="shared" si="7"/>
        <v>1.6388869864316742</v>
      </c>
      <c r="AG10" s="34">
        <f t="shared" si="8"/>
        <v>1.6388869864316742</v>
      </c>
      <c r="AH10" s="10"/>
      <c r="AI10" s="26">
        <f>IF(C10="Camp Closed",AG10,IF(AG10&lt;'Drilling Spec'!$C$39,,'Drilling Spec'!$C$39))</f>
        <v>0</v>
      </c>
      <c r="AL10" s="16">
        <f t="shared" si="9"/>
        <v>-79.833321918590045</v>
      </c>
      <c r="AM10" s="16" t="e">
        <f t="shared" si="10"/>
        <v>#N/A</v>
      </c>
      <c r="AN10">
        <f>-'Drilling Spec'!$C$29</f>
        <v>-720</v>
      </c>
      <c r="AO10">
        <f>-'Drilling Spec'!$C$27</f>
        <v>-624</v>
      </c>
      <c r="AP10">
        <f>-'Drilling Spec'!$C$28</f>
        <v>-688</v>
      </c>
      <c r="AQ10" t="e">
        <f t="shared" si="11"/>
        <v>#N/A</v>
      </c>
      <c r="AR10" t="e">
        <f>IF(X10=0,NA(),-'Drilling Spec'!$C$29*0.1)</f>
        <v>#N/A</v>
      </c>
      <c r="AS10" t="e">
        <f>IF(Y10=0,NA(),-'Drilling Spec'!$C$29*0.1)</f>
        <v>#N/A</v>
      </c>
      <c r="AT10" t="e">
        <f>IF(AB10=0,NA(),-'Drilling Spec'!$C$29*0.2)</f>
        <v>#N/A</v>
      </c>
      <c r="AU10" t="e">
        <f>IF(AC10=0,NA(),-'Drilling Spec'!$C$29*0.2)</f>
        <v>#N/A</v>
      </c>
      <c r="AV10" t="e">
        <f>IF(AH10=0,NA(),-'Drilling Spec'!$C$29*0.3)</f>
        <v>#N/A</v>
      </c>
      <c r="AW10" t="e">
        <f>IF(AI10=0,NA(),-'Drilling Spec'!$C$29*0.3)</f>
        <v>#N/A</v>
      </c>
      <c r="AX10" s="29">
        <f t="shared" si="12"/>
        <v>5.8396747967479676</v>
      </c>
      <c r="AY10" s="29">
        <f t="shared" si="13"/>
        <v>4</v>
      </c>
      <c r="AZ10" s="29">
        <f t="shared" si="17"/>
        <v>1.6388869864316742</v>
      </c>
      <c r="BT10" s="39"/>
      <c r="BU10" s="39"/>
      <c r="BV10" s="39"/>
      <c r="BW10" s="39"/>
      <c r="BX10" s="39"/>
      <c r="BY10" s="39"/>
      <c r="BZ10" s="39"/>
      <c r="CA10" s="39"/>
    </row>
    <row r="11" spans="1:79" x14ac:dyDescent="0.35">
      <c r="A11" s="28">
        <f t="shared" si="18"/>
        <v>45981</v>
      </c>
      <c r="B11" t="str">
        <f t="shared" si="0"/>
        <v>Thu</v>
      </c>
      <c r="C11" s="10" t="s">
        <v>9</v>
      </c>
      <c r="D11" s="10">
        <v>8</v>
      </c>
      <c r="E11" s="4">
        <f t="shared" si="1"/>
        <v>8</v>
      </c>
      <c r="F11" s="4">
        <f t="shared" si="2"/>
        <v>16</v>
      </c>
      <c r="G11" s="4">
        <f t="shared" si="3"/>
        <v>480</v>
      </c>
      <c r="H11" s="15">
        <f>(SQRT(4*I10*I10*V*V + 'Drilling Spec'!$C$42*I10 + W*('Drilling Spec'!$C$43 + 2*l*V*(s*W + 2*V*G11/(1+e)) + 'Drilling Spec'!$C$44)) - 'Drilling Spec'!$C$45)/(2*V)</f>
        <v>89.510213628273647</v>
      </c>
      <c r="I11" s="23">
        <f>IF(AND(OR(I10=0,I10=""),F11=0),IF(F12=0,"",'Drilling Spec'!$C$26),H11)</f>
        <v>89.510213628273647</v>
      </c>
      <c r="J11" s="16">
        <f>MAX(0,I11-'Drilling Spec'!$C$30)</f>
        <v>9.5102136282736467</v>
      </c>
      <c r="K11" s="18">
        <f>IFERROR(J11/'Drilling Spec'!$C$31,0)</f>
        <v>0.63401424188490973</v>
      </c>
      <c r="L11" s="21">
        <f t="shared" si="4"/>
        <v>0</v>
      </c>
      <c r="M11" s="4">
        <f t="shared" si="14"/>
        <v>0</v>
      </c>
      <c r="N11" s="21">
        <f t="shared" si="5"/>
        <v>0</v>
      </c>
      <c r="O11" s="18">
        <f>(SQRT(4*O10*O10*vB*vB + 'Drilling Spec'!$C$48*O10 + WB*('Drilling Spec'!$C$49 + 2*lB*vB*(sB*WB + 2*vB*N11/(1+eB)) + 'Drilling Spec'!$C$50)) - 'Drilling Spec'!$C$51)/(2*vB)</f>
        <v>0</v>
      </c>
      <c r="P11" s="18">
        <f>IFERROR(((S11-'Drilling Spec'!$C$30)/'Drilling Spec'!$C$31)*'Drilling Spec'!$C$32,0)</f>
        <v>0</v>
      </c>
      <c r="Q11" s="18">
        <f t="shared" si="15"/>
        <v>0</v>
      </c>
      <c r="R11" s="18"/>
      <c r="S11" s="26" t="str">
        <f>IF(AND(OR(T10=0,T10=""),M11=0),IF(M12=0,"",'Drilling Spec'!$C$30),O11)</f>
        <v/>
      </c>
      <c r="U11" s="15">
        <f>E11*'Drilling Spec'!$C$22 + L11*'Drilling Spec'!$C$23</f>
        <v>0.16032520325203253</v>
      </c>
      <c r="V11" s="15">
        <f t="shared" si="16"/>
        <v>0.32065040650406507</v>
      </c>
      <c r="W11" s="15">
        <f t="shared" si="6"/>
        <v>5.6793495934959353</v>
      </c>
      <c r="X11" s="10"/>
      <c r="Y11" s="30">
        <f>IF(W11&lt;U12,'Drilling Spec'!$C$35,0)</f>
        <v>0</v>
      </c>
      <c r="AA11" s="4">
        <f t="shared" si="19"/>
        <v>4</v>
      </c>
      <c r="AB11" s="10"/>
      <c r="AC11" s="30">
        <f>IF('04-07-25-Scen5-WorstCargoJIT'!K12&gt;'04-07-25-Scen5-WorstCargoJIT'!AA11,'Drilling Spec'!$C$36,)</f>
        <v>0</v>
      </c>
      <c r="AE11" s="18">
        <f>(I11-'Drilling Spec'!$C$26)/'Drilling Spec'!$C$38</f>
        <v>3.251702271378941</v>
      </c>
      <c r="AF11" s="18">
        <f t="shared" si="7"/>
        <v>1.6128152849472668</v>
      </c>
      <c r="AG11" s="34">
        <f t="shared" si="8"/>
        <v>3.251702271378941</v>
      </c>
      <c r="AH11" s="10"/>
      <c r="AI11" s="26">
        <f>IF(C11="Camp Closed",AG11,IF(AG11&lt;'Drilling Spec'!$C$39,,'Drilling Spec'!$C$39))</f>
        <v>0</v>
      </c>
      <c r="AL11" s="16">
        <f t="shared" si="9"/>
        <v>-89.510213628273647</v>
      </c>
      <c r="AM11" s="16" t="e">
        <f t="shared" si="10"/>
        <v>#N/A</v>
      </c>
      <c r="AN11">
        <f>-'Drilling Spec'!$C$29</f>
        <v>-720</v>
      </c>
      <c r="AO11">
        <f>-'Drilling Spec'!$C$27</f>
        <v>-624</v>
      </c>
      <c r="AP11">
        <f>-'Drilling Spec'!$C$28</f>
        <v>-688</v>
      </c>
      <c r="AQ11" t="e">
        <f t="shared" si="11"/>
        <v>#N/A</v>
      </c>
      <c r="AR11" t="e">
        <f>IF(X11=0,NA(),-'Drilling Spec'!$C$29*0.1)</f>
        <v>#N/A</v>
      </c>
      <c r="AS11" t="e">
        <f>IF(Y11=0,NA(),-'Drilling Spec'!$C$29*0.1)</f>
        <v>#N/A</v>
      </c>
      <c r="AT11" t="e">
        <f>IF(AB11=0,NA(),-'Drilling Spec'!$C$29*0.2)</f>
        <v>#N/A</v>
      </c>
      <c r="AU11" t="e">
        <f>IF(AC11=0,NA(),-'Drilling Spec'!$C$29*0.2)</f>
        <v>#N/A</v>
      </c>
      <c r="AV11" t="e">
        <f>IF(AH11=0,NA(),-'Drilling Spec'!$C$29*0.3)</f>
        <v>#N/A</v>
      </c>
      <c r="AW11" t="e">
        <f>IF(AI11=0,NA(),-'Drilling Spec'!$C$29*0.3)</f>
        <v>#N/A</v>
      </c>
      <c r="AX11" s="29">
        <f t="shared" si="12"/>
        <v>5.6793495934959353</v>
      </c>
      <c r="AY11" s="29">
        <f t="shared" si="13"/>
        <v>3.36598575811509</v>
      </c>
      <c r="AZ11" s="29">
        <f t="shared" si="17"/>
        <v>3.251702271378941</v>
      </c>
      <c r="BS11" s="35"/>
      <c r="BT11" s="35"/>
      <c r="BU11" s="41" t="s">
        <v>7</v>
      </c>
      <c r="BV11" s="41"/>
      <c r="BW11" s="42" t="s">
        <v>182</v>
      </c>
      <c r="BX11" s="43"/>
      <c r="BY11" s="43"/>
      <c r="BZ11" s="43"/>
      <c r="CA11" s="43"/>
    </row>
    <row r="12" spans="1:79" x14ac:dyDescent="0.35">
      <c r="A12" s="28">
        <f t="shared" si="18"/>
        <v>45982</v>
      </c>
      <c r="B12" t="str">
        <f t="shared" si="0"/>
        <v>Fri</v>
      </c>
      <c r="C12" s="10" t="s">
        <v>9</v>
      </c>
      <c r="D12" s="10">
        <v>8</v>
      </c>
      <c r="E12" s="4">
        <f t="shared" si="1"/>
        <v>8</v>
      </c>
      <c r="F12" s="4">
        <f t="shared" si="2"/>
        <v>24</v>
      </c>
      <c r="G12" s="4">
        <f t="shared" si="3"/>
        <v>480</v>
      </c>
      <c r="H12" s="15">
        <f>(SQRT(4*I11*I11*V*V + 'Drilling Spec'!$C$42*I11 + W*('Drilling Spec'!$C$43 + 2*l*V*(s*W + 2*V*G12/(1+e)) + 'Drilling Spec'!$C$44)) - 'Drilling Spec'!$C$45)/(2*V)</f>
        <v>99.037911344051594</v>
      </c>
      <c r="I12" s="23">
        <f>IF(AND(OR(I11=0,I11=""),F12=0),IF(F13=0,"",'Drilling Spec'!$C$26),H12)</f>
        <v>99.037911344051594</v>
      </c>
      <c r="J12" s="16">
        <f>MAX(0,I12-'Drilling Spec'!$C$30)</f>
        <v>19.037911344051594</v>
      </c>
      <c r="K12" s="18">
        <f>IFERROR(J12/'Drilling Spec'!$C$31,0)</f>
        <v>1.2691940896034395</v>
      </c>
      <c r="L12" s="21">
        <f t="shared" si="4"/>
        <v>0</v>
      </c>
      <c r="M12" s="4">
        <f t="shared" si="14"/>
        <v>0</v>
      </c>
      <c r="N12" s="21">
        <f t="shared" si="5"/>
        <v>0</v>
      </c>
      <c r="O12" s="18">
        <f>(SQRT(4*O11*O11*vB*vB + 'Drilling Spec'!$C$48*O11 + WB*('Drilling Spec'!$C$49 + 2*lB*vB*(sB*WB + 2*vB*N12/(1+eB)) + 'Drilling Spec'!$C$50)) - 'Drilling Spec'!$C$51)/(2*vB)</f>
        <v>0</v>
      </c>
      <c r="P12" s="18">
        <f>IFERROR(((S12-'Drilling Spec'!$C$30)/'Drilling Spec'!$C$31)*'Drilling Spec'!$C$32,0)</f>
        <v>0</v>
      </c>
      <c r="Q12" s="18">
        <f t="shared" si="15"/>
        <v>0</v>
      </c>
      <c r="R12" s="18"/>
      <c r="S12" s="26" t="str">
        <f>IF(AND(OR(T11=0,T11=""),M12=0),IF(M13=0,"",'Drilling Spec'!$C$30),O12)</f>
        <v/>
      </c>
      <c r="U12" s="15">
        <f>E12*'Drilling Spec'!$C$22 + L12*'Drilling Spec'!$C$23</f>
        <v>0.16032520325203253</v>
      </c>
      <c r="V12" s="15">
        <f t="shared" si="16"/>
        <v>0.4809756097560976</v>
      </c>
      <c r="W12" s="15">
        <f t="shared" si="6"/>
        <v>5.5190243902439029</v>
      </c>
      <c r="X12" s="10"/>
      <c r="Y12" s="30">
        <f>IF(W12&lt;U13,'Drilling Spec'!$C$35,0)</f>
        <v>0</v>
      </c>
      <c r="AA12" s="4">
        <f t="shared" si="19"/>
        <v>4</v>
      </c>
      <c r="AB12" s="10"/>
      <c r="AC12" s="30">
        <f>IF('04-07-25-Scen5-WorstCargoJIT'!K13&gt;'04-07-25-Scen5-WorstCargoJIT'!AA12,'Drilling Spec'!$C$36,)</f>
        <v>0</v>
      </c>
      <c r="AE12" s="18">
        <f>(I12-'Drilling Spec'!$C$26)/'Drilling Spec'!$C$38</f>
        <v>4.8396518906752659</v>
      </c>
      <c r="AF12" s="18">
        <f t="shared" si="7"/>
        <v>1.5879496192963249</v>
      </c>
      <c r="AG12" s="34">
        <f t="shared" si="8"/>
        <v>4.8396518906752659</v>
      </c>
      <c r="AH12" s="10"/>
      <c r="AI12" s="26">
        <f>IF(C12="Camp Closed",AG12,IF(AG12&lt;'Drilling Spec'!$C$39,,'Drilling Spec'!$C$39))</f>
        <v>0</v>
      </c>
      <c r="AL12" s="16">
        <f t="shared" si="9"/>
        <v>-99.037911344051594</v>
      </c>
      <c r="AM12" s="16" t="e">
        <f t="shared" si="10"/>
        <v>#N/A</v>
      </c>
      <c r="AN12">
        <f>-'Drilling Spec'!$C$29</f>
        <v>-720</v>
      </c>
      <c r="AO12">
        <f>-'Drilling Spec'!$C$27</f>
        <v>-624</v>
      </c>
      <c r="AP12">
        <f>-'Drilling Spec'!$C$28</f>
        <v>-688</v>
      </c>
      <c r="AQ12" t="e">
        <f t="shared" si="11"/>
        <v>#N/A</v>
      </c>
      <c r="AR12" t="e">
        <f>IF(X12=0,NA(),-'Drilling Spec'!$C$29*0.1)</f>
        <v>#N/A</v>
      </c>
      <c r="AS12" t="e">
        <f>IF(Y12=0,NA(),-'Drilling Spec'!$C$29*0.1)</f>
        <v>#N/A</v>
      </c>
      <c r="AT12" t="e">
        <f>IF(AB12=0,NA(),-'Drilling Spec'!$C$29*0.2)</f>
        <v>#N/A</v>
      </c>
      <c r="AU12" t="e">
        <f>IF(AC12=0,NA(),-'Drilling Spec'!$C$29*0.2)</f>
        <v>#N/A</v>
      </c>
      <c r="AV12" t="e">
        <f>IF(AH12=0,NA(),-'Drilling Spec'!$C$29*0.3)</f>
        <v>#N/A</v>
      </c>
      <c r="AW12" t="e">
        <f>IF(AI12=0,NA(),-'Drilling Spec'!$C$29*0.3)</f>
        <v>#N/A</v>
      </c>
      <c r="AX12" s="29">
        <f t="shared" si="12"/>
        <v>5.5190243902439029</v>
      </c>
      <c r="AY12" s="29">
        <f t="shared" si="13"/>
        <v>2.7308059103965605</v>
      </c>
      <c r="AZ12" s="29">
        <f t="shared" si="17"/>
        <v>4.8396518906752659</v>
      </c>
      <c r="BS12" s="35"/>
      <c r="BT12" s="35"/>
      <c r="BU12" s="41" t="s">
        <v>9</v>
      </c>
      <c r="BV12" s="41"/>
      <c r="BW12" s="42" t="s">
        <v>181</v>
      </c>
      <c r="BX12" s="43"/>
      <c r="BY12" s="43"/>
      <c r="BZ12" s="43"/>
      <c r="CA12" s="43"/>
    </row>
    <row r="13" spans="1:79" x14ac:dyDescent="0.35">
      <c r="A13" s="28">
        <f t="shared" si="18"/>
        <v>45983</v>
      </c>
      <c r="B13" t="str">
        <f t="shared" si="0"/>
        <v>Sat</v>
      </c>
      <c r="C13" s="10" t="s">
        <v>9</v>
      </c>
      <c r="D13" s="10">
        <v>24</v>
      </c>
      <c r="E13" s="4">
        <f t="shared" si="1"/>
        <v>24</v>
      </c>
      <c r="F13" s="4">
        <f t="shared" si="2"/>
        <v>48</v>
      </c>
      <c r="G13" s="4">
        <f t="shared" si="3"/>
        <v>1440</v>
      </c>
      <c r="H13" s="15">
        <f>(SQRT(4*I12*I12*V*V + 'Drilling Spec'!$C$42*I12 + W*('Drilling Spec'!$C$43 + 2*l*V*(s*W + 2*V*G13/(1+e)) + 'Drilling Spec'!$C$44)) - 'Drilling Spec'!$C$45)/(2*V)</f>
        <v>126.79040696937267</v>
      </c>
      <c r="I13" s="23">
        <f>IF(AND(OR(I12=0,I12=""),F13=0),IF(F14=0,"",'Drilling Spec'!$C$26),H13)</f>
        <v>126.79040696937267</v>
      </c>
      <c r="J13" s="16">
        <f>MAX(0,I13-'Drilling Spec'!$C$30)</f>
        <v>46.790406969372668</v>
      </c>
      <c r="K13" s="18">
        <f>IFERROR(J13/'Drilling Spec'!$C$31,0)</f>
        <v>3.1193604646248447</v>
      </c>
      <c r="L13" s="21">
        <f t="shared" si="4"/>
        <v>0</v>
      </c>
      <c r="M13" s="4">
        <f t="shared" si="14"/>
        <v>0</v>
      </c>
      <c r="N13" s="21">
        <f t="shared" si="5"/>
        <v>0</v>
      </c>
      <c r="O13" s="18">
        <f>(SQRT(4*O12*O12*vB*vB + 'Drilling Spec'!$C$48*O12 + WB*('Drilling Spec'!$C$49 + 2*lB*vB*(sB*WB + 2*vB*N13/(1+eB)) + 'Drilling Spec'!$C$50)) - 'Drilling Spec'!$C$51)/(2*vB)</f>
        <v>0</v>
      </c>
      <c r="P13" s="18">
        <f>IFERROR(((S13-'Drilling Spec'!$C$30)/'Drilling Spec'!$C$31)*'Drilling Spec'!$C$32,0)</f>
        <v>0</v>
      </c>
      <c r="Q13" s="18">
        <f t="shared" si="15"/>
        <v>0</v>
      </c>
      <c r="R13" s="18"/>
      <c r="S13" s="26" t="str">
        <f>IF(AND(OR(T12=0,T12=""),M13=0),IF(M14=0,"",'Drilling Spec'!$C$30),O13)</f>
        <v/>
      </c>
      <c r="U13" s="15">
        <f>E13*'Drilling Spec'!$C$22 + L13*'Drilling Spec'!$C$23</f>
        <v>0.4809756097560976</v>
      </c>
      <c r="V13" s="15">
        <f t="shared" si="16"/>
        <v>0.9619512195121952</v>
      </c>
      <c r="W13" s="15">
        <f t="shared" si="6"/>
        <v>5.0380487804878049</v>
      </c>
      <c r="X13" s="10"/>
      <c r="Y13" s="30">
        <f>IF(W13&lt;U14,'Drilling Spec'!$C$35,0)</f>
        <v>0</v>
      </c>
      <c r="AA13" s="4">
        <f t="shared" si="19"/>
        <v>4</v>
      </c>
      <c r="AB13" s="10"/>
      <c r="AC13" s="30">
        <f>IF('04-07-25-Scen5-WorstCargoJIT'!K14&gt;'04-07-25-Scen5-WorstCargoJIT'!AA13,'Drilling Spec'!$C$36,)</f>
        <v>0</v>
      </c>
      <c r="AE13" s="18">
        <f>(I13-'Drilling Spec'!$C$26)/'Drilling Spec'!$C$38</f>
        <v>9.4650678282287775</v>
      </c>
      <c r="AF13" s="18">
        <f t="shared" si="7"/>
        <v>4.6254159375535115</v>
      </c>
      <c r="AG13" s="34">
        <f t="shared" si="8"/>
        <v>9.4650678282287775</v>
      </c>
      <c r="AH13" s="10"/>
      <c r="AI13" s="26">
        <f>IF(C13="Camp Closed",AG13,IF(AG13&lt;'Drilling Spec'!$C$39,,'Drilling Spec'!$C$39))</f>
        <v>0</v>
      </c>
      <c r="AL13" s="16">
        <f t="shared" si="9"/>
        <v>-126.79040696937267</v>
      </c>
      <c r="AM13" s="16" t="e">
        <f t="shared" si="10"/>
        <v>#N/A</v>
      </c>
      <c r="AN13">
        <f>-'Drilling Spec'!$C$29</f>
        <v>-720</v>
      </c>
      <c r="AO13">
        <f>-'Drilling Spec'!$C$27</f>
        <v>-624</v>
      </c>
      <c r="AP13">
        <f>-'Drilling Spec'!$C$28</f>
        <v>-688</v>
      </c>
      <c r="AQ13" t="e">
        <f t="shared" si="11"/>
        <v>#N/A</v>
      </c>
      <c r="AR13" t="e">
        <f>IF(X13=0,NA(),-'Drilling Spec'!$C$29*0.1)</f>
        <v>#N/A</v>
      </c>
      <c r="AS13" t="e">
        <f>IF(Y13=0,NA(),-'Drilling Spec'!$C$29*0.1)</f>
        <v>#N/A</v>
      </c>
      <c r="AT13" t="e">
        <f>IF(AB13=0,NA(),-'Drilling Spec'!$C$29*0.2)</f>
        <v>#N/A</v>
      </c>
      <c r="AU13" t="e">
        <f>IF(AC13=0,NA(),-'Drilling Spec'!$C$29*0.2)</f>
        <v>#N/A</v>
      </c>
      <c r="AV13" t="e">
        <f>IF(AH13=0,NA(),-'Drilling Spec'!$C$29*0.3)</f>
        <v>#N/A</v>
      </c>
      <c r="AW13" t="e">
        <f>IF(AI13=0,NA(),-'Drilling Spec'!$C$29*0.3)</f>
        <v>#N/A</v>
      </c>
      <c r="AX13" s="29">
        <f t="shared" si="12"/>
        <v>5.0380487804878049</v>
      </c>
      <c r="AY13" s="29">
        <f t="shared" si="13"/>
        <v>0.88063953537515527</v>
      </c>
      <c r="AZ13" s="29">
        <f t="shared" si="17"/>
        <v>9.4650678282287775</v>
      </c>
      <c r="BS13" s="35"/>
      <c r="BT13" s="35"/>
      <c r="BU13" s="41" t="s">
        <v>10</v>
      </c>
      <c r="BV13" s="41"/>
      <c r="BW13" s="42" t="s">
        <v>180</v>
      </c>
      <c r="BX13" s="43"/>
      <c r="BY13" s="43"/>
      <c r="BZ13" s="43"/>
      <c r="CA13" s="43"/>
    </row>
    <row r="14" spans="1:79" x14ac:dyDescent="0.35">
      <c r="A14" s="28">
        <f t="shared" si="18"/>
        <v>45984</v>
      </c>
      <c r="B14" t="str">
        <f t="shared" si="0"/>
        <v>Sun</v>
      </c>
      <c r="C14" s="10" t="s">
        <v>7</v>
      </c>
      <c r="D14" s="10">
        <v>0</v>
      </c>
      <c r="E14" s="4">
        <f t="shared" si="1"/>
        <v>0</v>
      </c>
      <c r="F14" s="4">
        <f t="shared" si="2"/>
        <v>48</v>
      </c>
      <c r="G14" s="4">
        <f t="shared" si="3"/>
        <v>0</v>
      </c>
      <c r="H14" s="15">
        <f>(SQRT(4*I13*I13*V*V + 'Drilling Spec'!$C$42*I13 + W*('Drilling Spec'!$C$43 + 2*l*V*(s*W + 2*V*G14/(1+e)) + 'Drilling Spec'!$C$44)) - 'Drilling Spec'!$C$45)/(2*V)</f>
        <v>126.79040696937267</v>
      </c>
      <c r="I14" s="23">
        <f>IF(AND(OR(I13=0,I13=""),F14=0),IF(F15=0,"",'Drilling Spec'!$C$26),H14)</f>
        <v>126.79040696937267</v>
      </c>
      <c r="J14" s="16">
        <f>MAX(0,I14-'Drilling Spec'!$C$30)</f>
        <v>46.790406969372668</v>
      </c>
      <c r="K14" s="18">
        <f>IFERROR(J14/'Drilling Spec'!$C$31,0)</f>
        <v>3.1193604646248447</v>
      </c>
      <c r="L14" s="21">
        <f t="shared" si="4"/>
        <v>0</v>
      </c>
      <c r="M14" s="4">
        <f t="shared" si="14"/>
        <v>0</v>
      </c>
      <c r="N14" s="21">
        <f t="shared" si="5"/>
        <v>0</v>
      </c>
      <c r="O14" s="18">
        <f>(SQRT(4*O13*O13*vB*vB + 'Drilling Spec'!$C$48*O13 + WB*('Drilling Spec'!$C$49 + 2*lB*vB*(sB*WB + 2*vB*N14/(1+eB)) + 'Drilling Spec'!$C$50)) - 'Drilling Spec'!$C$51)/(2*vB)</f>
        <v>0</v>
      </c>
      <c r="P14" s="18">
        <f>IFERROR(((S14-'Drilling Spec'!$C$30)/'Drilling Spec'!$C$31)*'Drilling Spec'!$C$32,0)</f>
        <v>0</v>
      </c>
      <c r="Q14" s="18">
        <f t="shared" si="15"/>
        <v>0</v>
      </c>
      <c r="R14" s="18"/>
      <c r="S14" s="26" t="str">
        <f>IF(AND(OR(T13=0,T13=""),M14=0),IF(M15=0,"",'Drilling Spec'!$C$30),O14)</f>
        <v/>
      </c>
      <c r="U14" s="15">
        <f>E14*'Drilling Spec'!$C$22 + L14*'Drilling Spec'!$C$23</f>
        <v>0</v>
      </c>
      <c r="V14" s="15">
        <f t="shared" si="16"/>
        <v>0.9619512195121952</v>
      </c>
      <c r="W14" s="15">
        <f t="shared" si="6"/>
        <v>5.0380487804878049</v>
      </c>
      <c r="X14" s="10"/>
      <c r="Y14" s="30">
        <f>IF(W14&lt;U15,'Drilling Spec'!$C$35,0)</f>
        <v>0</v>
      </c>
      <c r="AA14" s="4">
        <f t="shared" si="19"/>
        <v>4</v>
      </c>
      <c r="AB14" s="10"/>
      <c r="AC14" s="30">
        <f>IF('04-07-25-Scen5-WorstCargoJIT'!K15&gt;'04-07-25-Scen5-WorstCargoJIT'!AA14,'Drilling Spec'!$C$36,)</f>
        <v>6</v>
      </c>
      <c r="AE14" s="18">
        <f>(I14-'Drilling Spec'!$C$26)/'Drilling Spec'!$C$38</f>
        <v>9.4650678282287775</v>
      </c>
      <c r="AF14" s="18">
        <f t="shared" si="7"/>
        <v>0</v>
      </c>
      <c r="AG14" s="34">
        <f t="shared" si="8"/>
        <v>9.4650678282287775</v>
      </c>
      <c r="AH14" s="10"/>
      <c r="AI14" s="26">
        <f>IF(C14="Camp Closed",AG14,IF(AG14&lt;'Drilling Spec'!$C$39,,'Drilling Spec'!$C$39))</f>
        <v>0</v>
      </c>
      <c r="AL14" s="16">
        <f t="shared" si="9"/>
        <v>-126.79040696937267</v>
      </c>
      <c r="AM14" s="16" t="e">
        <f t="shared" si="10"/>
        <v>#N/A</v>
      </c>
      <c r="AN14">
        <f>-'Drilling Spec'!$C$29</f>
        <v>-720</v>
      </c>
      <c r="AO14">
        <f>-'Drilling Spec'!$C$27</f>
        <v>-624</v>
      </c>
      <c r="AP14">
        <f>-'Drilling Spec'!$C$28</f>
        <v>-688</v>
      </c>
      <c r="AQ14" t="e">
        <f t="shared" si="11"/>
        <v>#N/A</v>
      </c>
      <c r="AR14" t="e">
        <f>IF(X14=0,NA(),-'Drilling Spec'!$C$29*0.1)</f>
        <v>#N/A</v>
      </c>
      <c r="AS14" t="e">
        <f>IF(Y14=0,NA(),-'Drilling Spec'!$C$29*0.1)</f>
        <v>#N/A</v>
      </c>
      <c r="AT14" t="e">
        <f>IF(AB14=0,NA(),-'Drilling Spec'!$C$29*0.2)</f>
        <v>#N/A</v>
      </c>
      <c r="AU14">
        <f>IF(AC14=0,NA(),-'Drilling Spec'!$C$29*0.2)</f>
        <v>-144</v>
      </c>
      <c r="AV14" t="e">
        <f>IF(AH14=0,NA(),-'Drilling Spec'!$C$29*0.3)</f>
        <v>#N/A</v>
      </c>
      <c r="AW14" t="e">
        <f>IF(AI14=0,NA(),-'Drilling Spec'!$C$29*0.3)</f>
        <v>#N/A</v>
      </c>
      <c r="AX14" s="29">
        <f t="shared" si="12"/>
        <v>5.0380487804878049</v>
      </c>
      <c r="AY14" s="29">
        <f t="shared" si="13"/>
        <v>0.88063953537515527</v>
      </c>
      <c r="AZ14" s="29">
        <f t="shared" si="17"/>
        <v>9.4650678282287775</v>
      </c>
      <c r="BS14" s="35"/>
      <c r="BT14" s="35"/>
      <c r="BU14" s="44" t="s">
        <v>71</v>
      </c>
      <c r="BV14" s="44"/>
      <c r="BW14" s="42" t="s">
        <v>179</v>
      </c>
      <c r="BX14" s="43"/>
      <c r="BY14" s="43"/>
      <c r="BZ14" s="43"/>
      <c r="CA14" s="43"/>
    </row>
    <row r="15" spans="1:79" x14ac:dyDescent="0.35">
      <c r="A15" s="28">
        <f t="shared" si="18"/>
        <v>45985</v>
      </c>
      <c r="B15" t="str">
        <f t="shared" si="0"/>
        <v>Mon</v>
      </c>
      <c r="C15" s="10" t="s">
        <v>9</v>
      </c>
      <c r="D15" s="10">
        <v>24</v>
      </c>
      <c r="E15" s="4">
        <f t="shared" si="1"/>
        <v>24</v>
      </c>
      <c r="F15" s="4">
        <f t="shared" si="2"/>
        <v>72</v>
      </c>
      <c r="G15" s="4">
        <f t="shared" si="3"/>
        <v>1440</v>
      </c>
      <c r="H15" s="15">
        <f>(SQRT(4*I14*I14*V*V + 'Drilling Spec'!$C$42*I14 + W*('Drilling Spec'!$C$43 + 2*l*V*(s*W + 2*V*G15/(1+e)) + 'Drilling Spec'!$C$44)) - 'Drilling Spec'!$C$45)/(2*V)</f>
        <v>153.41443656587367</v>
      </c>
      <c r="I15" s="23">
        <f>IF(AND(OR(I14=0,I14=""),F15=0),IF(F16=0,"",'Drilling Spec'!$C$26),H15)</f>
        <v>153.41443656587367</v>
      </c>
      <c r="J15" s="16">
        <f>MAX(0,I15-'Drilling Spec'!$C$30)</f>
        <v>73.414436565873672</v>
      </c>
      <c r="K15" s="18">
        <f>IFERROR(J15/'Drilling Spec'!$C$31,0)</f>
        <v>4.8942957710582444</v>
      </c>
      <c r="L15" s="21">
        <f t="shared" si="4"/>
        <v>0</v>
      </c>
      <c r="M15" s="4">
        <f t="shared" si="14"/>
        <v>0</v>
      </c>
      <c r="N15" s="21">
        <f t="shared" si="5"/>
        <v>0</v>
      </c>
      <c r="O15" s="18">
        <f>(SQRT(4*O14*O14*vB*vB + 'Drilling Spec'!$C$48*O14 + WB*('Drilling Spec'!$C$49 + 2*lB*vB*(sB*WB + 2*vB*N15/(1+eB)) + 'Drilling Spec'!$C$50)) - 'Drilling Spec'!$C$51)/(2*vB)</f>
        <v>0</v>
      </c>
      <c r="P15" s="18">
        <f>IFERROR(((S15-'Drilling Spec'!$C$30)/'Drilling Spec'!$C$31)*'Drilling Spec'!$C$32,0)</f>
        <v>0</v>
      </c>
      <c r="Q15" s="18">
        <f t="shared" si="15"/>
        <v>0</v>
      </c>
      <c r="R15" s="18"/>
      <c r="S15" s="26" t="str">
        <f>IF(AND(OR(T14=0,T14=""),M15=0),IF(M16=0,"",'Drilling Spec'!$C$30),O15)</f>
        <v/>
      </c>
      <c r="U15" s="15">
        <f>E15*'Drilling Spec'!$C$22 + L15*'Drilling Spec'!$C$23</f>
        <v>0.4809756097560976</v>
      </c>
      <c r="V15" s="15">
        <f t="shared" si="16"/>
        <v>1.4429268292682929</v>
      </c>
      <c r="W15" s="15">
        <f t="shared" si="6"/>
        <v>4.5570731707317069</v>
      </c>
      <c r="X15" s="10"/>
      <c r="Y15" s="30">
        <f>IF(W15&lt;U16,'Drilling Spec'!$C$35,0)</f>
        <v>0</v>
      </c>
      <c r="AA15" s="4">
        <f t="shared" si="19"/>
        <v>10</v>
      </c>
      <c r="AB15" s="10"/>
      <c r="AC15" s="30">
        <f>IF('04-07-25-Scen5-WorstCargoJIT'!K16&gt;'04-07-25-Scen5-WorstCargoJIT'!AA15,'Drilling Spec'!$C$36,)</f>
        <v>0</v>
      </c>
      <c r="AE15" s="18">
        <f>(I15-'Drilling Spec'!$C$26)/'Drilling Spec'!$C$38</f>
        <v>13.902406094312278</v>
      </c>
      <c r="AF15" s="18">
        <f t="shared" si="7"/>
        <v>4.4373382660835006</v>
      </c>
      <c r="AG15" s="34">
        <f t="shared" si="8"/>
        <v>13.902406094312278</v>
      </c>
      <c r="AH15" s="10"/>
      <c r="AI15" s="26">
        <f>IF(C15="Camp Closed",AG15,IF(AG15&lt;'Drilling Spec'!$C$39,,'Drilling Spec'!$C$39))</f>
        <v>0</v>
      </c>
      <c r="AL15" s="16">
        <f t="shared" si="9"/>
        <v>-153.41443656587367</v>
      </c>
      <c r="AM15" s="16" t="e">
        <f t="shared" si="10"/>
        <v>#N/A</v>
      </c>
      <c r="AN15">
        <f>-'Drilling Spec'!$C$29</f>
        <v>-720</v>
      </c>
      <c r="AO15">
        <f>-'Drilling Spec'!$C$27</f>
        <v>-624</v>
      </c>
      <c r="AP15">
        <f>-'Drilling Spec'!$C$28</f>
        <v>-688</v>
      </c>
      <c r="AQ15" t="e">
        <f t="shared" si="11"/>
        <v>#N/A</v>
      </c>
      <c r="AR15" t="e">
        <f>IF(X15=0,NA(),-'Drilling Spec'!$C$29*0.1)</f>
        <v>#N/A</v>
      </c>
      <c r="AS15" t="e">
        <f>IF(Y15=0,NA(),-'Drilling Spec'!$C$29*0.1)</f>
        <v>#N/A</v>
      </c>
      <c r="AT15" t="e">
        <f>IF(AB15=0,NA(),-'Drilling Spec'!$C$29*0.2)</f>
        <v>#N/A</v>
      </c>
      <c r="AU15" t="e">
        <f>IF(AC15=0,NA(),-'Drilling Spec'!$C$29*0.2)</f>
        <v>#N/A</v>
      </c>
      <c r="AV15" t="e">
        <f>IF(AH15=0,NA(),-'Drilling Spec'!$C$29*0.3)</f>
        <v>#N/A</v>
      </c>
      <c r="AW15" t="e">
        <f>IF(AI15=0,NA(),-'Drilling Spec'!$C$29*0.3)</f>
        <v>#N/A</v>
      </c>
      <c r="AX15" s="29">
        <f t="shared" si="12"/>
        <v>4.5570731707317069</v>
      </c>
      <c r="AY15" s="29">
        <f t="shared" si="13"/>
        <v>5.1057042289417556</v>
      </c>
      <c r="AZ15" s="29">
        <f t="shared" si="17"/>
        <v>13.902406094312278</v>
      </c>
      <c r="BS15" s="35"/>
      <c r="BT15" s="35"/>
      <c r="BU15" s="39" t="s">
        <v>185</v>
      </c>
      <c r="BV15" s="39"/>
      <c r="BW15" s="39"/>
      <c r="BX15" s="39"/>
      <c r="BY15" s="39"/>
      <c r="BZ15" s="39"/>
      <c r="CA15" s="39"/>
    </row>
    <row r="16" spans="1:79" x14ac:dyDescent="0.35">
      <c r="A16" s="28">
        <f t="shared" si="18"/>
        <v>45986</v>
      </c>
      <c r="B16" t="str">
        <f t="shared" si="0"/>
        <v>Tue</v>
      </c>
      <c r="C16" s="10" t="s">
        <v>9</v>
      </c>
      <c r="D16" s="10">
        <v>24</v>
      </c>
      <c r="E16" s="4">
        <f t="shared" si="1"/>
        <v>24</v>
      </c>
      <c r="F16" s="4">
        <f t="shared" si="2"/>
        <v>96</v>
      </c>
      <c r="G16" s="4">
        <f t="shared" si="3"/>
        <v>1440</v>
      </c>
      <c r="H16" s="15">
        <f>(SQRT(4*I15*I15*V*V + 'Drilling Spec'!$C$42*I15 + W*('Drilling Spec'!$C$43 + 2*l*V*(s*W + 2*V*G16/(1+e)) + 'Drilling Spec'!$C$44)) - 'Drilling Spec'!$C$45)/(2*V)</f>
        <v>179.03739374715821</v>
      </c>
      <c r="I16" s="23">
        <f>IF(AND(OR(I15=0,I15=""),F16=0),IF(F17=0,"",'Drilling Spec'!$C$26),H16)</f>
        <v>179.03739374715821</v>
      </c>
      <c r="J16" s="16">
        <f>MAX(0,I16-'Drilling Spec'!$C$30)</f>
        <v>99.037393747158205</v>
      </c>
      <c r="K16" s="18">
        <f>IFERROR(J16/'Drilling Spec'!$C$31,0)</f>
        <v>6.6024929164772139</v>
      </c>
      <c r="L16" s="21">
        <f t="shared" si="4"/>
        <v>0</v>
      </c>
      <c r="M16" s="4">
        <f t="shared" si="14"/>
        <v>0</v>
      </c>
      <c r="N16" s="21">
        <f t="shared" si="5"/>
        <v>0</v>
      </c>
      <c r="O16" s="18">
        <f>(SQRT(4*O15*O15*vB*vB + 'Drilling Spec'!$C$48*O15 + WB*('Drilling Spec'!$C$49 + 2*lB*vB*(sB*WB + 2*vB*N16/(1+eB)) + 'Drilling Spec'!$C$50)) - 'Drilling Spec'!$C$51)/(2*vB)</f>
        <v>0</v>
      </c>
      <c r="P16" s="18">
        <f>IFERROR(((S16-'Drilling Spec'!$C$30)/'Drilling Spec'!$C$31)*'Drilling Spec'!$C$32,0)</f>
        <v>0</v>
      </c>
      <c r="Q16" s="18">
        <f t="shared" si="15"/>
        <v>0</v>
      </c>
      <c r="R16" s="18"/>
      <c r="S16" s="26" t="str">
        <f>IF(AND(OR(T15=0,T15=""),M16=0),IF(M17=0,"",'Drilling Spec'!$C$30),O16)</f>
        <v/>
      </c>
      <c r="U16" s="15">
        <f>E16*'Drilling Spec'!$C$22 + L16*'Drilling Spec'!$C$23</f>
        <v>0.4809756097560976</v>
      </c>
      <c r="V16" s="15">
        <f t="shared" si="16"/>
        <v>1.9239024390243904</v>
      </c>
      <c r="W16" s="15">
        <f t="shared" si="6"/>
        <v>4.0760975609756089</v>
      </c>
      <c r="X16" s="10"/>
      <c r="Y16" s="30">
        <f>IF(W16&lt;U17,'Drilling Spec'!$C$35,0)</f>
        <v>0</v>
      </c>
      <c r="AA16" s="4">
        <f t="shared" si="19"/>
        <v>10</v>
      </c>
      <c r="AB16" s="10"/>
      <c r="AC16" s="30">
        <f>IF('04-07-25-Scen5-WorstCargoJIT'!K17&gt;'04-07-25-Scen5-WorstCargoJIT'!AA16,'Drilling Spec'!$C$36,)</f>
        <v>0</v>
      </c>
      <c r="AE16" s="18">
        <f>(I16-'Drilling Spec'!$C$26)/'Drilling Spec'!$C$38</f>
        <v>18.172898957859701</v>
      </c>
      <c r="AF16" s="18">
        <f t="shared" si="7"/>
        <v>4.2704928635474229</v>
      </c>
      <c r="AG16" s="34">
        <f t="shared" si="8"/>
        <v>18.172898957859701</v>
      </c>
      <c r="AH16" s="10"/>
      <c r="AI16" s="26">
        <f>IF(C16="Camp Closed",AG16,IF(AG16&lt;'Drilling Spec'!$C$39,,'Drilling Spec'!$C$39))</f>
        <v>0</v>
      </c>
      <c r="AL16" s="16">
        <f t="shared" si="9"/>
        <v>-179.03739374715821</v>
      </c>
      <c r="AM16" s="16" t="e">
        <f t="shared" si="10"/>
        <v>#N/A</v>
      </c>
      <c r="AN16">
        <f>-'Drilling Spec'!$C$29</f>
        <v>-720</v>
      </c>
      <c r="AO16">
        <f>-'Drilling Spec'!$C$27</f>
        <v>-624</v>
      </c>
      <c r="AP16">
        <f>-'Drilling Spec'!$C$28</f>
        <v>-688</v>
      </c>
      <c r="AQ16" t="e">
        <f t="shared" si="11"/>
        <v>#N/A</v>
      </c>
      <c r="AR16" t="e">
        <f>IF(X16=0,NA(),-'Drilling Spec'!$C$29*0.1)</f>
        <v>#N/A</v>
      </c>
      <c r="AS16" t="e">
        <f>IF(Y16=0,NA(),-'Drilling Spec'!$C$29*0.1)</f>
        <v>#N/A</v>
      </c>
      <c r="AT16" t="e">
        <f>IF(AB16=0,NA(),-'Drilling Spec'!$C$29*0.2)</f>
        <v>#N/A</v>
      </c>
      <c r="AU16" t="e">
        <f>IF(AC16=0,NA(),-'Drilling Spec'!$C$29*0.2)</f>
        <v>#N/A</v>
      </c>
      <c r="AV16" t="e">
        <f>IF(AH16=0,NA(),-'Drilling Spec'!$C$29*0.3)</f>
        <v>#N/A</v>
      </c>
      <c r="AW16" t="e">
        <f>IF(AI16=0,NA(),-'Drilling Spec'!$C$29*0.3)</f>
        <v>#N/A</v>
      </c>
      <c r="AX16" s="29">
        <f t="shared" si="12"/>
        <v>4.0760975609756089</v>
      </c>
      <c r="AY16" s="29">
        <f t="shared" si="13"/>
        <v>3.3975070835227861</v>
      </c>
      <c r="AZ16" s="29">
        <f t="shared" si="17"/>
        <v>18.172898957859701</v>
      </c>
      <c r="BS16" s="35"/>
      <c r="BT16" s="35"/>
      <c r="BU16" s="39"/>
      <c r="BV16" s="39"/>
      <c r="BW16" s="39"/>
      <c r="BX16" s="39"/>
      <c r="BY16" s="39"/>
      <c r="BZ16" s="39"/>
      <c r="CA16" s="39"/>
    </row>
    <row r="17" spans="1:79" x14ac:dyDescent="0.35">
      <c r="A17" s="28">
        <f t="shared" si="18"/>
        <v>45987</v>
      </c>
      <c r="B17" t="str">
        <f t="shared" si="0"/>
        <v>Wed</v>
      </c>
      <c r="C17" s="10" t="s">
        <v>9</v>
      </c>
      <c r="D17" s="10">
        <v>24</v>
      </c>
      <c r="E17" s="4">
        <f t="shared" si="1"/>
        <v>24</v>
      </c>
      <c r="F17" s="4">
        <f t="shared" si="2"/>
        <v>120</v>
      </c>
      <c r="G17" s="4">
        <f t="shared" si="3"/>
        <v>1440</v>
      </c>
      <c r="H17" s="15">
        <f>(SQRT(4*I16*I16*V*V + 'Drilling Spec'!$C$42*I16 + W*('Drilling Spec'!$C$43 + 2*l*V*(s*W + 2*V*G17/(1+e)) + 'Drilling Spec'!$C$44)) - 'Drilling Spec'!$C$45)/(2*V)</f>
        <v>203.76436685764563</v>
      </c>
      <c r="I17" s="23">
        <f>IF(AND(OR(I16=0,I16=""),F17=0),IF(F18=0,"",'Drilling Spec'!$C$26),H17)</f>
        <v>203.76436685764563</v>
      </c>
      <c r="J17" s="16">
        <f>MAX(0,I17-'Drilling Spec'!$C$30)</f>
        <v>123.76436685764563</v>
      </c>
      <c r="K17" s="18">
        <f>IFERROR(J17/'Drilling Spec'!$C$31,0)</f>
        <v>8.2509577905097089</v>
      </c>
      <c r="L17" s="21">
        <f t="shared" si="4"/>
        <v>0</v>
      </c>
      <c r="M17" s="4">
        <f t="shared" si="14"/>
        <v>0</v>
      </c>
      <c r="N17" s="21">
        <f t="shared" si="5"/>
        <v>0</v>
      </c>
      <c r="O17" s="18">
        <f>(SQRT(4*O16*O16*vB*vB + 'Drilling Spec'!$C$48*O16 + WB*('Drilling Spec'!$C$49 + 2*lB*vB*(sB*WB + 2*vB*N17/(1+eB)) + 'Drilling Spec'!$C$50)) - 'Drilling Spec'!$C$51)/(2*vB)</f>
        <v>0</v>
      </c>
      <c r="P17" s="18">
        <f>IFERROR(((S17-'Drilling Spec'!$C$30)/'Drilling Spec'!$C$31)*'Drilling Spec'!$C$32,0)</f>
        <v>0</v>
      </c>
      <c r="Q17" s="18">
        <f t="shared" si="15"/>
        <v>0</v>
      </c>
      <c r="R17" s="18"/>
      <c r="S17" s="26" t="str">
        <f>IF(AND(OR(T16=0,T16=""),M17=0),IF(M18=0,"",'Drilling Spec'!$C$30),O17)</f>
        <v/>
      </c>
      <c r="U17" s="15">
        <f>E17*'Drilling Spec'!$C$22 + L17*'Drilling Spec'!$C$23</f>
        <v>0.4809756097560976</v>
      </c>
      <c r="V17" s="15">
        <f t="shared" si="16"/>
        <v>2.4048780487804882</v>
      </c>
      <c r="W17" s="15">
        <f>W16-U17+X16+Y16</f>
        <v>3.5951219512195114</v>
      </c>
      <c r="X17" s="10"/>
      <c r="Y17" s="30">
        <f>IF(W17&lt;U18,'Drilling Spec'!$C$35,0)</f>
        <v>0</v>
      </c>
      <c r="AA17" s="4">
        <f t="shared" si="19"/>
        <v>10</v>
      </c>
      <c r="AB17" s="10"/>
      <c r="AC17" s="30">
        <f>IF('04-07-25-Scen5-WorstCargoJIT'!K18&gt;'04-07-25-Scen5-WorstCargoJIT'!AA17,'Drilling Spec'!$C$36,)</f>
        <v>0</v>
      </c>
      <c r="AE17" s="18">
        <f>(I17-'Drilling Spec'!$C$26)/'Drilling Spec'!$C$38</f>
        <v>22.294061142940937</v>
      </c>
      <c r="AF17" s="18">
        <f t="shared" si="7"/>
        <v>4.1211621850812357</v>
      </c>
      <c r="AG17" s="34">
        <f t="shared" si="8"/>
        <v>22.294061142940937</v>
      </c>
      <c r="AH17" s="10"/>
      <c r="AI17" s="26">
        <f>IF(C17="Camp Closed",AG17,IF(AG17&lt;'Drilling Spec'!$C$39,,'Drilling Spec'!$C$39))</f>
        <v>20</v>
      </c>
      <c r="AL17" s="16">
        <f t="shared" si="9"/>
        <v>-203.76436685764563</v>
      </c>
      <c r="AM17" s="16" t="e">
        <f t="shared" si="10"/>
        <v>#N/A</v>
      </c>
      <c r="AN17">
        <f>-'Drilling Spec'!$C$29</f>
        <v>-720</v>
      </c>
      <c r="AO17">
        <f>-'Drilling Spec'!$C$27</f>
        <v>-624</v>
      </c>
      <c r="AP17">
        <f>-'Drilling Spec'!$C$28</f>
        <v>-688</v>
      </c>
      <c r="AQ17" t="e">
        <f t="shared" si="11"/>
        <v>#N/A</v>
      </c>
      <c r="AR17" t="e">
        <f>IF(X17=0,NA(),-'Drilling Spec'!$C$29*0.1)</f>
        <v>#N/A</v>
      </c>
      <c r="AS17" t="e">
        <f>IF(Y17=0,NA(),-'Drilling Spec'!$C$29*0.1)</f>
        <v>#N/A</v>
      </c>
      <c r="AT17" t="e">
        <f>IF(AB17=0,NA(),-'Drilling Spec'!$C$29*0.2)</f>
        <v>#N/A</v>
      </c>
      <c r="AU17" t="e">
        <f>IF(AC17=0,NA(),-'Drilling Spec'!$C$29*0.2)</f>
        <v>#N/A</v>
      </c>
      <c r="AV17" t="e">
        <f>IF(AH17=0,NA(),-'Drilling Spec'!$C$29*0.3)</f>
        <v>#N/A</v>
      </c>
      <c r="AW17">
        <f>IF(AI17=0,NA(),-'Drilling Spec'!$C$29*0.3)</f>
        <v>-216</v>
      </c>
      <c r="AX17" s="29">
        <f t="shared" si="12"/>
        <v>3.5951219512195114</v>
      </c>
      <c r="AY17" s="29">
        <f t="shared" si="13"/>
        <v>1.7490422094902911</v>
      </c>
      <c r="AZ17" s="29">
        <f t="shared" si="17"/>
        <v>22.294061142940937</v>
      </c>
      <c r="BS17" s="35"/>
      <c r="BU17" s="38" t="s">
        <v>186</v>
      </c>
      <c r="BV17" s="38"/>
      <c r="BW17" s="38"/>
      <c r="BX17" s="38"/>
      <c r="BY17" s="38"/>
      <c r="BZ17" s="38"/>
      <c r="CA17" s="38"/>
    </row>
    <row r="18" spans="1:79" x14ac:dyDescent="0.35">
      <c r="A18" s="28">
        <f t="shared" si="18"/>
        <v>45988</v>
      </c>
      <c r="B18" t="str">
        <f t="shared" si="0"/>
        <v>Thu</v>
      </c>
      <c r="C18" s="10" t="s">
        <v>9</v>
      </c>
      <c r="D18" s="10">
        <v>24</v>
      </c>
      <c r="E18" s="4">
        <f t="shared" si="1"/>
        <v>24</v>
      </c>
      <c r="F18" s="4">
        <f t="shared" si="2"/>
        <v>144</v>
      </c>
      <c r="G18" s="4">
        <f t="shared" si="3"/>
        <v>1440</v>
      </c>
      <c r="H18" s="15">
        <f>(SQRT(4*I17*I17*V*V + 'Drilling Spec'!$C$42*I17 + W*('Drilling Spec'!$C$43 + 2*l*V*(s*W + 2*V*G18/(1+e)) + 'Drilling Spec'!$C$44)) - 'Drilling Spec'!$C$45)/(2*V)</f>
        <v>227.6832514206119</v>
      </c>
      <c r="I18" s="23">
        <f>IF(AND(OR(I17=0,I17=""),F18=0),IF(F19=0,"",'Drilling Spec'!$C$26),H18)</f>
        <v>227.6832514206119</v>
      </c>
      <c r="J18" s="16">
        <f>MAX(0,I18-'Drilling Spec'!$C$30)</f>
        <v>147.6832514206119</v>
      </c>
      <c r="K18" s="18">
        <f>IFERROR(J18/'Drilling Spec'!$C$31,0)</f>
        <v>9.845550094707459</v>
      </c>
      <c r="L18" s="21">
        <f t="shared" si="4"/>
        <v>0</v>
      </c>
      <c r="M18" s="4">
        <f t="shared" si="14"/>
        <v>0</v>
      </c>
      <c r="N18" s="21">
        <f t="shared" si="5"/>
        <v>0</v>
      </c>
      <c r="O18" s="18">
        <f>(SQRT(4*O17*O17*vB*vB + 'Drilling Spec'!$C$48*O17 + WB*('Drilling Spec'!$C$49 + 2*lB*vB*(sB*WB + 2*vB*N18/(1+eB)) + 'Drilling Spec'!$C$50)) - 'Drilling Spec'!$C$51)/(2*vB)</f>
        <v>0</v>
      </c>
      <c r="P18" s="18">
        <f>IFERROR(((S18-'Drilling Spec'!$C$30)/'Drilling Spec'!$C$31)*'Drilling Spec'!$C$32,0)</f>
        <v>0</v>
      </c>
      <c r="Q18" s="18">
        <f t="shared" si="15"/>
        <v>0</v>
      </c>
      <c r="R18" s="18"/>
      <c r="S18" s="26" t="str">
        <f>IF(AND(OR(T17=0,T17=""),M18=0),IF(M19=0,"",'Drilling Spec'!$C$30),O18)</f>
        <v/>
      </c>
      <c r="U18" s="15">
        <f>E18*'Drilling Spec'!$C$22 + L18*'Drilling Spec'!$C$23</f>
        <v>0.4809756097560976</v>
      </c>
      <c r="V18" s="15">
        <f t="shared" si="16"/>
        <v>2.8858536585365857</v>
      </c>
      <c r="W18" s="15">
        <f t="shared" si="6"/>
        <v>3.1141463414634138</v>
      </c>
      <c r="X18" s="10"/>
      <c r="Y18" s="30">
        <f>IF(W18&lt;U19,'Drilling Spec'!$C$35,0)</f>
        <v>0</v>
      </c>
      <c r="AA18" s="4">
        <f t="shared" si="19"/>
        <v>10</v>
      </c>
      <c r="AB18" s="10"/>
      <c r="AC18" s="30">
        <f>IF('04-07-25-Scen5-WorstCargoJIT'!K19&gt;'04-07-25-Scen5-WorstCargoJIT'!AA18,'Drilling Spec'!$C$36,)</f>
        <v>6</v>
      </c>
      <c r="AE18" s="18">
        <f>(I18-'Drilling Spec'!$C$26)/'Drilling Spec'!$C$38</f>
        <v>26.280541903435317</v>
      </c>
      <c r="AF18" s="18">
        <f t="shared" si="7"/>
        <v>3.9864807604943806</v>
      </c>
      <c r="AG18" s="34">
        <f t="shared" si="8"/>
        <v>6.2805419034353172</v>
      </c>
      <c r="AH18" s="10"/>
      <c r="AI18" s="26">
        <f>IF(C18="Camp Closed",AG18,IF(AG18&lt;'Drilling Spec'!$C$39,,'Drilling Spec'!$C$39))</f>
        <v>0</v>
      </c>
      <c r="AL18" s="16">
        <f t="shared" si="9"/>
        <v>-227.6832514206119</v>
      </c>
      <c r="AM18" s="16" t="e">
        <f t="shared" si="10"/>
        <v>#N/A</v>
      </c>
      <c r="AN18">
        <f>-'Drilling Spec'!$C$29</f>
        <v>-720</v>
      </c>
      <c r="AO18">
        <f>-'Drilling Spec'!$C$27</f>
        <v>-624</v>
      </c>
      <c r="AP18">
        <f>-'Drilling Spec'!$C$28</f>
        <v>-688</v>
      </c>
      <c r="AQ18" t="e">
        <f t="shared" si="11"/>
        <v>#N/A</v>
      </c>
      <c r="AR18" t="e">
        <f>IF(X18=0,NA(),-'Drilling Spec'!$C$29*0.1)</f>
        <v>#N/A</v>
      </c>
      <c r="AS18" t="e">
        <f>IF(Y18=0,NA(),-'Drilling Spec'!$C$29*0.1)</f>
        <v>#N/A</v>
      </c>
      <c r="AT18" t="e">
        <f>IF(AB18=0,NA(),-'Drilling Spec'!$C$29*0.2)</f>
        <v>#N/A</v>
      </c>
      <c r="AU18">
        <f>IF(AC18=0,NA(),-'Drilling Spec'!$C$29*0.2)</f>
        <v>-144</v>
      </c>
      <c r="AV18" t="e">
        <f>IF(AH18=0,NA(),-'Drilling Spec'!$C$29*0.3)</f>
        <v>#N/A</v>
      </c>
      <c r="AW18" t="e">
        <f>IF(AI18=0,NA(),-'Drilling Spec'!$C$29*0.3)</f>
        <v>#N/A</v>
      </c>
      <c r="AX18" s="29">
        <f t="shared" si="12"/>
        <v>3.1141463414634138</v>
      </c>
      <c r="AY18" s="29">
        <f t="shared" si="13"/>
        <v>0.15444990529254099</v>
      </c>
      <c r="AZ18" s="29">
        <f t="shared" si="17"/>
        <v>6.2805419034353172</v>
      </c>
      <c r="BS18" s="35"/>
      <c r="BU18" s="38"/>
      <c r="BV18" s="38"/>
      <c r="BW18" s="38"/>
      <c r="BX18" s="38"/>
      <c r="BY18" s="38"/>
      <c r="BZ18" s="38"/>
      <c r="CA18" s="38"/>
    </row>
    <row r="19" spans="1:79" x14ac:dyDescent="0.35">
      <c r="A19" s="28">
        <f t="shared" si="18"/>
        <v>45989</v>
      </c>
      <c r="B19" t="str">
        <f t="shared" si="0"/>
        <v>Fri</v>
      </c>
      <c r="C19" s="10" t="s">
        <v>9</v>
      </c>
      <c r="D19" s="10">
        <v>24</v>
      </c>
      <c r="E19" s="4">
        <f t="shared" si="1"/>
        <v>24</v>
      </c>
      <c r="F19" s="4">
        <f t="shared" si="2"/>
        <v>168</v>
      </c>
      <c r="G19" s="4">
        <f t="shared" si="3"/>
        <v>1440</v>
      </c>
      <c r="H19" s="15">
        <f>(SQRT(4*I18*I18*V*V + 'Drilling Spec'!$C$42*I18 + W*('Drilling Spec'!$C$43 + 2*l*V*(s*W + 2*V*G19/(1+e)) + 'Drilling Spec'!$C$44)) - 'Drilling Spec'!$C$45)/(2*V)</f>
        <v>250.8684479303349</v>
      </c>
      <c r="I19" s="23">
        <f>IF(AND(OR(I18=0,I18=""),F19=0),IF(F20=0,"",'Drilling Spec'!$C$26),H19)</f>
        <v>250.8684479303349</v>
      </c>
      <c r="J19" s="16">
        <f>MAX(0,I19-'Drilling Spec'!$C$30)</f>
        <v>170.8684479303349</v>
      </c>
      <c r="K19" s="18">
        <f>IFERROR(J19/'Drilling Spec'!$C$31,0)</f>
        <v>11.391229862022326</v>
      </c>
      <c r="L19" s="21">
        <f t="shared" si="4"/>
        <v>0</v>
      </c>
      <c r="M19" s="4">
        <f t="shared" si="14"/>
        <v>0</v>
      </c>
      <c r="N19" s="21">
        <f t="shared" si="5"/>
        <v>0</v>
      </c>
      <c r="O19" s="18">
        <f>(SQRT(4*O18*O18*vB*vB + 'Drilling Spec'!$C$48*O18 + WB*('Drilling Spec'!$C$49 + 2*lB*vB*(sB*WB + 2*vB*N19/(1+eB)) + 'Drilling Spec'!$C$50)) - 'Drilling Spec'!$C$51)/(2*vB)</f>
        <v>0</v>
      </c>
      <c r="P19" s="18">
        <f>IFERROR(((S19-'Drilling Spec'!$C$30)/'Drilling Spec'!$C$31)*'Drilling Spec'!$C$32,0)</f>
        <v>0</v>
      </c>
      <c r="Q19" s="18">
        <f t="shared" si="15"/>
        <v>0</v>
      </c>
      <c r="R19" s="18"/>
      <c r="S19" s="26" t="str">
        <f>IF(AND(OR(T18=0,T18=""),M19=0),IF(M20=0,"",'Drilling Spec'!$C$30),O19)</f>
        <v/>
      </c>
      <c r="U19" s="15">
        <f>E19*'Drilling Spec'!$C$22 + L19*'Drilling Spec'!$C$23</f>
        <v>0.4809756097560976</v>
      </c>
      <c r="V19" s="15">
        <f t="shared" si="16"/>
        <v>3.3668292682926833</v>
      </c>
      <c r="W19" s="15">
        <f t="shared" si="6"/>
        <v>2.6331707317073163</v>
      </c>
      <c r="X19" s="10"/>
      <c r="Y19" s="30">
        <f>IF(W19&lt;U20,'Drilling Spec'!$C$35,0)</f>
        <v>0</v>
      </c>
      <c r="AA19" s="4">
        <f t="shared" si="19"/>
        <v>16</v>
      </c>
      <c r="AB19" s="10"/>
      <c r="AC19" s="30">
        <f>IF('04-07-25-Scen5-WorstCargoJIT'!K20&gt;'04-07-25-Scen5-WorstCargoJIT'!AA19,'Drilling Spec'!$C$36,)</f>
        <v>0</v>
      </c>
      <c r="AE19" s="18">
        <f>(I19-'Drilling Spec'!$C$26)/'Drilling Spec'!$C$38</f>
        <v>30.144741321722481</v>
      </c>
      <c r="AF19" s="18">
        <f t="shared" si="7"/>
        <v>3.8641994182871642</v>
      </c>
      <c r="AG19" s="34">
        <f t="shared" si="8"/>
        <v>10.144741321722481</v>
      </c>
      <c r="AH19" s="10"/>
      <c r="AI19" s="26">
        <f>IF(C19="Camp Closed",AG19,IF(AG19&lt;'Drilling Spec'!$C$39,,'Drilling Spec'!$C$39))</f>
        <v>0</v>
      </c>
      <c r="AL19" s="16">
        <f t="shared" si="9"/>
        <v>-250.8684479303349</v>
      </c>
      <c r="AM19" s="16" t="e">
        <f t="shared" si="10"/>
        <v>#N/A</v>
      </c>
      <c r="AN19">
        <f>-'Drilling Spec'!$C$29</f>
        <v>-720</v>
      </c>
      <c r="AO19">
        <f>-'Drilling Spec'!$C$27</f>
        <v>-624</v>
      </c>
      <c r="AP19">
        <f>-'Drilling Spec'!$C$28</f>
        <v>-688</v>
      </c>
      <c r="AQ19" t="e">
        <f t="shared" si="11"/>
        <v>#N/A</v>
      </c>
      <c r="AR19" t="e">
        <f>IF(X19=0,NA(),-'Drilling Spec'!$C$29*0.1)</f>
        <v>#N/A</v>
      </c>
      <c r="AS19" t="e">
        <f>IF(Y19=0,NA(),-'Drilling Spec'!$C$29*0.1)</f>
        <v>#N/A</v>
      </c>
      <c r="AT19" t="e">
        <f>IF(AB19=0,NA(),-'Drilling Spec'!$C$29*0.2)</f>
        <v>#N/A</v>
      </c>
      <c r="AU19" t="e">
        <f>IF(AC19=0,NA(),-'Drilling Spec'!$C$29*0.2)</f>
        <v>#N/A</v>
      </c>
      <c r="AV19" t="e">
        <f>IF(AH19=0,NA(),-'Drilling Spec'!$C$29*0.3)</f>
        <v>#N/A</v>
      </c>
      <c r="AW19" t="e">
        <f>IF(AI19=0,NA(),-'Drilling Spec'!$C$29*0.3)</f>
        <v>#N/A</v>
      </c>
      <c r="AX19" s="29">
        <f t="shared" si="12"/>
        <v>2.6331707317073163</v>
      </c>
      <c r="AY19" s="29">
        <f t="shared" si="13"/>
        <v>4.6087701379776735</v>
      </c>
      <c r="AZ19" s="29">
        <f t="shared" si="17"/>
        <v>10.144741321722481</v>
      </c>
      <c r="BS19" s="35"/>
      <c r="BU19" s="40" t="s">
        <v>187</v>
      </c>
      <c r="BV19" s="40"/>
      <c r="BW19" s="40"/>
      <c r="BX19" s="40"/>
      <c r="BY19" s="40"/>
      <c r="BZ19" s="40"/>
      <c r="CA19" s="40"/>
    </row>
    <row r="20" spans="1:79" x14ac:dyDescent="0.35">
      <c r="A20" s="28">
        <f t="shared" si="18"/>
        <v>45990</v>
      </c>
      <c r="B20" t="str">
        <f t="shared" si="0"/>
        <v>Sat</v>
      </c>
      <c r="C20" s="10" t="s">
        <v>9</v>
      </c>
      <c r="D20" s="10">
        <v>24</v>
      </c>
      <c r="E20" s="4">
        <f t="shared" si="1"/>
        <v>24</v>
      </c>
      <c r="F20" s="4">
        <f t="shared" si="2"/>
        <v>192</v>
      </c>
      <c r="G20" s="4">
        <f t="shared" si="3"/>
        <v>1440</v>
      </c>
      <c r="H20" s="15">
        <f>(SQRT(4*I19*I19*V*V + 'Drilling Spec'!$C$42*I19 + W*('Drilling Spec'!$C$43 + 2*l*V*(s*W + 2*V*G20/(1+e)) + 'Drilling Spec'!$C$44)) - 'Drilling Spec'!$C$45)/(2*V)</f>
        <v>273.38359589594342</v>
      </c>
      <c r="I20" s="23">
        <f>IF(AND(OR(I19=0,I19=""),F20=0),IF(F21=0,"",'Drilling Spec'!$C$26),H20)</f>
        <v>273.38359589594342</v>
      </c>
      <c r="J20" s="16">
        <f>MAX(0,I20-'Drilling Spec'!$C$30)</f>
        <v>193.38359589594342</v>
      </c>
      <c r="K20" s="18">
        <f>IFERROR(J20/'Drilling Spec'!$C$31,0)</f>
        <v>12.892239726396229</v>
      </c>
      <c r="L20" s="21">
        <f t="shared" si="4"/>
        <v>0</v>
      </c>
      <c r="M20" s="4">
        <f t="shared" si="14"/>
        <v>0</v>
      </c>
      <c r="N20" s="21">
        <f t="shared" si="5"/>
        <v>0</v>
      </c>
      <c r="O20" s="18">
        <f>(SQRT(4*O19*O19*vB*vB + 'Drilling Spec'!$C$48*O19 + WB*('Drilling Spec'!$C$49 + 2*lB*vB*(sB*WB + 2*vB*N20/(1+eB)) + 'Drilling Spec'!$C$50)) - 'Drilling Spec'!$C$51)/(2*vB)</f>
        <v>0</v>
      </c>
      <c r="P20" s="18">
        <f>IFERROR(((S20-'Drilling Spec'!$C$30)/'Drilling Spec'!$C$31)*'Drilling Spec'!$C$32,0)</f>
        <v>0</v>
      </c>
      <c r="Q20" s="18">
        <f t="shared" si="15"/>
        <v>0</v>
      </c>
      <c r="R20" s="18"/>
      <c r="S20" s="26" t="str">
        <f>IF(AND(OR(T19=0,T19=""),M20=0),IF(M21=0,"",'Drilling Spec'!$C$30),O20)</f>
        <v/>
      </c>
      <c r="U20" s="15">
        <f>E20*'Drilling Spec'!$C$22 + L20*'Drilling Spec'!$C$23</f>
        <v>0.4809756097560976</v>
      </c>
      <c r="V20" s="15">
        <f t="shared" si="16"/>
        <v>3.8478048780487808</v>
      </c>
      <c r="W20" s="15">
        <f t="shared" si="6"/>
        <v>2.1521951219512188</v>
      </c>
      <c r="X20" s="10"/>
      <c r="Y20" s="30">
        <f>IF(W20&lt;U21,'Drilling Spec'!$C$35,0)</f>
        <v>0</v>
      </c>
      <c r="AA20" s="4">
        <f t="shared" si="19"/>
        <v>16</v>
      </c>
      <c r="AB20" s="10"/>
      <c r="AC20" s="30">
        <f>IF('04-07-25-Scen5-WorstCargoJIT'!K21&gt;'04-07-25-Scen5-WorstCargoJIT'!AA20,'Drilling Spec'!$C$36,)</f>
        <v>0</v>
      </c>
      <c r="AE20" s="18">
        <f>(I20-'Drilling Spec'!$C$26)/'Drilling Spec'!$C$38</f>
        <v>33.897265982657238</v>
      </c>
      <c r="AF20" s="18">
        <f t="shared" si="7"/>
        <v>3.7525246609347569</v>
      </c>
      <c r="AG20" s="34">
        <f t="shared" si="8"/>
        <v>13.897265982657238</v>
      </c>
      <c r="AH20" s="10"/>
      <c r="AI20" s="26">
        <f>IF(C20="Camp Closed",AG20,IF(AG20&lt;'Drilling Spec'!$C$39,,'Drilling Spec'!$C$39))</f>
        <v>0</v>
      </c>
      <c r="AL20" s="16">
        <f t="shared" si="9"/>
        <v>-273.38359589594342</v>
      </c>
      <c r="AM20" s="16" t="e">
        <f t="shared" si="10"/>
        <v>#N/A</v>
      </c>
      <c r="AN20">
        <f>-'Drilling Spec'!$C$29</f>
        <v>-720</v>
      </c>
      <c r="AO20">
        <f>-'Drilling Spec'!$C$27</f>
        <v>-624</v>
      </c>
      <c r="AP20">
        <f>-'Drilling Spec'!$C$28</f>
        <v>-688</v>
      </c>
      <c r="AQ20" t="e">
        <f t="shared" si="11"/>
        <v>#N/A</v>
      </c>
      <c r="AR20" t="e">
        <f>IF(X20=0,NA(),-'Drilling Spec'!$C$29*0.1)</f>
        <v>#N/A</v>
      </c>
      <c r="AS20" t="e">
        <f>IF(Y20=0,NA(),-'Drilling Spec'!$C$29*0.1)</f>
        <v>#N/A</v>
      </c>
      <c r="AT20" t="e">
        <f>IF(AB20=0,NA(),-'Drilling Spec'!$C$29*0.2)</f>
        <v>#N/A</v>
      </c>
      <c r="AU20" t="e">
        <f>IF(AC20=0,NA(),-'Drilling Spec'!$C$29*0.2)</f>
        <v>#N/A</v>
      </c>
      <c r="AV20" t="e">
        <f>IF(AH20=0,NA(),-'Drilling Spec'!$C$29*0.3)</f>
        <v>#N/A</v>
      </c>
      <c r="AW20" t="e">
        <f>IF(AI20=0,NA(),-'Drilling Spec'!$C$29*0.3)</f>
        <v>#N/A</v>
      </c>
      <c r="AX20" s="29">
        <f t="shared" si="12"/>
        <v>2.1521951219512188</v>
      </c>
      <c r="AY20" s="29">
        <f t="shared" si="13"/>
        <v>3.1077602736037715</v>
      </c>
      <c r="AZ20" s="29">
        <f t="shared" si="17"/>
        <v>13.897265982657238</v>
      </c>
      <c r="BS20" s="35"/>
      <c r="BU20" s="40"/>
      <c r="BV20" s="40"/>
      <c r="BW20" s="40"/>
      <c r="BX20" s="40"/>
      <c r="BY20" s="40"/>
      <c r="BZ20" s="40"/>
      <c r="CA20" s="40"/>
    </row>
    <row r="21" spans="1:79" x14ac:dyDescent="0.35">
      <c r="A21" s="28">
        <f t="shared" si="18"/>
        <v>45991</v>
      </c>
      <c r="B21" t="str">
        <f t="shared" si="0"/>
        <v>Sun</v>
      </c>
      <c r="C21" s="10" t="s">
        <v>7</v>
      </c>
      <c r="D21" s="10">
        <v>0</v>
      </c>
      <c r="E21" s="4">
        <f t="shared" si="1"/>
        <v>0</v>
      </c>
      <c r="F21" s="4">
        <f t="shared" si="2"/>
        <v>192</v>
      </c>
      <c r="G21" s="4">
        <f t="shared" si="3"/>
        <v>0</v>
      </c>
      <c r="H21" s="15">
        <f>(SQRT(4*I20*I20*V*V + 'Drilling Spec'!$C$42*I20 + W*('Drilling Spec'!$C$43 + 2*l*V*(s*W + 2*V*G21/(1+e)) + 'Drilling Spec'!$C$44)) - 'Drilling Spec'!$C$45)/(2*V)</f>
        <v>273.38359589594342</v>
      </c>
      <c r="I21" s="23">
        <f>IF(AND(OR(I20=0,I20=""),F21=0),IF(F22=0,"",'Drilling Spec'!$C$26),H21)</f>
        <v>273.38359589594342</v>
      </c>
      <c r="J21" s="16">
        <f>MAX(0,I21-'Drilling Spec'!$C$30)</f>
        <v>193.38359589594342</v>
      </c>
      <c r="K21" s="18">
        <f>IFERROR(J21/'Drilling Spec'!$C$31,0)</f>
        <v>12.892239726396229</v>
      </c>
      <c r="L21" s="21">
        <f t="shared" si="4"/>
        <v>0</v>
      </c>
      <c r="M21" s="4">
        <f t="shared" si="14"/>
        <v>0</v>
      </c>
      <c r="N21" s="21">
        <f t="shared" si="5"/>
        <v>0</v>
      </c>
      <c r="O21" s="18">
        <f>(SQRT(4*O20*O20*vB*vB + 'Drilling Spec'!$C$48*O20 + WB*('Drilling Spec'!$C$49 + 2*lB*vB*(sB*WB + 2*vB*N21/(1+eB)) + 'Drilling Spec'!$C$50)) - 'Drilling Spec'!$C$51)/(2*vB)</f>
        <v>0</v>
      </c>
      <c r="P21" s="18">
        <f>IFERROR(((S21-'Drilling Spec'!$C$30)/'Drilling Spec'!$C$31)*'Drilling Spec'!$C$32,0)</f>
        <v>0</v>
      </c>
      <c r="Q21" s="18">
        <f t="shared" si="15"/>
        <v>0</v>
      </c>
      <c r="R21" s="18"/>
      <c r="S21" s="26" t="str">
        <f>IF(AND(OR(T20=0,T20=""),M21=0),IF(M22=0,"",'Drilling Spec'!$C$30),O21)</f>
        <v/>
      </c>
      <c r="U21" s="15">
        <f>E21*'Drilling Spec'!$C$22 + L21*'Drilling Spec'!$C$23</f>
        <v>0</v>
      </c>
      <c r="V21" s="15">
        <f t="shared" si="16"/>
        <v>3.8478048780487808</v>
      </c>
      <c r="W21" s="15">
        <f t="shared" si="6"/>
        <v>2.1521951219512188</v>
      </c>
      <c r="X21" s="10"/>
      <c r="Y21" s="30">
        <f>IF(W21&lt;U22,'Drilling Spec'!$C$35,0)</f>
        <v>0</v>
      </c>
      <c r="AA21" s="4">
        <f t="shared" si="19"/>
        <v>16</v>
      </c>
      <c r="AB21" s="10"/>
      <c r="AC21" s="30">
        <f>IF('04-07-25-Scen5-WorstCargoJIT'!K22&gt;'04-07-25-Scen5-WorstCargoJIT'!AA21,'Drilling Spec'!$C$36,)</f>
        <v>0</v>
      </c>
      <c r="AE21" s="18">
        <f>(I21-'Drilling Spec'!$C$26)/'Drilling Spec'!$C$38</f>
        <v>33.897265982657238</v>
      </c>
      <c r="AF21" s="18">
        <f t="shared" si="7"/>
        <v>0</v>
      </c>
      <c r="AG21" s="34">
        <f t="shared" si="8"/>
        <v>13.897265982657238</v>
      </c>
      <c r="AH21" s="10"/>
      <c r="AI21" s="26">
        <f>IF(C21="Camp Closed",AG21,IF(AG21&lt;'Drilling Spec'!$C$39,,'Drilling Spec'!$C$39))</f>
        <v>0</v>
      </c>
      <c r="AL21" s="16">
        <f t="shared" si="9"/>
        <v>-273.38359589594342</v>
      </c>
      <c r="AM21" s="16" t="e">
        <f t="shared" si="10"/>
        <v>#N/A</v>
      </c>
      <c r="AN21">
        <f>-'Drilling Spec'!$C$29</f>
        <v>-720</v>
      </c>
      <c r="AO21">
        <f>-'Drilling Spec'!$C$27</f>
        <v>-624</v>
      </c>
      <c r="AP21">
        <f>-'Drilling Spec'!$C$28</f>
        <v>-688</v>
      </c>
      <c r="AQ21" t="e">
        <f t="shared" si="11"/>
        <v>#N/A</v>
      </c>
      <c r="AR21" t="e">
        <f>IF(X21=0,NA(),-'Drilling Spec'!$C$29*0.1)</f>
        <v>#N/A</v>
      </c>
      <c r="AS21" t="e">
        <f>IF(Y21=0,NA(),-'Drilling Spec'!$C$29*0.1)</f>
        <v>#N/A</v>
      </c>
      <c r="AT21" t="e">
        <f>IF(AB21=0,NA(),-'Drilling Spec'!$C$29*0.2)</f>
        <v>#N/A</v>
      </c>
      <c r="AU21" t="e">
        <f>IF(AC21=0,NA(),-'Drilling Spec'!$C$29*0.2)</f>
        <v>#N/A</v>
      </c>
      <c r="AV21" t="e">
        <f>IF(AH21=0,NA(),-'Drilling Spec'!$C$29*0.3)</f>
        <v>#N/A</v>
      </c>
      <c r="AW21" t="e">
        <f>IF(AI21=0,NA(),-'Drilling Spec'!$C$29*0.3)</f>
        <v>#N/A</v>
      </c>
      <c r="AX21" s="29">
        <f t="shared" si="12"/>
        <v>2.1521951219512188</v>
      </c>
      <c r="AY21" s="29">
        <f t="shared" si="13"/>
        <v>3.1077602736037715</v>
      </c>
      <c r="AZ21" s="29">
        <f t="shared" si="17"/>
        <v>13.897265982657238</v>
      </c>
      <c r="BS21" s="35"/>
      <c r="BU21" s="40"/>
      <c r="BV21" s="40"/>
      <c r="BW21" s="40"/>
      <c r="BX21" s="40"/>
      <c r="BY21" s="40"/>
      <c r="BZ21" s="40"/>
      <c r="CA21" s="40"/>
    </row>
    <row r="22" spans="1:79" x14ac:dyDescent="0.35">
      <c r="A22" s="28">
        <f t="shared" si="18"/>
        <v>45992</v>
      </c>
      <c r="B22" t="str">
        <f t="shared" si="0"/>
        <v>Mon</v>
      </c>
      <c r="C22" s="10" t="s">
        <v>9</v>
      </c>
      <c r="D22" s="10">
        <v>24</v>
      </c>
      <c r="E22" s="4">
        <f t="shared" si="1"/>
        <v>24</v>
      </c>
      <c r="F22" s="4">
        <f t="shared" si="2"/>
        <v>216</v>
      </c>
      <c r="G22" s="4">
        <f t="shared" si="3"/>
        <v>1440</v>
      </c>
      <c r="H22" s="15">
        <f>(SQRT(4*I21*I21*V*V + 'Drilling Spec'!$C$42*I21 + W*('Drilling Spec'!$C$43 + 2*l*V*(s*W + 2*V*G22/(1+e)) + 'Drilling Spec'!$C$44)) - 'Drilling Spec'!$C$45)/(2*V)</f>
        <v>295.28363443552161</v>
      </c>
      <c r="I22" s="23">
        <f>IF(AND(OR(I21=0,I21=""),F22=0),IF(F23=0,"",'Drilling Spec'!$C$26),H22)</f>
        <v>295.28363443552161</v>
      </c>
      <c r="J22" s="16">
        <f>MAX(0,I22-'Drilling Spec'!$C$30)</f>
        <v>215.28363443552161</v>
      </c>
      <c r="K22" s="18">
        <f>IFERROR(J22/'Drilling Spec'!$C$31,0)</f>
        <v>14.352242295701441</v>
      </c>
      <c r="L22" s="21">
        <f t="shared" si="4"/>
        <v>0</v>
      </c>
      <c r="M22" s="4">
        <f t="shared" si="14"/>
        <v>0</v>
      </c>
      <c r="N22" s="21">
        <f t="shared" si="5"/>
        <v>0</v>
      </c>
      <c r="O22" s="18">
        <f>(SQRT(4*O21*O21*vB*vB + 'Drilling Spec'!$C$48*O21 + WB*('Drilling Spec'!$C$49 + 2*lB*vB*(sB*WB + 2*vB*N22/(1+eB)) + 'Drilling Spec'!$C$50)) - 'Drilling Spec'!$C$51)/(2*vB)</f>
        <v>0</v>
      </c>
      <c r="P22" s="18">
        <f>IFERROR(((S22-'Drilling Spec'!$C$30)/'Drilling Spec'!$C$31)*'Drilling Spec'!$C$32,0)</f>
        <v>0</v>
      </c>
      <c r="Q22" s="18">
        <f t="shared" si="15"/>
        <v>0</v>
      </c>
      <c r="R22" s="18"/>
      <c r="S22" s="26" t="str">
        <f>IF(AND(OR(T21=0,T21=""),M22=0),IF(M23=0,"",'Drilling Spec'!$C$30),O22)</f>
        <v/>
      </c>
      <c r="U22" s="15">
        <f>E22*'Drilling Spec'!$C$22 + L22*'Drilling Spec'!$C$23</f>
        <v>0.4809756097560976</v>
      </c>
      <c r="V22" s="15">
        <f t="shared" si="16"/>
        <v>4.3287804878048783</v>
      </c>
      <c r="W22" s="15">
        <f t="shared" si="6"/>
        <v>1.6712195121951212</v>
      </c>
      <c r="X22" s="10"/>
      <c r="Y22" s="30">
        <f>IF(W22&lt;U23,'Drilling Spec'!$C$35,0)</f>
        <v>0</v>
      </c>
      <c r="AA22" s="4">
        <f t="shared" si="19"/>
        <v>16</v>
      </c>
      <c r="AB22" s="10"/>
      <c r="AC22" s="30">
        <f>IF('04-07-25-Scen5-WorstCargoJIT'!K23&gt;'04-07-25-Scen5-WorstCargoJIT'!AA22,'Drilling Spec'!$C$36,)</f>
        <v>0</v>
      </c>
      <c r="AE22" s="18">
        <f>(I22-'Drilling Spec'!$C$26)/'Drilling Spec'!$C$38</f>
        <v>37.547272405920268</v>
      </c>
      <c r="AF22" s="18">
        <f t="shared" si="7"/>
        <v>3.6500064232630294</v>
      </c>
      <c r="AG22" s="34">
        <f t="shared" si="8"/>
        <v>17.547272405920268</v>
      </c>
      <c r="AH22" s="10"/>
      <c r="AI22" s="26">
        <f>IF(C22="Camp Closed",AG22,IF(AG22&lt;'Drilling Spec'!$C$39,,'Drilling Spec'!$C$39))</f>
        <v>0</v>
      </c>
      <c r="AL22" s="16">
        <f t="shared" si="9"/>
        <v>-295.28363443552161</v>
      </c>
      <c r="AM22" s="16" t="e">
        <f t="shared" si="10"/>
        <v>#N/A</v>
      </c>
      <c r="AN22">
        <f>-'Drilling Spec'!$C$29</f>
        <v>-720</v>
      </c>
      <c r="AO22">
        <f>-'Drilling Spec'!$C$27</f>
        <v>-624</v>
      </c>
      <c r="AP22">
        <f>-'Drilling Spec'!$C$28</f>
        <v>-688</v>
      </c>
      <c r="AQ22" t="e">
        <f t="shared" si="11"/>
        <v>#N/A</v>
      </c>
      <c r="AR22" t="e">
        <f>IF(X22=0,NA(),-'Drilling Spec'!$C$29*0.1)</f>
        <v>#N/A</v>
      </c>
      <c r="AS22" t="e">
        <f>IF(Y22=0,NA(),-'Drilling Spec'!$C$29*0.1)</f>
        <v>#N/A</v>
      </c>
      <c r="AT22" t="e">
        <f>IF(AB22=0,NA(),-'Drilling Spec'!$C$29*0.2)</f>
        <v>#N/A</v>
      </c>
      <c r="AU22" t="e">
        <f>IF(AC22=0,NA(),-'Drilling Spec'!$C$29*0.2)</f>
        <v>#N/A</v>
      </c>
      <c r="AV22" t="e">
        <f>IF(AH22=0,NA(),-'Drilling Spec'!$C$29*0.3)</f>
        <v>#N/A</v>
      </c>
      <c r="AW22" t="e">
        <f>IF(AI22=0,NA(),-'Drilling Spec'!$C$29*0.3)</f>
        <v>#N/A</v>
      </c>
      <c r="AX22" s="29">
        <f t="shared" si="12"/>
        <v>1.6712195121951212</v>
      </c>
      <c r="AY22" s="29">
        <f t="shared" si="13"/>
        <v>1.6477577042985594</v>
      </c>
      <c r="AZ22" s="29">
        <f t="shared" si="17"/>
        <v>17.547272405920268</v>
      </c>
      <c r="BS22" s="35"/>
      <c r="BU22" s="40"/>
      <c r="BV22" s="40"/>
      <c r="BW22" s="40"/>
      <c r="BX22" s="40"/>
      <c r="BY22" s="40"/>
      <c r="BZ22" s="40"/>
      <c r="CA22" s="40"/>
    </row>
    <row r="23" spans="1:79" x14ac:dyDescent="0.35">
      <c r="A23" s="28">
        <f t="shared" si="18"/>
        <v>45993</v>
      </c>
      <c r="B23" t="str">
        <f t="shared" si="0"/>
        <v>Tue</v>
      </c>
      <c r="C23" s="10" t="s">
        <v>9</v>
      </c>
      <c r="D23" s="10">
        <v>24</v>
      </c>
      <c r="E23" s="4">
        <f t="shared" si="1"/>
        <v>24</v>
      </c>
      <c r="F23" s="4">
        <f t="shared" si="2"/>
        <v>240</v>
      </c>
      <c r="G23" s="4">
        <f t="shared" si="3"/>
        <v>1440</v>
      </c>
      <c r="H23" s="15">
        <f>(SQRT(4*I22*I22*V*V + 'Drilling Spec'!$C$42*I22 + W*('Drilling Spec'!$C$43 + 2*l*V*(s*W + 2*V*G23/(1+e)) + 'Drilling Spec'!$C$44)) - 'Drilling Spec'!$C$45)/(2*V)</f>
        <v>316.6163817101509</v>
      </c>
      <c r="I23" s="23">
        <f>IF(AND(OR(I22=0,I22=""),F23=0),IF(F24=0,"",'Drilling Spec'!$C$26),H23)</f>
        <v>316.6163817101509</v>
      </c>
      <c r="J23" s="16">
        <f>MAX(0,I23-'Drilling Spec'!$C$30)</f>
        <v>236.6163817101509</v>
      </c>
      <c r="K23" s="18">
        <f>IFERROR(J23/'Drilling Spec'!$C$31,0)</f>
        <v>15.774425447343393</v>
      </c>
      <c r="L23" s="21">
        <f t="shared" si="4"/>
        <v>0</v>
      </c>
      <c r="M23" s="4">
        <f t="shared" si="14"/>
        <v>0</v>
      </c>
      <c r="N23" s="21">
        <f t="shared" si="5"/>
        <v>0</v>
      </c>
      <c r="O23" s="18">
        <f>(SQRT(4*O22*O22*vB*vB + 'Drilling Spec'!$C$48*O22 + WB*('Drilling Spec'!$C$49 + 2*lB*vB*(sB*WB + 2*vB*N23/(1+eB)) + 'Drilling Spec'!$C$50)) - 'Drilling Spec'!$C$51)/(2*vB)</f>
        <v>0</v>
      </c>
      <c r="P23" s="18">
        <f>IFERROR(((S23-'Drilling Spec'!$C$30)/'Drilling Spec'!$C$31)*'Drilling Spec'!$C$32,0)</f>
        <v>0</v>
      </c>
      <c r="Q23" s="18">
        <f t="shared" si="15"/>
        <v>0</v>
      </c>
      <c r="R23" s="18"/>
      <c r="S23" s="26" t="str">
        <f>IF(AND(OR(T22=0,T22=""),M23=0),IF(M24=0,"",'Drilling Spec'!$C$30),O23)</f>
        <v/>
      </c>
      <c r="U23" s="15">
        <f>E23*'Drilling Spec'!$C$22 + L23*'Drilling Spec'!$C$23</f>
        <v>0.4809756097560976</v>
      </c>
      <c r="V23" s="15">
        <f t="shared" si="16"/>
        <v>4.8097560975609763</v>
      </c>
      <c r="W23" s="15">
        <f t="shared" si="6"/>
        <v>1.1902439024390237</v>
      </c>
      <c r="X23" s="10"/>
      <c r="Y23" s="30">
        <f>IF(W23&lt;U24,'Drilling Spec'!$C$35,0)</f>
        <v>0</v>
      </c>
      <c r="AA23" s="4">
        <f t="shared" si="19"/>
        <v>16</v>
      </c>
      <c r="AB23" s="10"/>
      <c r="AC23" s="30">
        <f>IF('04-07-25-Scen5-WorstCargoJIT'!K24&gt;'04-07-25-Scen5-WorstCargoJIT'!AA23,'Drilling Spec'!$C$36,)</f>
        <v>6</v>
      </c>
      <c r="AE23" s="18">
        <f>(I23-'Drilling Spec'!$C$26)/'Drilling Spec'!$C$38</f>
        <v>41.102730285025153</v>
      </c>
      <c r="AF23" s="18">
        <f t="shared" si="7"/>
        <v>3.5554578791048854</v>
      </c>
      <c r="AG23" s="34">
        <f t="shared" si="8"/>
        <v>21.102730285025153</v>
      </c>
      <c r="AH23" s="10"/>
      <c r="AI23" s="26">
        <f>IF(C23="Camp Closed",AG23,IF(AG23&lt;'Drilling Spec'!$C$39,,'Drilling Spec'!$C$39))</f>
        <v>20</v>
      </c>
      <c r="AL23" s="16">
        <f t="shared" si="9"/>
        <v>-316.6163817101509</v>
      </c>
      <c r="AM23" s="16" t="e">
        <f t="shared" si="10"/>
        <v>#N/A</v>
      </c>
      <c r="AN23">
        <f>-'Drilling Spec'!$C$29</f>
        <v>-720</v>
      </c>
      <c r="AO23">
        <f>-'Drilling Spec'!$C$27</f>
        <v>-624</v>
      </c>
      <c r="AP23">
        <f>-'Drilling Spec'!$C$28</f>
        <v>-688</v>
      </c>
      <c r="AQ23" t="e">
        <f t="shared" si="11"/>
        <v>#N/A</v>
      </c>
      <c r="AR23" t="e">
        <f>IF(X23=0,NA(),-'Drilling Spec'!$C$29*0.1)</f>
        <v>#N/A</v>
      </c>
      <c r="AS23" t="e">
        <f>IF(Y23=0,NA(),-'Drilling Spec'!$C$29*0.1)</f>
        <v>#N/A</v>
      </c>
      <c r="AT23" t="e">
        <f>IF(AB23=0,NA(),-'Drilling Spec'!$C$29*0.2)</f>
        <v>#N/A</v>
      </c>
      <c r="AU23">
        <f>IF(AC23=0,NA(),-'Drilling Spec'!$C$29*0.2)</f>
        <v>-144</v>
      </c>
      <c r="AV23" t="e">
        <f>IF(AH23=0,NA(),-'Drilling Spec'!$C$29*0.3)</f>
        <v>#N/A</v>
      </c>
      <c r="AW23">
        <f>IF(AI23=0,NA(),-'Drilling Spec'!$C$29*0.3)</f>
        <v>-216</v>
      </c>
      <c r="AX23" s="29">
        <f t="shared" si="12"/>
        <v>1.1902439024390237</v>
      </c>
      <c r="AY23" s="29">
        <f t="shared" si="13"/>
        <v>0.22557455265660664</v>
      </c>
      <c r="AZ23" s="29">
        <f t="shared" si="17"/>
        <v>21.102730285025153</v>
      </c>
      <c r="BS23" s="35"/>
      <c r="BU23" s="40"/>
      <c r="BV23" s="40"/>
      <c r="BW23" s="40"/>
      <c r="BX23" s="40"/>
      <c r="BY23" s="40"/>
      <c r="BZ23" s="40"/>
      <c r="CA23" s="40"/>
    </row>
    <row r="24" spans="1:79" x14ac:dyDescent="0.35">
      <c r="A24" s="28">
        <f t="shared" si="18"/>
        <v>45994</v>
      </c>
      <c r="B24" t="str">
        <f t="shared" si="0"/>
        <v>Wed</v>
      </c>
      <c r="C24" s="10" t="s">
        <v>9</v>
      </c>
      <c r="D24" s="10">
        <v>24</v>
      </c>
      <c r="E24" s="4">
        <f t="shared" si="1"/>
        <v>24</v>
      </c>
      <c r="F24" s="4">
        <f t="shared" si="2"/>
        <v>264</v>
      </c>
      <c r="G24" s="4">
        <f t="shared" si="3"/>
        <v>1440</v>
      </c>
      <c r="H24" s="15">
        <f>(SQRT(4*I23*I23*V*V + 'Drilling Spec'!$C$42*I23 + W*('Drilling Spec'!$C$43 + 2*l*V*(s*W + 2*V*G24/(1+e)) + 'Drilling Spec'!$C$44)) - 'Drilling Spec'!$C$45)/(2*V)</f>
        <v>337.42376378429032</v>
      </c>
      <c r="I24" s="23">
        <f>IF(AND(OR(I23=0,I23=""),F24=0),IF(F25=0,"",'Drilling Spec'!$C$26),H24)</f>
        <v>337.42376378429032</v>
      </c>
      <c r="J24" s="16">
        <f>MAX(0,I24-'Drilling Spec'!$C$30)</f>
        <v>257.42376378429032</v>
      </c>
      <c r="K24" s="18">
        <f>IFERROR(J24/'Drilling Spec'!$C$31,0)</f>
        <v>17.161584252286023</v>
      </c>
      <c r="L24" s="21">
        <f t="shared" si="4"/>
        <v>0</v>
      </c>
      <c r="M24" s="4">
        <f t="shared" si="14"/>
        <v>0</v>
      </c>
      <c r="N24" s="21">
        <f t="shared" si="5"/>
        <v>0</v>
      </c>
      <c r="O24" s="18">
        <f>(SQRT(4*O23*O23*vB*vB + 'Drilling Spec'!$C$48*O23 + WB*('Drilling Spec'!$C$49 + 2*lB*vB*(sB*WB + 2*vB*N24/(1+eB)) + 'Drilling Spec'!$C$50)) - 'Drilling Spec'!$C$51)/(2*vB)</f>
        <v>0</v>
      </c>
      <c r="P24" s="18">
        <f>IFERROR(((S24-'Drilling Spec'!$C$30)/'Drilling Spec'!$C$31)*'Drilling Spec'!$C$32,0)</f>
        <v>0</v>
      </c>
      <c r="Q24" s="18">
        <f t="shared" si="15"/>
        <v>0</v>
      </c>
      <c r="R24" s="18"/>
      <c r="S24" s="26" t="str">
        <f>IF(AND(OR(T23=0,T23=""),M24=0),IF(M25=0,"",'Drilling Spec'!$C$30),O24)</f>
        <v/>
      </c>
      <c r="U24" s="15">
        <f>E24*'Drilling Spec'!$C$22 + L24*'Drilling Spec'!$C$23</f>
        <v>0.4809756097560976</v>
      </c>
      <c r="V24" s="15">
        <f t="shared" si="16"/>
        <v>5.2907317073170743</v>
      </c>
      <c r="W24" s="15">
        <f t="shared" si="6"/>
        <v>0.70926829268292613</v>
      </c>
      <c r="X24" s="10"/>
      <c r="Y24" s="30">
        <f>IF(W24&lt;U25,'Drilling Spec'!$C$35,0)</f>
        <v>0</v>
      </c>
      <c r="AA24" s="4">
        <f t="shared" si="19"/>
        <v>22</v>
      </c>
      <c r="AB24" s="10"/>
      <c r="AC24" s="30">
        <f>IF('04-07-25-Scen5-WorstCargoJIT'!K25&gt;'04-07-25-Scen5-WorstCargoJIT'!AA24,'Drilling Spec'!$C$36,)</f>
        <v>0</v>
      </c>
      <c r="AE24" s="18">
        <f>(I24-'Drilling Spec'!$C$26)/'Drilling Spec'!$C$38</f>
        <v>44.570627297381719</v>
      </c>
      <c r="AF24" s="18">
        <f t="shared" si="7"/>
        <v>3.4678970123565662</v>
      </c>
      <c r="AG24" s="34">
        <f t="shared" si="8"/>
        <v>4.5706272973817192</v>
      </c>
      <c r="AH24" s="10"/>
      <c r="AI24" s="26">
        <f>IF(C24="Camp Closed",AG24,IF(AG24&lt;'Drilling Spec'!$C$39,,'Drilling Spec'!$C$39))</f>
        <v>0</v>
      </c>
      <c r="AL24" s="16">
        <f t="shared" si="9"/>
        <v>-337.42376378429032</v>
      </c>
      <c r="AM24" s="16" t="e">
        <f t="shared" si="10"/>
        <v>#N/A</v>
      </c>
      <c r="AN24">
        <f>-'Drilling Spec'!$C$29</f>
        <v>-720</v>
      </c>
      <c r="AO24">
        <f>-'Drilling Spec'!$C$27</f>
        <v>-624</v>
      </c>
      <c r="AP24">
        <f>-'Drilling Spec'!$C$28</f>
        <v>-688</v>
      </c>
      <c r="AQ24" t="e">
        <f t="shared" si="11"/>
        <v>#N/A</v>
      </c>
      <c r="AR24" t="e">
        <f>IF(X24=0,NA(),-'Drilling Spec'!$C$29*0.1)</f>
        <v>#N/A</v>
      </c>
      <c r="AS24" t="e">
        <f>IF(Y24=0,NA(),-'Drilling Spec'!$C$29*0.1)</f>
        <v>#N/A</v>
      </c>
      <c r="AT24" t="e">
        <f>IF(AB24=0,NA(),-'Drilling Spec'!$C$29*0.2)</f>
        <v>#N/A</v>
      </c>
      <c r="AU24" t="e">
        <f>IF(AC24=0,NA(),-'Drilling Spec'!$C$29*0.2)</f>
        <v>#N/A</v>
      </c>
      <c r="AV24" t="e">
        <f>IF(AH24=0,NA(),-'Drilling Spec'!$C$29*0.3)</f>
        <v>#N/A</v>
      </c>
      <c r="AW24" t="e">
        <f>IF(AI24=0,NA(),-'Drilling Spec'!$C$29*0.3)</f>
        <v>#N/A</v>
      </c>
      <c r="AX24" s="29">
        <f t="shared" si="12"/>
        <v>0.70926829268292613</v>
      </c>
      <c r="AY24" s="29">
        <f t="shared" si="13"/>
        <v>4.8384157477139773</v>
      </c>
      <c r="AZ24" s="29">
        <f t="shared" si="17"/>
        <v>4.5706272973817192</v>
      </c>
      <c r="BS24" s="35"/>
      <c r="BU24" s="38" t="s">
        <v>190</v>
      </c>
      <c r="BV24" s="38"/>
      <c r="BW24" s="38"/>
      <c r="BX24" s="38"/>
      <c r="BY24" s="38"/>
      <c r="BZ24" s="38"/>
      <c r="CA24" s="38"/>
    </row>
    <row r="25" spans="1:79" x14ac:dyDescent="0.35">
      <c r="A25" s="28">
        <f t="shared" si="18"/>
        <v>45995</v>
      </c>
      <c r="B25" t="str">
        <f t="shared" si="0"/>
        <v>Thu</v>
      </c>
      <c r="C25" s="10" t="s">
        <v>9</v>
      </c>
      <c r="D25" s="10">
        <v>24</v>
      </c>
      <c r="E25" s="4">
        <f t="shared" si="1"/>
        <v>24</v>
      </c>
      <c r="F25" s="4">
        <f t="shared" si="2"/>
        <v>288</v>
      </c>
      <c r="G25" s="4">
        <f t="shared" si="3"/>
        <v>1440</v>
      </c>
      <c r="H25" s="15">
        <f>(SQRT(4*I24*I24*V*V + 'Drilling Spec'!$C$42*I24 + W*('Drilling Spec'!$C$43 + 2*l*V*(s*W + 2*V*G25/(1+e)) + 'Drilling Spec'!$C$44)) - 'Drilling Spec'!$C$45)/(2*V)</f>
        <v>357.74278357270839</v>
      </c>
      <c r="I25" s="23">
        <f>IF(AND(OR(I24=0,I24=""),F25=0),IF(F26=0,"",'Drilling Spec'!$C$26),H25)</f>
        <v>357.74278357270839</v>
      </c>
      <c r="J25" s="16">
        <f>MAX(0,I25-'Drilling Spec'!$C$30)</f>
        <v>277.74278357270839</v>
      </c>
      <c r="K25" s="18">
        <f>IFERROR(J25/'Drilling Spec'!$C$31,0)</f>
        <v>18.516185571513894</v>
      </c>
      <c r="L25" s="21">
        <f t="shared" si="4"/>
        <v>0</v>
      </c>
      <c r="M25" s="4">
        <f t="shared" si="14"/>
        <v>0</v>
      </c>
      <c r="N25" s="21">
        <f t="shared" si="5"/>
        <v>0</v>
      </c>
      <c r="O25" s="18">
        <f>(SQRT(4*O24*O24*vB*vB + 'Drilling Spec'!$C$48*O24 + WB*('Drilling Spec'!$C$49 + 2*lB*vB*(sB*WB + 2*vB*N25/(1+eB)) + 'Drilling Spec'!$C$50)) - 'Drilling Spec'!$C$51)/(2*vB)</f>
        <v>0</v>
      </c>
      <c r="P25" s="18">
        <f>IFERROR(((S25-'Drilling Spec'!$C$30)/'Drilling Spec'!$C$31)*'Drilling Spec'!$C$32,0)</f>
        <v>0</v>
      </c>
      <c r="Q25" s="18">
        <f t="shared" si="15"/>
        <v>0</v>
      </c>
      <c r="R25" s="18"/>
      <c r="S25" s="26" t="str">
        <f>IF(AND(OR(T24=0,T24=""),M25=0),IF(M26=0,"",'Drilling Spec'!$C$30),O25)</f>
        <v/>
      </c>
      <c r="U25" s="15">
        <f>E25*'Drilling Spec'!$C$22 + L25*'Drilling Spec'!$C$23</f>
        <v>0.4809756097560976</v>
      </c>
      <c r="V25" s="15">
        <f t="shared" si="16"/>
        <v>5.7717073170731723</v>
      </c>
      <c r="W25" s="15">
        <f t="shared" si="6"/>
        <v>0.22829268292682853</v>
      </c>
      <c r="X25" s="10"/>
      <c r="Y25" s="30">
        <f>IF(W25&lt;U26,'Drilling Spec'!$C$35,0)</f>
        <v>6</v>
      </c>
      <c r="AA25" s="4">
        <f t="shared" si="19"/>
        <v>22</v>
      </c>
      <c r="AB25" s="10"/>
      <c r="AC25" s="30">
        <f>IF('04-07-25-Scen5-WorstCargoJIT'!K26&gt;'04-07-25-Scen5-WorstCargoJIT'!AA25,'Drilling Spec'!$C$36,)</f>
        <v>0</v>
      </c>
      <c r="AE25" s="18">
        <f>(I25-'Drilling Spec'!$C$26)/'Drilling Spec'!$C$38</f>
        <v>47.957130595451396</v>
      </c>
      <c r="AF25" s="18">
        <f t="shared" si="7"/>
        <v>3.3865032980696768</v>
      </c>
      <c r="AG25" s="34">
        <f t="shared" si="8"/>
        <v>7.957130595451396</v>
      </c>
      <c r="AH25" s="10"/>
      <c r="AI25" s="26">
        <f>IF(C25="Camp Closed",AG25,IF(AG25&lt;'Drilling Spec'!$C$39,,'Drilling Spec'!$C$39))</f>
        <v>0</v>
      </c>
      <c r="AL25" s="16">
        <f t="shared" si="9"/>
        <v>-357.74278357270839</v>
      </c>
      <c r="AM25" s="16" t="e">
        <f t="shared" si="10"/>
        <v>#N/A</v>
      </c>
      <c r="AN25">
        <f>-'Drilling Spec'!$C$29</f>
        <v>-720</v>
      </c>
      <c r="AO25">
        <f>-'Drilling Spec'!$C$27</f>
        <v>-624</v>
      </c>
      <c r="AP25">
        <f>-'Drilling Spec'!$C$28</f>
        <v>-688</v>
      </c>
      <c r="AQ25" t="e">
        <f t="shared" si="11"/>
        <v>#N/A</v>
      </c>
      <c r="AR25" t="e">
        <f>IF(X25=0,NA(),-'Drilling Spec'!$C$29*0.1)</f>
        <v>#N/A</v>
      </c>
      <c r="AS25">
        <f>IF(Y25=0,NA(),-'Drilling Spec'!$C$29*0.1)</f>
        <v>-72</v>
      </c>
      <c r="AT25" t="e">
        <f>IF(AB25=0,NA(),-'Drilling Spec'!$C$29*0.2)</f>
        <v>#N/A</v>
      </c>
      <c r="AU25" t="e">
        <f>IF(AC25=0,NA(),-'Drilling Spec'!$C$29*0.2)</f>
        <v>#N/A</v>
      </c>
      <c r="AV25" t="e">
        <f>IF(AH25=0,NA(),-'Drilling Spec'!$C$29*0.3)</f>
        <v>#N/A</v>
      </c>
      <c r="AW25" t="e">
        <f>IF(AI25=0,NA(),-'Drilling Spec'!$C$29*0.3)</f>
        <v>#N/A</v>
      </c>
      <c r="AX25" s="29">
        <f t="shared" si="12"/>
        <v>0.22829268292682853</v>
      </c>
      <c r="AY25" s="29">
        <f t="shared" si="13"/>
        <v>3.4838144284861059</v>
      </c>
      <c r="AZ25" s="29">
        <f t="shared" si="17"/>
        <v>7.957130595451396</v>
      </c>
      <c r="BS25" s="35"/>
      <c r="BU25" s="38"/>
      <c r="BV25" s="38"/>
      <c r="BW25" s="38"/>
      <c r="BX25" s="38"/>
      <c r="BY25" s="38"/>
      <c r="BZ25" s="38"/>
      <c r="CA25" s="38"/>
    </row>
    <row r="26" spans="1:79" x14ac:dyDescent="0.35">
      <c r="A26" s="28">
        <f t="shared" si="18"/>
        <v>45996</v>
      </c>
      <c r="B26" t="str">
        <f t="shared" si="0"/>
        <v>Fri</v>
      </c>
      <c r="C26" s="10" t="s">
        <v>9</v>
      </c>
      <c r="D26" s="10">
        <v>24</v>
      </c>
      <c r="E26" s="4">
        <f t="shared" si="1"/>
        <v>24</v>
      </c>
      <c r="F26" s="4">
        <f t="shared" si="2"/>
        <v>312</v>
      </c>
      <c r="G26" s="4">
        <f t="shared" si="3"/>
        <v>1440</v>
      </c>
      <c r="H26" s="15">
        <f>(SQRT(4*I25*I25*V*V + 'Drilling Spec'!$C$42*I25 + W*('Drilling Spec'!$C$43 + 2*l*V*(s*W + 2*V*G26/(1+e)) + 'Drilling Spec'!$C$44)) - 'Drilling Spec'!$C$45)/(2*V)</f>
        <v>377.60629406387062</v>
      </c>
      <c r="I26" s="23">
        <f>IF(AND(OR(I25=0,I25=""),F26=0),IF(F27=0,"",'Drilling Spec'!$C$26),H26)</f>
        <v>377.60629406387062</v>
      </c>
      <c r="J26" s="16">
        <f>MAX(0,I26-'Drilling Spec'!$C$30)</f>
        <v>297.60629406387062</v>
      </c>
      <c r="K26" s="18">
        <f>IFERROR(J26/'Drilling Spec'!$C$31,0)</f>
        <v>19.840419604258042</v>
      </c>
      <c r="L26" s="21">
        <f t="shared" si="4"/>
        <v>0</v>
      </c>
      <c r="M26" s="4">
        <f t="shared" si="14"/>
        <v>0</v>
      </c>
      <c r="N26" s="21">
        <f t="shared" si="5"/>
        <v>0</v>
      </c>
      <c r="O26" s="18">
        <f>(SQRT(4*O25*O25*vB*vB + 'Drilling Spec'!$C$48*O25 + WB*('Drilling Spec'!$C$49 + 2*lB*vB*(sB*WB + 2*vB*N26/(1+eB)) + 'Drilling Spec'!$C$50)) - 'Drilling Spec'!$C$51)/(2*vB)</f>
        <v>0</v>
      </c>
      <c r="P26" s="18">
        <f>IFERROR(((S26-'Drilling Spec'!$C$30)/'Drilling Spec'!$C$31)*'Drilling Spec'!$C$32,0)</f>
        <v>0</v>
      </c>
      <c r="Q26" s="18">
        <f t="shared" si="15"/>
        <v>0</v>
      </c>
      <c r="R26" s="18"/>
      <c r="S26" s="26" t="str">
        <f>IF(AND(OR(T25=0,T25=""),M26=0),IF(M27=0,"",'Drilling Spec'!$C$30),O26)</f>
        <v/>
      </c>
      <c r="U26" s="15">
        <f>E26*'Drilling Spec'!$C$22 + L26*'Drilling Spec'!$C$23</f>
        <v>0.4809756097560976</v>
      </c>
      <c r="V26" s="15">
        <f t="shared" si="16"/>
        <v>6.2526829268292703</v>
      </c>
      <c r="W26" s="15">
        <f t="shared" si="6"/>
        <v>5.7473170731707306</v>
      </c>
      <c r="X26" s="10"/>
      <c r="Y26" s="30">
        <f>IF(W26&lt;U27,'Drilling Spec'!$C$35,0)</f>
        <v>0</v>
      </c>
      <c r="AA26" s="4">
        <f t="shared" si="19"/>
        <v>22</v>
      </c>
      <c r="AB26" s="10"/>
      <c r="AC26" s="30">
        <f>IF('04-07-25-Scen5-WorstCargoJIT'!K27&gt;'04-07-25-Scen5-WorstCargoJIT'!AA26,'Drilling Spec'!$C$36,)</f>
        <v>0</v>
      </c>
      <c r="AE26" s="18">
        <f>(I26-'Drilling Spec'!$C$26)/'Drilling Spec'!$C$38</f>
        <v>51.26771567731177</v>
      </c>
      <c r="AF26" s="18">
        <f t="shared" si="7"/>
        <v>3.3105850818603741</v>
      </c>
      <c r="AG26" s="34">
        <f t="shared" si="8"/>
        <v>11.26771567731177</v>
      </c>
      <c r="AH26" s="10"/>
      <c r="AI26" s="26">
        <f>IF(C26="Camp Closed",AG26,IF(AG26&lt;'Drilling Spec'!$C$39,,'Drilling Spec'!$C$39))</f>
        <v>0</v>
      </c>
      <c r="AL26" s="16">
        <f t="shared" si="9"/>
        <v>-377.60629406387062</v>
      </c>
      <c r="AM26" s="16" t="e">
        <f t="shared" si="10"/>
        <v>#N/A</v>
      </c>
      <c r="AN26">
        <f>-'Drilling Spec'!$C$29</f>
        <v>-720</v>
      </c>
      <c r="AO26">
        <f>-'Drilling Spec'!$C$27</f>
        <v>-624</v>
      </c>
      <c r="AP26">
        <f>-'Drilling Spec'!$C$28</f>
        <v>-688</v>
      </c>
      <c r="AQ26" t="e">
        <f t="shared" si="11"/>
        <v>#N/A</v>
      </c>
      <c r="AR26" t="e">
        <f>IF(X26=0,NA(),-'Drilling Spec'!$C$29*0.1)</f>
        <v>#N/A</v>
      </c>
      <c r="AS26" t="e">
        <f>IF(Y26=0,NA(),-'Drilling Spec'!$C$29*0.1)</f>
        <v>#N/A</v>
      </c>
      <c r="AT26" t="e">
        <f>IF(AB26=0,NA(),-'Drilling Spec'!$C$29*0.2)</f>
        <v>#N/A</v>
      </c>
      <c r="AU26" t="e">
        <f>IF(AC26=0,NA(),-'Drilling Spec'!$C$29*0.2)</f>
        <v>#N/A</v>
      </c>
      <c r="AV26" t="e">
        <f>IF(AH26=0,NA(),-'Drilling Spec'!$C$29*0.3)</f>
        <v>#N/A</v>
      </c>
      <c r="AW26" t="e">
        <f>IF(AI26=0,NA(),-'Drilling Spec'!$C$29*0.3)</f>
        <v>#N/A</v>
      </c>
      <c r="AX26" s="29">
        <f t="shared" si="12"/>
        <v>5.7473170731707306</v>
      </c>
      <c r="AY26" s="29">
        <f t="shared" si="13"/>
        <v>2.1595803957419584</v>
      </c>
      <c r="AZ26" s="29">
        <f t="shared" si="17"/>
        <v>11.26771567731177</v>
      </c>
      <c r="BS26" s="35"/>
      <c r="BT26" s="39" t="s">
        <v>188</v>
      </c>
      <c r="BU26" s="39"/>
      <c r="BV26" s="39"/>
      <c r="BW26" s="39"/>
      <c r="BX26" s="39"/>
      <c r="BY26" s="39"/>
      <c r="BZ26" s="39"/>
      <c r="CA26" s="39"/>
    </row>
    <row r="27" spans="1:79" x14ac:dyDescent="0.35">
      <c r="A27" s="28">
        <f t="shared" si="18"/>
        <v>45997</v>
      </c>
      <c r="B27" t="str">
        <f t="shared" si="0"/>
        <v>Sat</v>
      </c>
      <c r="C27" s="10" t="s">
        <v>9</v>
      </c>
      <c r="D27" s="10">
        <v>24</v>
      </c>
      <c r="E27" s="4">
        <f t="shared" si="1"/>
        <v>24</v>
      </c>
      <c r="F27" s="4">
        <f t="shared" si="2"/>
        <v>336</v>
      </c>
      <c r="G27" s="4">
        <f t="shared" si="3"/>
        <v>1440</v>
      </c>
      <c r="H27" s="15">
        <f>(SQRT(4*I26*I26*V*V + 'Drilling Spec'!$C$42*I26 + W*('Drilling Spec'!$C$43 + 2*l*V*(s*W + 2*V*G27/(1+e)) + 'Drilling Spec'!$C$44)) - 'Drilling Spec'!$C$45)/(2*V)</f>
        <v>397.04362207560342</v>
      </c>
      <c r="I27" s="23">
        <f>IF(AND(OR(I26=0,I26=""),F27=0),IF(F28=0,"",'Drilling Spec'!$C$26),H27)</f>
        <v>397.04362207560342</v>
      </c>
      <c r="J27" s="16">
        <f>MAX(0,I27-'Drilling Spec'!$C$30)</f>
        <v>317.04362207560342</v>
      </c>
      <c r="K27" s="18">
        <f>IFERROR(J27/'Drilling Spec'!$C$31,0)</f>
        <v>21.136241471706896</v>
      </c>
      <c r="L27" s="21">
        <f t="shared" si="4"/>
        <v>0</v>
      </c>
      <c r="M27" s="4">
        <f t="shared" si="14"/>
        <v>0</v>
      </c>
      <c r="N27" s="21">
        <f t="shared" si="5"/>
        <v>0</v>
      </c>
      <c r="O27" s="18">
        <f>(SQRT(4*O26*O26*vB*vB + 'Drilling Spec'!$C$48*O26 + WB*('Drilling Spec'!$C$49 + 2*lB*vB*(sB*WB + 2*vB*N27/(1+eB)) + 'Drilling Spec'!$C$50)) - 'Drilling Spec'!$C$51)/(2*vB)</f>
        <v>0</v>
      </c>
      <c r="P27" s="18">
        <f>IFERROR(((S27-'Drilling Spec'!$C$30)/'Drilling Spec'!$C$31)*'Drilling Spec'!$C$32,0)</f>
        <v>0</v>
      </c>
      <c r="Q27" s="18">
        <f t="shared" si="15"/>
        <v>0</v>
      </c>
      <c r="R27" s="18"/>
      <c r="S27" s="26" t="str">
        <f>IF(AND(OR(T26=0,T26=""),M27=0),IF(M28=0,"",'Drilling Spec'!$C$30),O27)</f>
        <v/>
      </c>
      <c r="U27" s="15">
        <f>E27*'Drilling Spec'!$C$22 + L27*'Drilling Spec'!$C$23</f>
        <v>0.4809756097560976</v>
      </c>
      <c r="V27" s="15">
        <f t="shared" si="16"/>
        <v>6.7336585365853683</v>
      </c>
      <c r="W27" s="15">
        <f t="shared" si="6"/>
        <v>5.2663414634146326</v>
      </c>
      <c r="X27" s="10"/>
      <c r="Y27" s="30">
        <f>IF(W27&lt;U28,'Drilling Spec'!$C$35,0)</f>
        <v>0</v>
      </c>
      <c r="AA27" s="4">
        <f t="shared" si="19"/>
        <v>22</v>
      </c>
      <c r="AB27" s="10"/>
      <c r="AC27" s="30">
        <f>IF('04-07-25-Scen5-WorstCargoJIT'!K28&gt;'04-07-25-Scen5-WorstCargoJIT'!AA27,'Drilling Spec'!$C$36,)</f>
        <v>0</v>
      </c>
      <c r="AE27" s="18">
        <f>(I27-'Drilling Spec'!$C$26)/'Drilling Spec'!$C$38</f>
        <v>54.507270345933904</v>
      </c>
      <c r="AF27" s="18">
        <f t="shared" si="7"/>
        <v>3.2395546686221337</v>
      </c>
      <c r="AG27" s="34">
        <f t="shared" si="8"/>
        <v>14.507270345933904</v>
      </c>
      <c r="AH27" s="10"/>
      <c r="AI27" s="26">
        <f>IF(C27="Camp Closed",AG27,IF(AG27&lt;'Drilling Spec'!$C$39,,'Drilling Spec'!$C$39))</f>
        <v>0</v>
      </c>
      <c r="AL27" s="16">
        <f t="shared" si="9"/>
        <v>-397.04362207560342</v>
      </c>
      <c r="AM27" s="16" t="e">
        <f t="shared" si="10"/>
        <v>#N/A</v>
      </c>
      <c r="AN27">
        <f>-'Drilling Spec'!$C$29</f>
        <v>-720</v>
      </c>
      <c r="AO27">
        <f>-'Drilling Spec'!$C$27</f>
        <v>-624</v>
      </c>
      <c r="AP27">
        <f>-'Drilling Spec'!$C$28</f>
        <v>-688</v>
      </c>
      <c r="AQ27" t="e">
        <f t="shared" si="11"/>
        <v>#N/A</v>
      </c>
      <c r="AR27" t="e">
        <f>IF(X27=0,NA(),-'Drilling Spec'!$C$29*0.1)</f>
        <v>#N/A</v>
      </c>
      <c r="AS27" t="e">
        <f>IF(Y27=0,NA(),-'Drilling Spec'!$C$29*0.1)</f>
        <v>#N/A</v>
      </c>
      <c r="AT27" t="e">
        <f>IF(AB27=0,NA(),-'Drilling Spec'!$C$29*0.2)</f>
        <v>#N/A</v>
      </c>
      <c r="AU27" t="e">
        <f>IF(AC27=0,NA(),-'Drilling Spec'!$C$29*0.2)</f>
        <v>#N/A</v>
      </c>
      <c r="AV27" t="e">
        <f>IF(AH27=0,NA(),-'Drilling Spec'!$C$29*0.3)</f>
        <v>#N/A</v>
      </c>
      <c r="AW27" t="e">
        <f>IF(AI27=0,NA(),-'Drilling Spec'!$C$29*0.3)</f>
        <v>#N/A</v>
      </c>
      <c r="AX27" s="29">
        <f t="shared" si="12"/>
        <v>5.2663414634146326</v>
      </c>
      <c r="AY27" s="29">
        <f t="shared" si="13"/>
        <v>0.86375852829310418</v>
      </c>
      <c r="AZ27" s="29">
        <f t="shared" si="17"/>
        <v>14.507270345933904</v>
      </c>
      <c r="BS27" s="35"/>
      <c r="BT27" s="39"/>
      <c r="BU27" s="39"/>
      <c r="BV27" s="39"/>
      <c r="BW27" s="39"/>
      <c r="BX27" s="39"/>
      <c r="BY27" s="39"/>
      <c r="BZ27" s="39"/>
      <c r="CA27" s="39"/>
    </row>
    <row r="28" spans="1:79" x14ac:dyDescent="0.35">
      <c r="A28" s="28">
        <f t="shared" si="18"/>
        <v>45998</v>
      </c>
      <c r="B28" t="str">
        <f t="shared" si="0"/>
        <v>Sun</v>
      </c>
      <c r="C28" s="10" t="s">
        <v>7</v>
      </c>
      <c r="D28" s="10">
        <v>0</v>
      </c>
      <c r="E28" s="4">
        <f t="shared" si="1"/>
        <v>0</v>
      </c>
      <c r="F28" s="4">
        <f t="shared" si="2"/>
        <v>336</v>
      </c>
      <c r="G28" s="4">
        <f t="shared" si="3"/>
        <v>0</v>
      </c>
      <c r="H28" s="15">
        <f>(SQRT(4*I27*I27*V*V + 'Drilling Spec'!$C$42*I27 + W*('Drilling Spec'!$C$43 + 2*l*V*(s*W + 2*V*G28/(1+e)) + 'Drilling Spec'!$C$44)) - 'Drilling Spec'!$C$45)/(2*V)</f>
        <v>397.04362207560354</v>
      </c>
      <c r="I28" s="23">
        <f>IF(AND(OR(I27=0,I27=""),F28=0),IF(F29=0,"",'Drilling Spec'!$C$26),H28)</f>
        <v>397.04362207560354</v>
      </c>
      <c r="J28" s="16">
        <f>MAX(0,I28-'Drilling Spec'!$C$30)</f>
        <v>317.04362207560354</v>
      </c>
      <c r="K28" s="18">
        <f>IFERROR(J28/'Drilling Spec'!$C$31,0)</f>
        <v>21.136241471706903</v>
      </c>
      <c r="L28" s="21">
        <f t="shared" si="4"/>
        <v>0</v>
      </c>
      <c r="M28" s="4">
        <f t="shared" si="14"/>
        <v>0</v>
      </c>
      <c r="N28" s="21">
        <f t="shared" si="5"/>
        <v>0</v>
      </c>
      <c r="O28" s="18">
        <f>(SQRT(4*O27*O27*vB*vB + 'Drilling Spec'!$C$48*O27 + WB*('Drilling Spec'!$C$49 + 2*lB*vB*(sB*WB + 2*vB*N28/(1+eB)) + 'Drilling Spec'!$C$50)) - 'Drilling Spec'!$C$51)/(2*vB)</f>
        <v>0</v>
      </c>
      <c r="P28" s="18">
        <f>IFERROR(((S28-'Drilling Spec'!$C$30)/'Drilling Spec'!$C$31)*'Drilling Spec'!$C$32,0)</f>
        <v>0</v>
      </c>
      <c r="Q28" s="18">
        <f t="shared" si="15"/>
        <v>0</v>
      </c>
      <c r="R28" s="18"/>
      <c r="S28" s="26" t="str">
        <f>IF(AND(OR(T27=0,T27=""),M28=0),IF(M29=0,"",'Drilling Spec'!$C$30),O28)</f>
        <v/>
      </c>
      <c r="U28" s="15">
        <f>E28*'Drilling Spec'!$C$22 + L28*'Drilling Spec'!$C$23</f>
        <v>0</v>
      </c>
      <c r="V28" s="15">
        <f t="shared" si="16"/>
        <v>6.7336585365853683</v>
      </c>
      <c r="W28" s="15">
        <f t="shared" si="6"/>
        <v>5.2663414634146326</v>
      </c>
      <c r="X28" s="10"/>
      <c r="Y28" s="30">
        <f>IF(W28&lt;U29,'Drilling Spec'!$C$35,0)</f>
        <v>0</v>
      </c>
      <c r="AA28" s="4">
        <f t="shared" si="19"/>
        <v>22</v>
      </c>
      <c r="AB28" s="10"/>
      <c r="AC28" s="30">
        <f>IF('04-07-25-Scen5-WorstCargoJIT'!K29&gt;'04-07-25-Scen5-WorstCargoJIT'!AA28,'Drilling Spec'!$C$36,)</f>
        <v>6</v>
      </c>
      <c r="AE28" s="18">
        <f>(I28-'Drilling Spec'!$C$26)/'Drilling Spec'!$C$38</f>
        <v>54.507270345933925</v>
      </c>
      <c r="AF28" s="18">
        <f t="shared" si="7"/>
        <v>2.1316282072803006E-14</v>
      </c>
      <c r="AG28" s="34">
        <f t="shared" si="8"/>
        <v>14.507270345933925</v>
      </c>
      <c r="AH28" s="10"/>
      <c r="AI28" s="26">
        <f>IF(C28="Camp Closed",AG28,IF(AG28&lt;'Drilling Spec'!$C$39,,'Drilling Spec'!$C$39))</f>
        <v>0</v>
      </c>
      <c r="AL28" s="16">
        <f t="shared" si="9"/>
        <v>-397.04362207560354</v>
      </c>
      <c r="AM28" s="16" t="e">
        <f t="shared" si="10"/>
        <v>#N/A</v>
      </c>
      <c r="AN28">
        <f>-'Drilling Spec'!$C$29</f>
        <v>-720</v>
      </c>
      <c r="AO28">
        <f>-'Drilling Spec'!$C$27</f>
        <v>-624</v>
      </c>
      <c r="AP28">
        <f>-'Drilling Spec'!$C$28</f>
        <v>-688</v>
      </c>
      <c r="AQ28" t="e">
        <f t="shared" si="11"/>
        <v>#N/A</v>
      </c>
      <c r="AR28" t="e">
        <f>IF(X28=0,NA(),-'Drilling Spec'!$C$29*0.1)</f>
        <v>#N/A</v>
      </c>
      <c r="AS28" t="e">
        <f>IF(Y28=0,NA(),-'Drilling Spec'!$C$29*0.1)</f>
        <v>#N/A</v>
      </c>
      <c r="AT28" t="e">
        <f>IF(AB28=0,NA(),-'Drilling Spec'!$C$29*0.2)</f>
        <v>#N/A</v>
      </c>
      <c r="AU28">
        <f>IF(AC28=0,NA(),-'Drilling Spec'!$C$29*0.2)</f>
        <v>-144</v>
      </c>
      <c r="AV28" t="e">
        <f>IF(AH28=0,NA(),-'Drilling Spec'!$C$29*0.3)</f>
        <v>#N/A</v>
      </c>
      <c r="AW28" t="e">
        <f>IF(AI28=0,NA(),-'Drilling Spec'!$C$29*0.3)</f>
        <v>#N/A</v>
      </c>
      <c r="AX28" s="29">
        <f t="shared" si="12"/>
        <v>5.2663414634146326</v>
      </c>
      <c r="AY28" s="29">
        <f t="shared" si="13"/>
        <v>0.86375852829309707</v>
      </c>
      <c r="AZ28" s="29">
        <f t="shared" si="17"/>
        <v>14.507270345933925</v>
      </c>
      <c r="BS28" s="35"/>
      <c r="BT28" s="39"/>
      <c r="BU28" s="39"/>
      <c r="BV28" s="39"/>
      <c r="BW28" s="39"/>
      <c r="BX28" s="39"/>
      <c r="BY28" s="39"/>
      <c r="BZ28" s="39"/>
      <c r="CA28" s="39"/>
    </row>
    <row r="29" spans="1:79" x14ac:dyDescent="0.35">
      <c r="A29" s="28">
        <f t="shared" si="18"/>
        <v>45999</v>
      </c>
      <c r="B29" t="str">
        <f t="shared" si="0"/>
        <v>Mon</v>
      </c>
      <c r="C29" s="10" t="s">
        <v>9</v>
      </c>
      <c r="D29" s="10">
        <v>24</v>
      </c>
      <c r="E29" s="4">
        <f t="shared" si="1"/>
        <v>24</v>
      </c>
      <c r="F29" s="4">
        <f t="shared" si="2"/>
        <v>360</v>
      </c>
      <c r="G29" s="4">
        <f t="shared" si="3"/>
        <v>1440</v>
      </c>
      <c r="H29" s="15">
        <f>(SQRT(4*I28*I28*V*V + 'Drilling Spec'!$C$42*I28 + W*('Drilling Spec'!$C$43 + 2*l*V*(s*W + 2*V*G29/(1+e)) + 'Drilling Spec'!$C$44)) - 'Drilling Spec'!$C$45)/(2*V)</f>
        <v>416.08107640916666</v>
      </c>
      <c r="I29" s="23">
        <f>IF(AND(OR(I28=0,I28=""),F29=0),IF(F30=0,"",'Drilling Spec'!$C$26),H29)</f>
        <v>416.08107640916666</v>
      </c>
      <c r="J29" s="16">
        <f>MAX(0,I29-'Drilling Spec'!$C$30)</f>
        <v>336.08107640916666</v>
      </c>
      <c r="K29" s="18">
        <f>IFERROR(J29/'Drilling Spec'!$C$31,0)</f>
        <v>22.405405093944445</v>
      </c>
      <c r="L29" s="21">
        <f t="shared" si="4"/>
        <v>0</v>
      </c>
      <c r="M29" s="4">
        <f t="shared" si="14"/>
        <v>0</v>
      </c>
      <c r="N29" s="21">
        <f t="shared" si="5"/>
        <v>0</v>
      </c>
      <c r="O29" s="18">
        <f>(SQRT(4*O28*O28*vB*vB + 'Drilling Spec'!$C$48*O28 + WB*('Drilling Spec'!$C$49 + 2*lB*vB*(sB*WB + 2*vB*N29/(1+eB)) + 'Drilling Spec'!$C$50)) - 'Drilling Spec'!$C$51)/(2*vB)</f>
        <v>0</v>
      </c>
      <c r="P29" s="18">
        <f>IFERROR(((S29-'Drilling Spec'!$C$30)/'Drilling Spec'!$C$31)*'Drilling Spec'!$C$32,0)</f>
        <v>0</v>
      </c>
      <c r="Q29" s="18">
        <f t="shared" si="15"/>
        <v>0</v>
      </c>
      <c r="R29" s="18"/>
      <c r="S29" s="26" t="str">
        <f>IF(AND(OR(T28=0,T28=""),M29=0),IF(M30=0,"",'Drilling Spec'!$C$30),O29)</f>
        <v/>
      </c>
      <c r="U29" s="15">
        <f>E29*'Drilling Spec'!$C$22 + L29*'Drilling Spec'!$C$23</f>
        <v>0.4809756097560976</v>
      </c>
      <c r="V29" s="15">
        <f t="shared" si="16"/>
        <v>7.2146341463414663</v>
      </c>
      <c r="W29" s="15">
        <f t="shared" si="6"/>
        <v>4.7853658536585346</v>
      </c>
      <c r="X29" s="10"/>
      <c r="Y29" s="30">
        <f>IF(W29&lt;U30,'Drilling Spec'!$C$35,0)</f>
        <v>0</v>
      </c>
      <c r="AA29" s="4">
        <f t="shared" si="19"/>
        <v>28</v>
      </c>
      <c r="AB29" s="10"/>
      <c r="AC29" s="30">
        <f>IF('04-07-25-Scen5-WorstCargoJIT'!K30&gt;'04-07-25-Scen5-WorstCargoJIT'!AA29,'Drilling Spec'!$C$36,)</f>
        <v>0</v>
      </c>
      <c r="AE29" s="18">
        <f>(I29-'Drilling Spec'!$C$26)/'Drilling Spec'!$C$38</f>
        <v>57.680179401527774</v>
      </c>
      <c r="AF29" s="18">
        <f t="shared" si="7"/>
        <v>3.1729090555938484</v>
      </c>
      <c r="AG29" s="34">
        <f t="shared" si="8"/>
        <v>17.680179401527774</v>
      </c>
      <c r="AH29" s="10"/>
      <c r="AI29" s="26">
        <f>IF(C29="Camp Closed",AG29,IF(AG29&lt;'Drilling Spec'!$C$39,,'Drilling Spec'!$C$39))</f>
        <v>0</v>
      </c>
      <c r="AL29" s="16">
        <f t="shared" si="9"/>
        <v>-416.08107640916666</v>
      </c>
      <c r="AM29" s="16" t="e">
        <f t="shared" si="10"/>
        <v>#N/A</v>
      </c>
      <c r="AN29">
        <f>-'Drilling Spec'!$C$29</f>
        <v>-720</v>
      </c>
      <c r="AO29">
        <f>-'Drilling Spec'!$C$27</f>
        <v>-624</v>
      </c>
      <c r="AP29">
        <f>-'Drilling Spec'!$C$28</f>
        <v>-688</v>
      </c>
      <c r="AQ29" t="e">
        <f t="shared" si="11"/>
        <v>#N/A</v>
      </c>
      <c r="AR29" t="e">
        <f>IF(X29=0,NA(),-'Drilling Spec'!$C$29*0.1)</f>
        <v>#N/A</v>
      </c>
      <c r="AS29" t="e">
        <f>IF(Y29=0,NA(),-'Drilling Spec'!$C$29*0.1)</f>
        <v>#N/A</v>
      </c>
      <c r="AT29" t="e">
        <f>IF(AB29=0,NA(),-'Drilling Spec'!$C$29*0.2)</f>
        <v>#N/A</v>
      </c>
      <c r="AU29" t="e">
        <f>IF(AC29=0,NA(),-'Drilling Spec'!$C$29*0.2)</f>
        <v>#N/A</v>
      </c>
      <c r="AV29" t="e">
        <f>IF(AH29=0,NA(),-'Drilling Spec'!$C$29*0.3)</f>
        <v>#N/A</v>
      </c>
      <c r="AW29" t="e">
        <f>IF(AI29=0,NA(),-'Drilling Spec'!$C$29*0.3)</f>
        <v>#N/A</v>
      </c>
      <c r="AX29" s="29">
        <f t="shared" si="12"/>
        <v>4.7853658536585346</v>
      </c>
      <c r="AY29" s="29">
        <f t="shared" si="13"/>
        <v>5.5945949060555549</v>
      </c>
      <c r="AZ29" s="29">
        <f t="shared" si="17"/>
        <v>17.680179401527774</v>
      </c>
      <c r="BS29" s="35"/>
      <c r="BT29" s="39"/>
      <c r="BU29" s="39"/>
      <c r="BV29" s="39"/>
      <c r="BW29" s="39"/>
      <c r="BX29" s="39"/>
      <c r="BY29" s="39"/>
      <c r="BZ29" s="39"/>
      <c r="CA29" s="39"/>
    </row>
    <row r="30" spans="1:79" x14ac:dyDescent="0.35">
      <c r="A30" s="28">
        <f t="shared" si="18"/>
        <v>46000</v>
      </c>
      <c r="B30" t="str">
        <f t="shared" si="0"/>
        <v>Tue</v>
      </c>
      <c r="C30" s="10" t="s">
        <v>9</v>
      </c>
      <c r="D30" s="10">
        <v>24</v>
      </c>
      <c r="E30" s="4">
        <f t="shared" si="1"/>
        <v>24</v>
      </c>
      <c r="F30" s="4">
        <f t="shared" si="2"/>
        <v>384</v>
      </c>
      <c r="G30" s="4">
        <f t="shared" si="3"/>
        <v>1440</v>
      </c>
      <c r="H30" s="15">
        <f>(SQRT(4*I29*I29*V*V + 'Drilling Spec'!$C$42*I29 + W*('Drilling Spec'!$C$43 + 2*l*V*(s*W + 2*V*G30/(1+e)) + 'Drilling Spec'!$C$44)) - 'Drilling Spec'!$C$45)/(2*V)</f>
        <v>434.74236555649435</v>
      </c>
      <c r="I30" s="23">
        <f>IF(AND(OR(I29=0,I29=""),F30=0),IF(F31=0,"",'Drilling Spec'!$C$26),H30)</f>
        <v>434.74236555649435</v>
      </c>
      <c r="J30" s="16">
        <f>MAX(0,I30-'Drilling Spec'!$C$30)</f>
        <v>354.74236555649435</v>
      </c>
      <c r="K30" s="18">
        <f>IFERROR(J30/'Drilling Spec'!$C$31,0)</f>
        <v>23.649491037099622</v>
      </c>
      <c r="L30" s="21">
        <f t="shared" si="4"/>
        <v>0</v>
      </c>
      <c r="M30" s="4">
        <f t="shared" si="14"/>
        <v>0</v>
      </c>
      <c r="N30" s="21">
        <f t="shared" si="5"/>
        <v>0</v>
      </c>
      <c r="O30" s="18">
        <f>(SQRT(4*O29*O29*vB*vB + 'Drilling Spec'!$C$48*O29 + WB*('Drilling Spec'!$C$49 + 2*lB*vB*(sB*WB + 2*vB*N30/(1+eB)) + 'Drilling Spec'!$C$50)) - 'Drilling Spec'!$C$51)/(2*vB)</f>
        <v>0</v>
      </c>
      <c r="P30" s="18">
        <f>IFERROR(((S30-'Drilling Spec'!$C$30)/'Drilling Spec'!$C$31)*'Drilling Spec'!$C$32,0)</f>
        <v>0</v>
      </c>
      <c r="Q30" s="18">
        <f t="shared" si="15"/>
        <v>0</v>
      </c>
      <c r="R30" s="18"/>
      <c r="S30" s="26" t="str">
        <f>IF(AND(OR(T29=0,T29=""),M30=0),IF(M31=0,"",'Drilling Spec'!$C$30),O30)</f>
        <v/>
      </c>
      <c r="U30" s="15">
        <f>E30*'Drilling Spec'!$C$22 + L30*'Drilling Spec'!$C$23</f>
        <v>0.4809756097560976</v>
      </c>
      <c r="V30" s="15">
        <f t="shared" si="16"/>
        <v>7.6956097560975643</v>
      </c>
      <c r="W30" s="15">
        <f t="shared" si="6"/>
        <v>4.3043902439024366</v>
      </c>
      <c r="X30" s="10"/>
      <c r="Y30" s="30">
        <f>IF(W30&lt;U31,'Drilling Spec'!$C$35,0)</f>
        <v>0</v>
      </c>
      <c r="AA30" s="4">
        <f t="shared" si="19"/>
        <v>28</v>
      </c>
      <c r="AB30" s="10"/>
      <c r="AC30" s="30">
        <f>IF('04-07-25-Scen5-WorstCargoJIT'!K31&gt;'04-07-25-Scen5-WorstCargoJIT'!AA30,'Drilling Spec'!$C$36,)</f>
        <v>0</v>
      </c>
      <c r="AE30" s="18">
        <f>(I30-'Drilling Spec'!$C$26)/'Drilling Spec'!$C$38</f>
        <v>60.790394259415727</v>
      </c>
      <c r="AF30" s="18">
        <f t="shared" si="7"/>
        <v>3.1102148578879536</v>
      </c>
      <c r="AG30" s="34">
        <f t="shared" si="8"/>
        <v>20.790394259415727</v>
      </c>
      <c r="AH30" s="10"/>
      <c r="AI30" s="26">
        <f>IF(C30="Camp Closed",AG30,IF(AG30&lt;'Drilling Spec'!$C$39,,'Drilling Spec'!$C$39))</f>
        <v>20</v>
      </c>
      <c r="AL30" s="16">
        <f t="shared" si="9"/>
        <v>-434.74236555649435</v>
      </c>
      <c r="AM30" s="16" t="e">
        <f t="shared" si="10"/>
        <v>#N/A</v>
      </c>
      <c r="AN30">
        <f>-'Drilling Spec'!$C$29</f>
        <v>-720</v>
      </c>
      <c r="AO30">
        <f>-'Drilling Spec'!$C$27</f>
        <v>-624</v>
      </c>
      <c r="AP30">
        <f>-'Drilling Spec'!$C$28</f>
        <v>-688</v>
      </c>
      <c r="AQ30" t="e">
        <f t="shared" si="11"/>
        <v>#N/A</v>
      </c>
      <c r="AR30" t="e">
        <f>IF(X30=0,NA(),-'Drilling Spec'!$C$29*0.1)</f>
        <v>#N/A</v>
      </c>
      <c r="AS30" t="e">
        <f>IF(Y30=0,NA(),-'Drilling Spec'!$C$29*0.1)</f>
        <v>#N/A</v>
      </c>
      <c r="AT30" t="e">
        <f>IF(AB30=0,NA(),-'Drilling Spec'!$C$29*0.2)</f>
        <v>#N/A</v>
      </c>
      <c r="AU30" t="e">
        <f>IF(AC30=0,NA(),-'Drilling Spec'!$C$29*0.2)</f>
        <v>#N/A</v>
      </c>
      <c r="AV30" t="e">
        <f>IF(AH30=0,NA(),-'Drilling Spec'!$C$29*0.3)</f>
        <v>#N/A</v>
      </c>
      <c r="AW30">
        <f>IF(AI30=0,NA(),-'Drilling Spec'!$C$29*0.3)</f>
        <v>-216</v>
      </c>
      <c r="AX30" s="29">
        <f t="shared" si="12"/>
        <v>4.3043902439024366</v>
      </c>
      <c r="AY30" s="29">
        <f t="shared" si="13"/>
        <v>4.3505089629003777</v>
      </c>
      <c r="AZ30" s="29">
        <f t="shared" si="17"/>
        <v>20.790394259415727</v>
      </c>
      <c r="BS30" s="35"/>
      <c r="BT30" s="39"/>
      <c r="BU30" s="39"/>
      <c r="BV30" s="39"/>
      <c r="BW30" s="39"/>
      <c r="BX30" s="39"/>
      <c r="BY30" s="39"/>
      <c r="BZ30" s="39"/>
      <c r="CA30" s="39"/>
    </row>
    <row r="31" spans="1:79" x14ac:dyDescent="0.35">
      <c r="A31" s="28">
        <f t="shared" si="18"/>
        <v>46001</v>
      </c>
      <c r="B31" t="str">
        <f t="shared" si="0"/>
        <v>Wed</v>
      </c>
      <c r="C31" s="10" t="s">
        <v>9</v>
      </c>
      <c r="D31" s="10">
        <v>24</v>
      </c>
      <c r="E31" s="4">
        <f t="shared" si="1"/>
        <v>24</v>
      </c>
      <c r="F31" s="4">
        <f t="shared" si="2"/>
        <v>408</v>
      </c>
      <c r="G31" s="4">
        <f t="shared" si="3"/>
        <v>1440</v>
      </c>
      <c r="H31" s="15">
        <f>(SQRT(4*I30*I30*V*V + 'Drilling Spec'!$C$42*I30 + W*('Drilling Spec'!$C$43 + 2*l*V*(s*W + 2*V*G31/(1+e)) + 'Drilling Spec'!$C$44)) - 'Drilling Spec'!$C$45)/(2*V)</f>
        <v>453.04894389158022</v>
      </c>
      <c r="I31" s="23">
        <f>IF(AND(OR(I30=0,I30=""),F31=0),IF(F32=0,"",'Drilling Spec'!$C$26),H31)</f>
        <v>453.04894389158022</v>
      </c>
      <c r="J31" s="16">
        <f>MAX(0,I31-'Drilling Spec'!$C$30)</f>
        <v>373.04894389158022</v>
      </c>
      <c r="K31" s="18">
        <f>IFERROR(J31/'Drilling Spec'!$C$31,0)</f>
        <v>24.869929592772014</v>
      </c>
      <c r="L31" s="21">
        <f t="shared" si="4"/>
        <v>0</v>
      </c>
      <c r="M31" s="4">
        <f t="shared" si="14"/>
        <v>0</v>
      </c>
      <c r="N31" s="21">
        <f t="shared" si="5"/>
        <v>0</v>
      </c>
      <c r="O31" s="18">
        <f>(SQRT(4*O30*O30*vB*vB + 'Drilling Spec'!$C$48*O30 + WB*('Drilling Spec'!$C$49 + 2*lB*vB*(sB*WB + 2*vB*N31/(1+eB)) + 'Drilling Spec'!$C$50)) - 'Drilling Spec'!$C$51)/(2*vB)</f>
        <v>0</v>
      </c>
      <c r="P31" s="18">
        <f>IFERROR(((S31-'Drilling Spec'!$C$30)/'Drilling Spec'!$C$31)*'Drilling Spec'!$C$32,0)</f>
        <v>0</v>
      </c>
      <c r="Q31" s="18">
        <f t="shared" si="15"/>
        <v>0</v>
      </c>
      <c r="R31" s="18"/>
      <c r="S31" s="26" t="str">
        <f>IF(AND(OR(T30=0,T30=""),M31=0),IF(M32=0,"",'Drilling Spec'!$C$30),O31)</f>
        <v/>
      </c>
      <c r="U31" s="15">
        <f>E31*'Drilling Spec'!$C$22 + L31*'Drilling Spec'!$C$23</f>
        <v>0.4809756097560976</v>
      </c>
      <c r="V31" s="15">
        <f t="shared" si="16"/>
        <v>8.1765853658536614</v>
      </c>
      <c r="W31" s="15">
        <f t="shared" si="6"/>
        <v>3.8234146341463391</v>
      </c>
      <c r="X31" s="10"/>
      <c r="Y31" s="30">
        <f>IF(W31&lt;U32,'Drilling Spec'!$C$35,0)</f>
        <v>0</v>
      </c>
      <c r="AA31" s="4">
        <f t="shared" si="19"/>
        <v>28</v>
      </c>
      <c r="AB31" s="10"/>
      <c r="AC31" s="30">
        <f>IF('04-07-25-Scen5-WorstCargoJIT'!K32&gt;'04-07-25-Scen5-WorstCargoJIT'!AA31,'Drilling Spec'!$C$36,)</f>
        <v>0</v>
      </c>
      <c r="AE31" s="18">
        <f>(I31-'Drilling Spec'!$C$26)/'Drilling Spec'!$C$38</f>
        <v>63.841490648596704</v>
      </c>
      <c r="AF31" s="18">
        <f t="shared" si="7"/>
        <v>3.0510963891809766</v>
      </c>
      <c r="AG31" s="34">
        <f t="shared" si="8"/>
        <v>3.8414906485967037</v>
      </c>
      <c r="AH31" s="10"/>
      <c r="AI31" s="26">
        <f>IF(C31="Camp Closed",AG31,IF(AG31&lt;'Drilling Spec'!$C$39,,'Drilling Spec'!$C$39))</f>
        <v>0</v>
      </c>
      <c r="AL31" s="16">
        <f t="shared" si="9"/>
        <v>-453.04894389158022</v>
      </c>
      <c r="AM31" s="16" t="e">
        <f t="shared" si="10"/>
        <v>#N/A</v>
      </c>
      <c r="AN31">
        <f>-'Drilling Spec'!$C$29</f>
        <v>-720</v>
      </c>
      <c r="AO31">
        <f>-'Drilling Spec'!$C$27</f>
        <v>-624</v>
      </c>
      <c r="AP31">
        <f>-'Drilling Spec'!$C$28</f>
        <v>-688</v>
      </c>
      <c r="AQ31" t="e">
        <f t="shared" si="11"/>
        <v>#N/A</v>
      </c>
      <c r="AR31" t="e">
        <f>IF(X31=0,NA(),-'Drilling Spec'!$C$29*0.1)</f>
        <v>#N/A</v>
      </c>
      <c r="AS31" t="e">
        <f>IF(Y31=0,NA(),-'Drilling Spec'!$C$29*0.1)</f>
        <v>#N/A</v>
      </c>
      <c r="AT31" t="e">
        <f>IF(AB31=0,NA(),-'Drilling Spec'!$C$29*0.2)</f>
        <v>#N/A</v>
      </c>
      <c r="AU31" t="e">
        <f>IF(AC31=0,NA(),-'Drilling Spec'!$C$29*0.2)</f>
        <v>#N/A</v>
      </c>
      <c r="AV31" t="e">
        <f>IF(AH31=0,NA(),-'Drilling Spec'!$C$29*0.3)</f>
        <v>#N/A</v>
      </c>
      <c r="AW31" t="e">
        <f>IF(AI31=0,NA(),-'Drilling Spec'!$C$29*0.3)</f>
        <v>#N/A</v>
      </c>
      <c r="AX31" s="29">
        <f t="shared" si="12"/>
        <v>3.8234146341463391</v>
      </c>
      <c r="AY31" s="29">
        <f t="shared" si="13"/>
        <v>3.1300704072279864</v>
      </c>
      <c r="AZ31" s="29">
        <f t="shared" si="17"/>
        <v>3.8414906485967037</v>
      </c>
      <c r="BS31" s="35"/>
      <c r="BT31" s="35"/>
      <c r="BU31" s="39" t="s">
        <v>189</v>
      </c>
      <c r="BV31" s="39"/>
      <c r="BW31" s="39"/>
      <c r="BX31" s="39"/>
      <c r="BY31" s="39"/>
      <c r="BZ31" s="39"/>
      <c r="CA31" s="39"/>
    </row>
    <row r="32" spans="1:79" x14ac:dyDescent="0.35">
      <c r="A32" s="28">
        <f t="shared" si="18"/>
        <v>46002</v>
      </c>
      <c r="B32" t="str">
        <f t="shared" si="0"/>
        <v>Thu</v>
      </c>
      <c r="C32" s="10" t="s">
        <v>9</v>
      </c>
      <c r="D32" s="10">
        <v>24</v>
      </c>
      <c r="E32" s="4">
        <f t="shared" si="1"/>
        <v>24</v>
      </c>
      <c r="F32" s="4">
        <f t="shared" si="2"/>
        <v>432</v>
      </c>
      <c r="G32" s="4">
        <f t="shared" si="3"/>
        <v>1440</v>
      </c>
      <c r="H32" s="15">
        <f>(SQRT(4*I31*I31*V*V + 'Drilling Spec'!$C$42*I31 + W*('Drilling Spec'!$C$43 + 2*l*V*(s*W + 2*V*G32/(1+e)) + 'Drilling Spec'!$C$44)) - 'Drilling Spec'!$C$45)/(2*V)</f>
        <v>471.02030076512392</v>
      </c>
      <c r="I32" s="23">
        <f>IF(AND(OR(I31=0,I31=""),F32=0),IF(F33=0,"",'Drilling Spec'!$C$26),H32)</f>
        <v>471.02030076512392</v>
      </c>
      <c r="J32" s="16">
        <f>MAX(0,I32-'Drilling Spec'!$C$30)</f>
        <v>391.02030076512392</v>
      </c>
      <c r="K32" s="18">
        <f>IFERROR(J32/'Drilling Spec'!$C$31,0)</f>
        <v>26.068020051008261</v>
      </c>
      <c r="L32" s="21">
        <f t="shared" si="4"/>
        <v>0</v>
      </c>
      <c r="M32" s="4">
        <f t="shared" si="14"/>
        <v>0</v>
      </c>
      <c r="N32" s="21">
        <f t="shared" si="5"/>
        <v>0</v>
      </c>
      <c r="O32" s="18">
        <f>(SQRT(4*O31*O31*vB*vB + 'Drilling Spec'!$C$48*O31 + WB*('Drilling Spec'!$C$49 + 2*lB*vB*(sB*WB + 2*vB*N32/(1+eB)) + 'Drilling Spec'!$C$50)) - 'Drilling Spec'!$C$51)/(2*vB)</f>
        <v>0</v>
      </c>
      <c r="P32" s="18">
        <f>IFERROR(((S32-'Drilling Spec'!$C$30)/'Drilling Spec'!$C$31)*'Drilling Spec'!$C$32,0)</f>
        <v>0</v>
      </c>
      <c r="Q32" s="18">
        <f t="shared" si="15"/>
        <v>0</v>
      </c>
      <c r="R32" s="18"/>
      <c r="S32" s="26" t="str">
        <f>IF(AND(OR(T31=0,T31=""),M32=0),IF(M33=0,"",'Drilling Spec'!$C$30),O32)</f>
        <v/>
      </c>
      <c r="U32" s="15">
        <f>E32*'Drilling Spec'!$C$22 + L32*'Drilling Spec'!$C$23</f>
        <v>0.4809756097560976</v>
      </c>
      <c r="V32" s="15">
        <f t="shared" si="16"/>
        <v>8.6575609756097585</v>
      </c>
      <c r="W32" s="15">
        <f t="shared" si="6"/>
        <v>3.3424390243902415</v>
      </c>
      <c r="X32" s="10"/>
      <c r="Y32" s="30">
        <f>IF(W32&lt;U33,'Drilling Spec'!$C$35,0)</f>
        <v>0</v>
      </c>
      <c r="AA32" s="4">
        <f t="shared" si="19"/>
        <v>28</v>
      </c>
      <c r="AB32" s="10"/>
      <c r="AC32" s="30">
        <f>IF('04-07-25-Scen5-WorstCargoJIT'!K33&gt;'04-07-25-Scen5-WorstCargoJIT'!AA32,'Drilling Spec'!$C$36,)</f>
        <v>0</v>
      </c>
      <c r="AE32" s="18">
        <f>(I32-'Drilling Spec'!$C$26)/'Drilling Spec'!$C$38</f>
        <v>66.836716794187325</v>
      </c>
      <c r="AF32" s="18">
        <f t="shared" si="7"/>
        <v>2.9952261455906211</v>
      </c>
      <c r="AG32" s="34">
        <f t="shared" si="8"/>
        <v>6.8367167941873248</v>
      </c>
      <c r="AH32" s="10"/>
      <c r="AI32" s="26">
        <f>IF(C32="Camp Closed",AG32,IF(AG32&lt;'Drilling Spec'!$C$39,,'Drilling Spec'!$C$39))</f>
        <v>0</v>
      </c>
      <c r="AL32" s="16">
        <f t="shared" si="9"/>
        <v>-471.02030076512392</v>
      </c>
      <c r="AM32" s="16" t="e">
        <f t="shared" si="10"/>
        <v>#N/A</v>
      </c>
      <c r="AN32">
        <f>-'Drilling Spec'!$C$29</f>
        <v>-720</v>
      </c>
      <c r="AO32">
        <f>-'Drilling Spec'!$C$27</f>
        <v>-624</v>
      </c>
      <c r="AP32">
        <f>-'Drilling Spec'!$C$28</f>
        <v>-688</v>
      </c>
      <c r="AQ32" t="e">
        <f t="shared" si="11"/>
        <v>#N/A</v>
      </c>
      <c r="AR32" t="e">
        <f>IF(X32=0,NA(),-'Drilling Spec'!$C$29*0.1)</f>
        <v>#N/A</v>
      </c>
      <c r="AS32" t="e">
        <f>IF(Y32=0,NA(),-'Drilling Spec'!$C$29*0.1)</f>
        <v>#N/A</v>
      </c>
      <c r="AT32" t="e">
        <f>IF(AB32=0,NA(),-'Drilling Spec'!$C$29*0.2)</f>
        <v>#N/A</v>
      </c>
      <c r="AU32" t="e">
        <f>IF(AC32=0,NA(),-'Drilling Spec'!$C$29*0.2)</f>
        <v>#N/A</v>
      </c>
      <c r="AV32" t="e">
        <f>IF(AH32=0,NA(),-'Drilling Spec'!$C$29*0.3)</f>
        <v>#N/A</v>
      </c>
      <c r="AW32" t="e">
        <f>IF(AI32=0,NA(),-'Drilling Spec'!$C$29*0.3)</f>
        <v>#N/A</v>
      </c>
      <c r="AX32" s="29">
        <f t="shared" si="12"/>
        <v>3.3424390243902415</v>
      </c>
      <c r="AY32" s="29">
        <f t="shared" si="13"/>
        <v>1.9319799489917386</v>
      </c>
      <c r="AZ32" s="29">
        <f t="shared" si="17"/>
        <v>6.8367167941873248</v>
      </c>
      <c r="BS32" s="35"/>
      <c r="BT32" s="35"/>
      <c r="BU32" s="39"/>
      <c r="BV32" s="39"/>
      <c r="BW32" s="39"/>
      <c r="BX32" s="39"/>
      <c r="BY32" s="39"/>
      <c r="BZ32" s="39"/>
      <c r="CA32" s="39"/>
    </row>
    <row r="33" spans="1:79" x14ac:dyDescent="0.35">
      <c r="A33" s="28">
        <f t="shared" si="18"/>
        <v>46003</v>
      </c>
      <c r="B33" t="str">
        <f t="shared" si="0"/>
        <v>Fri</v>
      </c>
      <c r="C33" s="10" t="s">
        <v>9</v>
      </c>
      <c r="D33" s="10">
        <v>24</v>
      </c>
      <c r="E33" s="4">
        <f t="shared" si="1"/>
        <v>24</v>
      </c>
      <c r="F33" s="4">
        <f t="shared" si="2"/>
        <v>456</v>
      </c>
      <c r="G33" s="4">
        <f t="shared" si="3"/>
        <v>1440</v>
      </c>
      <c r="H33" s="15">
        <f>(SQRT(4*I32*I32*V*V + 'Drilling Spec'!$C$42*I32 + W*('Drilling Spec'!$C$43 + 2*l*V*(s*W + 2*V*G33/(1+e)) + 'Drilling Spec'!$C$44)) - 'Drilling Spec'!$C$45)/(2*V)</f>
        <v>488.67420360675374</v>
      </c>
      <c r="I33" s="23">
        <f>IF(AND(OR(I32=0,I32=""),F33=0),IF(F34=0,"",'Drilling Spec'!$C$26),H33)</f>
        <v>488.67420360675374</v>
      </c>
      <c r="J33" s="16">
        <f>MAX(0,I33-'Drilling Spec'!$C$30)</f>
        <v>408.67420360675374</v>
      </c>
      <c r="K33" s="18">
        <f>IFERROR(J33/'Drilling Spec'!$C$31,0)</f>
        <v>27.244946907116915</v>
      </c>
      <c r="L33" s="21">
        <f t="shared" si="4"/>
        <v>0</v>
      </c>
      <c r="M33" s="4">
        <f t="shared" si="14"/>
        <v>0</v>
      </c>
      <c r="N33" s="21">
        <f t="shared" si="5"/>
        <v>0</v>
      </c>
      <c r="O33" s="18">
        <f>(SQRT(4*O32*O32*vB*vB + 'Drilling Spec'!$C$48*O32 + WB*('Drilling Spec'!$C$49 + 2*lB*vB*(sB*WB + 2*vB*N33/(1+eB)) + 'Drilling Spec'!$C$50)) - 'Drilling Spec'!$C$51)/(2*vB)</f>
        <v>0</v>
      </c>
      <c r="P33" s="18">
        <f>IFERROR(((S33-'Drilling Spec'!$C$30)/'Drilling Spec'!$C$31)*'Drilling Spec'!$C$32,0)</f>
        <v>0</v>
      </c>
      <c r="Q33" s="18">
        <f t="shared" si="15"/>
        <v>0</v>
      </c>
      <c r="R33" s="18"/>
      <c r="S33" s="26" t="str">
        <f>IF(AND(OR(T32=0,T32=""),M33=0),IF(M34=0,"",'Drilling Spec'!$C$30),O33)</f>
        <v/>
      </c>
      <c r="U33" s="15">
        <f>E33*'Drilling Spec'!$C$22 + L33*'Drilling Spec'!$C$23</f>
        <v>0.4809756097560976</v>
      </c>
      <c r="V33" s="15">
        <f t="shared" si="16"/>
        <v>9.1385365853658556</v>
      </c>
      <c r="W33" s="15">
        <f t="shared" si="6"/>
        <v>2.861463414634144</v>
      </c>
      <c r="X33" s="10"/>
      <c r="Y33" s="30">
        <f>IF(W33&lt;U34,'Drilling Spec'!$C$35,0)</f>
        <v>0</v>
      </c>
      <c r="AA33" s="4">
        <f t="shared" si="19"/>
        <v>28</v>
      </c>
      <c r="AB33" s="10"/>
      <c r="AC33" s="30">
        <f>IF('04-07-25-Scen5-WorstCargoJIT'!K34&gt;'04-07-25-Scen5-WorstCargoJIT'!AA33,'Drilling Spec'!$C$36,)</f>
        <v>6</v>
      </c>
      <c r="AE33" s="18">
        <f>(I33-'Drilling Spec'!$C$26)/'Drilling Spec'!$C$38</f>
        <v>69.779033934458951</v>
      </c>
      <c r="AF33" s="18">
        <f t="shared" si="7"/>
        <v>2.9423171402716264</v>
      </c>
      <c r="AG33" s="34">
        <f t="shared" si="8"/>
        <v>9.7790339344589512</v>
      </c>
      <c r="AH33" s="10"/>
      <c r="AI33" s="26">
        <f>IF(C33="Camp Closed",AG33,IF(AG33&lt;'Drilling Spec'!$C$39,,'Drilling Spec'!$C$39))</f>
        <v>0</v>
      </c>
      <c r="AL33" s="16">
        <f t="shared" si="9"/>
        <v>-488.67420360675374</v>
      </c>
      <c r="AM33" s="16" t="e">
        <f t="shared" si="10"/>
        <v>#N/A</v>
      </c>
      <c r="AN33">
        <f>-'Drilling Spec'!$C$29</f>
        <v>-720</v>
      </c>
      <c r="AO33">
        <f>-'Drilling Spec'!$C$27</f>
        <v>-624</v>
      </c>
      <c r="AP33">
        <f>-'Drilling Spec'!$C$28</f>
        <v>-688</v>
      </c>
      <c r="AQ33" t="e">
        <f t="shared" si="11"/>
        <v>#N/A</v>
      </c>
      <c r="AR33" t="e">
        <f>IF(X33=0,NA(),-'Drilling Spec'!$C$29*0.1)</f>
        <v>#N/A</v>
      </c>
      <c r="AS33" t="e">
        <f>IF(Y33=0,NA(),-'Drilling Spec'!$C$29*0.1)</f>
        <v>#N/A</v>
      </c>
      <c r="AT33" t="e">
        <f>IF(AB33=0,NA(),-'Drilling Spec'!$C$29*0.2)</f>
        <v>#N/A</v>
      </c>
      <c r="AU33">
        <f>IF(AC33=0,NA(),-'Drilling Spec'!$C$29*0.2)</f>
        <v>-144</v>
      </c>
      <c r="AV33" t="e">
        <f>IF(AH33=0,NA(),-'Drilling Spec'!$C$29*0.3)</f>
        <v>#N/A</v>
      </c>
      <c r="AW33" t="e">
        <f>IF(AI33=0,NA(),-'Drilling Spec'!$C$29*0.3)</f>
        <v>#N/A</v>
      </c>
      <c r="AX33" s="29">
        <f t="shared" si="12"/>
        <v>2.861463414634144</v>
      </c>
      <c r="AY33" s="29">
        <f t="shared" si="13"/>
        <v>0.75505309288308453</v>
      </c>
      <c r="AZ33" s="29">
        <f t="shared" si="17"/>
        <v>9.7790339344589512</v>
      </c>
      <c r="BS33" s="35"/>
      <c r="BT33" s="35"/>
      <c r="BU33" s="38" t="s">
        <v>191</v>
      </c>
      <c r="BV33" s="38"/>
      <c r="BW33" s="38"/>
      <c r="BX33" s="38"/>
      <c r="BY33" s="38"/>
      <c r="BZ33" s="38"/>
      <c r="CA33" s="38"/>
    </row>
    <row r="34" spans="1:79" x14ac:dyDescent="0.35">
      <c r="A34" s="28">
        <f t="shared" si="18"/>
        <v>46004</v>
      </c>
      <c r="B34" t="str">
        <f t="shared" si="0"/>
        <v>Sat</v>
      </c>
      <c r="C34" s="10" t="s">
        <v>9</v>
      </c>
      <c r="D34" s="10">
        <v>24</v>
      </c>
      <c r="E34" s="4">
        <f t="shared" si="1"/>
        <v>24</v>
      </c>
      <c r="F34" s="4">
        <f t="shared" si="2"/>
        <v>480</v>
      </c>
      <c r="G34" s="4">
        <f t="shared" si="3"/>
        <v>1440</v>
      </c>
      <c r="H34" s="15">
        <f>(SQRT(4*I33*I33*V*V + 'Drilling Spec'!$C$42*I33 + W*('Drilling Spec'!$C$43 + 2*l*V*(s*W + 2*V*G34/(1+e)) + 'Drilling Spec'!$C$44)) - 'Drilling Spec'!$C$45)/(2*V)</f>
        <v>506.02690367370093</v>
      </c>
      <c r="I34" s="23">
        <f>IF(AND(OR(I33=0,I33=""),F34=0),IF(F35=0,"",'Drilling Spec'!$C$26),H34)</f>
        <v>506.02690367370093</v>
      </c>
      <c r="J34" s="16">
        <f>MAX(0,I34-'Drilling Spec'!$C$30)</f>
        <v>426.02690367370093</v>
      </c>
      <c r="K34" s="18">
        <f>IFERROR(J34/'Drilling Spec'!$C$31,0)</f>
        <v>28.401793578246728</v>
      </c>
      <c r="L34" s="21">
        <f t="shared" si="4"/>
        <v>0</v>
      </c>
      <c r="M34" s="4">
        <f t="shared" si="14"/>
        <v>0</v>
      </c>
      <c r="N34" s="21">
        <f t="shared" si="5"/>
        <v>0</v>
      </c>
      <c r="O34" s="18">
        <f>(SQRT(4*O33*O33*vB*vB + 'Drilling Spec'!$C$48*O33 + WB*('Drilling Spec'!$C$49 + 2*lB*vB*(sB*WB + 2*vB*N34/(1+eB)) + 'Drilling Spec'!$C$50)) - 'Drilling Spec'!$C$51)/(2*vB)</f>
        <v>0</v>
      </c>
      <c r="P34" s="18">
        <f>IFERROR(((S34-'Drilling Spec'!$C$30)/'Drilling Spec'!$C$31)*'Drilling Spec'!$C$32,0)</f>
        <v>0</v>
      </c>
      <c r="Q34" s="18">
        <f t="shared" si="15"/>
        <v>0</v>
      </c>
      <c r="R34" s="18"/>
      <c r="S34" s="26" t="str">
        <f>IF(AND(OR(T33=0,T33=""),M34=0),IF(M35=0,"",'Drilling Spec'!$C$30),O34)</f>
        <v/>
      </c>
      <c r="U34" s="15">
        <f>E34*'Drilling Spec'!$C$22 + L34*'Drilling Spec'!$C$23</f>
        <v>0.4809756097560976</v>
      </c>
      <c r="V34" s="15">
        <f t="shared" si="16"/>
        <v>9.6195121951219527</v>
      </c>
      <c r="W34" s="15">
        <f t="shared" si="6"/>
        <v>2.3804878048780465</v>
      </c>
      <c r="X34" s="10"/>
      <c r="Y34" s="30">
        <f>IF(W34&lt;U35,'Drilling Spec'!$C$35,0)</f>
        <v>0</v>
      </c>
      <c r="AA34" s="4">
        <f t="shared" si="19"/>
        <v>34</v>
      </c>
      <c r="AB34" s="10"/>
      <c r="AC34" s="30">
        <f>IF('04-07-25-Scen5-WorstCargoJIT'!K35&gt;'04-07-25-Scen5-WorstCargoJIT'!AA34,'Drilling Spec'!$C$36,)</f>
        <v>0</v>
      </c>
      <c r="AE34" s="18">
        <f>(I34-'Drilling Spec'!$C$26)/'Drilling Spec'!$C$38</f>
        <v>72.671150612283483</v>
      </c>
      <c r="AF34" s="18">
        <f t="shared" si="7"/>
        <v>2.8921166778245322</v>
      </c>
      <c r="AG34" s="34">
        <f t="shared" si="8"/>
        <v>12.671150612283483</v>
      </c>
      <c r="AH34" s="10"/>
      <c r="AI34" s="26">
        <f>IF(C34="Camp Closed",AG34,IF(AG34&lt;'Drilling Spec'!$C$39,,'Drilling Spec'!$C$39))</f>
        <v>0</v>
      </c>
      <c r="AL34" s="16">
        <f t="shared" si="9"/>
        <v>-506.02690367370093</v>
      </c>
      <c r="AM34" s="16" t="e">
        <f t="shared" si="10"/>
        <v>#N/A</v>
      </c>
      <c r="AN34">
        <f>-'Drilling Spec'!$C$29</f>
        <v>-720</v>
      </c>
      <c r="AO34">
        <f>-'Drilling Spec'!$C$27</f>
        <v>-624</v>
      </c>
      <c r="AP34">
        <f>-'Drilling Spec'!$C$28</f>
        <v>-688</v>
      </c>
      <c r="AQ34" t="e">
        <f t="shared" si="11"/>
        <v>#N/A</v>
      </c>
      <c r="AR34" t="e">
        <f>IF(X34=0,NA(),-'Drilling Spec'!$C$29*0.1)</f>
        <v>#N/A</v>
      </c>
      <c r="AS34" t="e">
        <f>IF(Y34=0,NA(),-'Drilling Spec'!$C$29*0.1)</f>
        <v>#N/A</v>
      </c>
      <c r="AT34" t="e">
        <f>IF(AB34=0,NA(),-'Drilling Spec'!$C$29*0.2)</f>
        <v>#N/A</v>
      </c>
      <c r="AU34" t="e">
        <f>IF(AC34=0,NA(),-'Drilling Spec'!$C$29*0.2)</f>
        <v>#N/A</v>
      </c>
      <c r="AV34" t="e">
        <f>IF(AH34=0,NA(),-'Drilling Spec'!$C$29*0.3)</f>
        <v>#N/A</v>
      </c>
      <c r="AW34" t="e">
        <f>IF(AI34=0,NA(),-'Drilling Spec'!$C$29*0.3)</f>
        <v>#N/A</v>
      </c>
      <c r="AX34" s="29">
        <f t="shared" si="12"/>
        <v>2.3804878048780465</v>
      </c>
      <c r="AY34" s="29">
        <f t="shared" si="13"/>
        <v>5.5982064217532717</v>
      </c>
      <c r="AZ34" s="29">
        <f t="shared" si="17"/>
        <v>12.671150612283483</v>
      </c>
      <c r="BS34" s="35"/>
      <c r="BT34" s="35"/>
      <c r="BU34" s="38"/>
      <c r="BV34" s="38"/>
      <c r="BW34" s="38"/>
      <c r="BX34" s="38"/>
      <c r="BY34" s="38"/>
      <c r="BZ34" s="38"/>
      <c r="CA34" s="38"/>
    </row>
    <row r="35" spans="1:79" x14ac:dyDescent="0.35">
      <c r="A35" s="28">
        <f t="shared" si="18"/>
        <v>46005</v>
      </c>
      <c r="B35" t="str">
        <f t="shared" si="0"/>
        <v>Sun</v>
      </c>
      <c r="C35" s="10" t="s">
        <v>7</v>
      </c>
      <c r="D35" s="10">
        <v>0</v>
      </c>
      <c r="E35" s="4">
        <f t="shared" si="1"/>
        <v>0</v>
      </c>
      <c r="F35" s="4">
        <f t="shared" si="2"/>
        <v>480</v>
      </c>
      <c r="G35" s="4">
        <f t="shared" si="3"/>
        <v>0</v>
      </c>
      <c r="H35" s="15">
        <f>(SQRT(4*I34*I34*V*V + 'Drilling Spec'!$C$42*I34 + W*('Drilling Spec'!$C$43 + 2*l*V*(s*W + 2*V*G35/(1+e)) + 'Drilling Spec'!$C$44)) - 'Drilling Spec'!$C$45)/(2*V)</f>
        <v>506.02690367370093</v>
      </c>
      <c r="I35" s="23">
        <f>IF(AND(OR(I34=0,I34=""),F35=0),IF(F36=0,"",'Drilling Spec'!$C$26),H35)</f>
        <v>506.02690367370093</v>
      </c>
      <c r="J35" s="16">
        <f>MAX(0,I35-'Drilling Spec'!$C$30)</f>
        <v>426.02690367370093</v>
      </c>
      <c r="K35" s="18">
        <f>IFERROR(J35/'Drilling Spec'!$C$31,0)</f>
        <v>28.401793578246728</v>
      </c>
      <c r="L35" s="21">
        <f t="shared" si="4"/>
        <v>0</v>
      </c>
      <c r="M35" s="4">
        <f t="shared" si="14"/>
        <v>0</v>
      </c>
      <c r="N35" s="21">
        <f t="shared" si="5"/>
        <v>0</v>
      </c>
      <c r="O35" s="18">
        <f>(SQRT(4*O34*O34*vB*vB + 'Drilling Spec'!$C$48*O34 + WB*('Drilling Spec'!$C$49 + 2*lB*vB*(sB*WB + 2*vB*N35/(1+eB)) + 'Drilling Spec'!$C$50)) - 'Drilling Spec'!$C$51)/(2*vB)</f>
        <v>0</v>
      </c>
      <c r="P35" s="18">
        <f>IFERROR(((S35-'Drilling Spec'!$C$30)/'Drilling Spec'!$C$31)*'Drilling Spec'!$C$32,0)</f>
        <v>0</v>
      </c>
      <c r="Q35" s="18">
        <f t="shared" si="15"/>
        <v>0</v>
      </c>
      <c r="R35" s="18"/>
      <c r="S35" s="26" t="str">
        <f>IF(AND(OR(T34=0,T34=""),M35=0),IF(M36=0,"",'Drilling Spec'!$C$30),O35)</f>
        <v/>
      </c>
      <c r="U35" s="15">
        <f>E35*'Drilling Spec'!$C$22 + L35*'Drilling Spec'!$C$23</f>
        <v>0</v>
      </c>
      <c r="V35" s="15">
        <f t="shared" si="16"/>
        <v>9.6195121951219527</v>
      </c>
      <c r="W35" s="15">
        <f t="shared" si="6"/>
        <v>2.3804878048780465</v>
      </c>
      <c r="X35" s="10"/>
      <c r="Y35" s="30">
        <f>IF(W35&lt;U36,'Drilling Spec'!$C$35,0)</f>
        <v>0</v>
      </c>
      <c r="AA35" s="4">
        <f t="shared" si="19"/>
        <v>34</v>
      </c>
      <c r="AB35" s="10"/>
      <c r="AC35" s="30">
        <f>IF('04-07-25-Scen5-WorstCargoJIT'!K36&gt;'04-07-25-Scen5-WorstCargoJIT'!AA35,'Drilling Spec'!$C$36,)</f>
        <v>0</v>
      </c>
      <c r="AE35" s="18">
        <f>(I35-'Drilling Spec'!$C$26)/'Drilling Spec'!$C$38</f>
        <v>72.671150612283483</v>
      </c>
      <c r="AF35" s="18">
        <f t="shared" si="7"/>
        <v>0</v>
      </c>
      <c r="AG35" s="34">
        <f t="shared" si="8"/>
        <v>12.671150612283483</v>
      </c>
      <c r="AH35" s="10"/>
      <c r="AI35" s="26">
        <f>IF(C35="Camp Closed",AG35,IF(AG35&lt;'Drilling Spec'!$C$39,,'Drilling Spec'!$C$39))</f>
        <v>0</v>
      </c>
      <c r="AL35" s="16">
        <f t="shared" si="9"/>
        <v>-506.02690367370093</v>
      </c>
      <c r="AM35" s="16" t="e">
        <f t="shared" si="10"/>
        <v>#N/A</v>
      </c>
      <c r="AN35">
        <f>-'Drilling Spec'!$C$29</f>
        <v>-720</v>
      </c>
      <c r="AO35">
        <f>-'Drilling Spec'!$C$27</f>
        <v>-624</v>
      </c>
      <c r="AP35">
        <f>-'Drilling Spec'!$C$28</f>
        <v>-688</v>
      </c>
      <c r="AQ35" t="e">
        <f t="shared" si="11"/>
        <v>#N/A</v>
      </c>
      <c r="AR35" t="e">
        <f>IF(X35=0,NA(),-'Drilling Spec'!$C$29*0.1)</f>
        <v>#N/A</v>
      </c>
      <c r="AS35" t="e">
        <f>IF(Y35=0,NA(),-'Drilling Spec'!$C$29*0.1)</f>
        <v>#N/A</v>
      </c>
      <c r="AT35" t="e">
        <f>IF(AB35=0,NA(),-'Drilling Spec'!$C$29*0.2)</f>
        <v>#N/A</v>
      </c>
      <c r="AU35" t="e">
        <f>IF(AC35=0,NA(),-'Drilling Spec'!$C$29*0.2)</f>
        <v>#N/A</v>
      </c>
      <c r="AV35" t="e">
        <f>IF(AH35=0,NA(),-'Drilling Spec'!$C$29*0.3)</f>
        <v>#N/A</v>
      </c>
      <c r="AW35" t="e">
        <f>IF(AI35=0,NA(),-'Drilling Spec'!$C$29*0.3)</f>
        <v>#N/A</v>
      </c>
      <c r="AX35" s="29">
        <f t="shared" si="12"/>
        <v>2.3804878048780465</v>
      </c>
      <c r="AY35" s="29">
        <f t="shared" si="13"/>
        <v>5.5982064217532717</v>
      </c>
      <c r="AZ35" s="29">
        <f t="shared" si="17"/>
        <v>12.671150612283483</v>
      </c>
      <c r="BS35" s="35"/>
      <c r="BT35" s="39" t="s">
        <v>192</v>
      </c>
      <c r="BU35" s="39"/>
      <c r="BV35" s="39"/>
      <c r="BW35" s="39"/>
      <c r="BX35" s="39"/>
      <c r="BY35" s="39"/>
      <c r="BZ35" s="39"/>
      <c r="CA35" s="39"/>
    </row>
    <row r="36" spans="1:79" x14ac:dyDescent="0.35">
      <c r="A36" s="28">
        <f t="shared" si="18"/>
        <v>46006</v>
      </c>
      <c r="B36" t="str">
        <f t="shared" si="0"/>
        <v>Mon</v>
      </c>
      <c r="C36" s="10" t="s">
        <v>9</v>
      </c>
      <c r="D36" s="10">
        <v>24</v>
      </c>
      <c r="E36" s="4">
        <f t="shared" si="1"/>
        <v>24</v>
      </c>
      <c r="F36" s="4">
        <f t="shared" si="2"/>
        <v>504</v>
      </c>
      <c r="G36" s="4">
        <f t="shared" si="3"/>
        <v>1440</v>
      </c>
      <c r="H36" s="15">
        <f>(SQRT(4*I35*I35*V*V + 'Drilling Spec'!$C$42*I35 + W*('Drilling Spec'!$C$43 + 2*l*V*(s*W + 2*V*G36/(1+e)) + 'Drilling Spec'!$C$44)) - 'Drilling Spec'!$C$45)/(2*V)</f>
        <v>523.09331123018524</v>
      </c>
      <c r="I36" s="23">
        <f>IF(AND(OR(I35=0,I35=""),F36=0),IF(F37=0,"",'Drilling Spec'!$C$26),H36)</f>
        <v>523.09331123018524</v>
      </c>
      <c r="J36" s="16">
        <f>MAX(0,I36-'Drilling Spec'!$C$30)</f>
        <v>443.09331123018524</v>
      </c>
      <c r="K36" s="18">
        <f>IFERROR(J36/'Drilling Spec'!$C$31,0)</f>
        <v>29.539554082012348</v>
      </c>
      <c r="L36" s="21">
        <f t="shared" si="4"/>
        <v>0</v>
      </c>
      <c r="M36" s="4">
        <f t="shared" si="14"/>
        <v>0</v>
      </c>
      <c r="N36" s="21">
        <f t="shared" si="5"/>
        <v>0</v>
      </c>
      <c r="O36" s="18">
        <f>(SQRT(4*O35*O35*vB*vB + 'Drilling Spec'!$C$48*O35 + WB*('Drilling Spec'!$C$49 + 2*lB*vB*(sB*WB + 2*vB*N36/(1+eB)) + 'Drilling Spec'!$C$50)) - 'Drilling Spec'!$C$51)/(2*vB)</f>
        <v>0</v>
      </c>
      <c r="P36" s="18">
        <f>IFERROR(((S36-'Drilling Spec'!$C$30)/'Drilling Spec'!$C$31)*'Drilling Spec'!$C$32,0)</f>
        <v>0</v>
      </c>
      <c r="Q36" s="18">
        <f t="shared" si="15"/>
        <v>0</v>
      </c>
      <c r="R36" s="18"/>
      <c r="S36" s="26" t="str">
        <f>IF(AND(OR(T35=0,T35=""),M36=0),IF(M37=0,"",'Drilling Spec'!$C$30),O36)</f>
        <v/>
      </c>
      <c r="U36" s="15">
        <f>E36*'Drilling Spec'!$C$22 + L36*'Drilling Spec'!$C$23</f>
        <v>0.4809756097560976</v>
      </c>
      <c r="V36" s="15">
        <f t="shared" si="16"/>
        <v>10.10048780487805</v>
      </c>
      <c r="W36" s="15">
        <f t="shared" si="6"/>
        <v>1.8995121951219489</v>
      </c>
      <c r="X36" s="10"/>
      <c r="Y36" s="30">
        <f>IF(W36&lt;U37,'Drilling Spec'!$C$35,0)</f>
        <v>0</v>
      </c>
      <c r="AA36" s="4">
        <f t="shared" si="19"/>
        <v>34</v>
      </c>
      <c r="AB36" s="10"/>
      <c r="AC36" s="30">
        <f>IF('04-07-25-Scen5-WorstCargoJIT'!K37&gt;'04-07-25-Scen5-WorstCargoJIT'!AA36,'Drilling Spec'!$C$36,)</f>
        <v>0</v>
      </c>
      <c r="AE36" s="18">
        <f>(I36-'Drilling Spec'!$C$26)/'Drilling Spec'!$C$38</f>
        <v>75.515551871697539</v>
      </c>
      <c r="AF36" s="18">
        <f t="shared" si="7"/>
        <v>2.844401259414056</v>
      </c>
      <c r="AG36" s="34">
        <f t="shared" si="8"/>
        <v>15.515551871697539</v>
      </c>
      <c r="AH36" s="10"/>
      <c r="AI36" s="26">
        <f>IF(C36="Camp Closed",AG36,IF(AG36&lt;'Drilling Spec'!$C$39,,'Drilling Spec'!$C$39))</f>
        <v>0</v>
      </c>
      <c r="AL36" s="16">
        <f t="shared" si="9"/>
        <v>-523.09331123018524</v>
      </c>
      <c r="AM36" s="16" t="e">
        <f t="shared" si="10"/>
        <v>#N/A</v>
      </c>
      <c r="AN36">
        <f>-'Drilling Spec'!$C$29</f>
        <v>-720</v>
      </c>
      <c r="AO36">
        <f>-'Drilling Spec'!$C$27</f>
        <v>-624</v>
      </c>
      <c r="AP36">
        <f>-'Drilling Spec'!$C$28</f>
        <v>-688</v>
      </c>
      <c r="AQ36" t="e">
        <f t="shared" si="11"/>
        <v>#N/A</v>
      </c>
      <c r="AR36" t="e">
        <f>IF(X36=0,NA(),-'Drilling Spec'!$C$29*0.1)</f>
        <v>#N/A</v>
      </c>
      <c r="AS36" t="e">
        <f>IF(Y36=0,NA(),-'Drilling Spec'!$C$29*0.1)</f>
        <v>#N/A</v>
      </c>
      <c r="AT36" t="e">
        <f>IF(AB36=0,NA(),-'Drilling Spec'!$C$29*0.2)</f>
        <v>#N/A</v>
      </c>
      <c r="AU36" t="e">
        <f>IF(AC36=0,NA(),-'Drilling Spec'!$C$29*0.2)</f>
        <v>#N/A</v>
      </c>
      <c r="AV36" t="e">
        <f>IF(AH36=0,NA(),-'Drilling Spec'!$C$29*0.3)</f>
        <v>#N/A</v>
      </c>
      <c r="AW36" t="e">
        <f>IF(AI36=0,NA(),-'Drilling Spec'!$C$29*0.3)</f>
        <v>#N/A</v>
      </c>
      <c r="AX36" s="29">
        <f t="shared" si="12"/>
        <v>1.8995121951219489</v>
      </c>
      <c r="AY36" s="29">
        <f t="shared" si="13"/>
        <v>4.4604459179876521</v>
      </c>
      <c r="AZ36" s="29">
        <f t="shared" si="17"/>
        <v>15.515551871697539</v>
      </c>
      <c r="BS36" s="35"/>
      <c r="BT36" s="39"/>
      <c r="BU36" s="39"/>
      <c r="BV36" s="39"/>
      <c r="BW36" s="39"/>
      <c r="BX36" s="39"/>
      <c r="BY36" s="39"/>
      <c r="BZ36" s="39"/>
      <c r="CA36" s="39"/>
    </row>
    <row r="37" spans="1:79" x14ac:dyDescent="0.35">
      <c r="A37" s="28">
        <f t="shared" si="18"/>
        <v>46007</v>
      </c>
      <c r="B37" t="str">
        <f t="shared" si="0"/>
        <v>Tue</v>
      </c>
      <c r="C37" s="10" t="s">
        <v>9</v>
      </c>
      <c r="D37" s="10">
        <v>24</v>
      </c>
      <c r="E37" s="4">
        <f t="shared" si="1"/>
        <v>24</v>
      </c>
      <c r="F37" s="4">
        <f t="shared" si="2"/>
        <v>528</v>
      </c>
      <c r="G37" s="4">
        <f t="shared" si="3"/>
        <v>1440</v>
      </c>
      <c r="H37" s="15">
        <f>(SQRT(4*I36*I36*V*V + 'Drilling Spec'!$C$42*I36 + W*('Drilling Spec'!$C$43 + 2*l*V*(s*W + 2*V*G37/(1+e)) + 'Drilling Spec'!$C$44)) - 'Drilling Spec'!$C$45)/(2*V)</f>
        <v>539.8871455319337</v>
      </c>
      <c r="I37" s="23">
        <f>IF(AND(OR(I36=0,I36=""),F37=0),IF(F38=0,"",'Drilling Spec'!$C$26),H37)</f>
        <v>539.8871455319337</v>
      </c>
      <c r="J37" s="16">
        <f>MAX(0,I37-'Drilling Spec'!$C$30)</f>
        <v>459.8871455319337</v>
      </c>
      <c r="K37" s="18">
        <f>IFERROR(J37/'Drilling Spec'!$C$31,0)</f>
        <v>30.659143035462247</v>
      </c>
      <c r="L37" s="21">
        <f t="shared" si="4"/>
        <v>0</v>
      </c>
      <c r="M37" s="4">
        <f t="shared" si="14"/>
        <v>0</v>
      </c>
      <c r="N37" s="21">
        <f t="shared" si="5"/>
        <v>0</v>
      </c>
      <c r="O37" s="18">
        <f>(SQRT(4*O36*O36*vB*vB + 'Drilling Spec'!$C$48*O36 + WB*('Drilling Spec'!$C$49 + 2*lB*vB*(sB*WB + 2*vB*N37/(1+eB)) + 'Drilling Spec'!$C$50)) - 'Drilling Spec'!$C$51)/(2*vB)</f>
        <v>0</v>
      </c>
      <c r="P37" s="18">
        <f>IFERROR(((S37-'Drilling Spec'!$C$30)/'Drilling Spec'!$C$31)*'Drilling Spec'!$C$32,0)</f>
        <v>0</v>
      </c>
      <c r="Q37" s="18">
        <f t="shared" si="15"/>
        <v>0</v>
      </c>
      <c r="R37" s="18"/>
      <c r="S37" s="26" t="str">
        <f>IF(AND(OR(T36=0,T36=""),M37=0),IF(M38=0,"",'Drilling Spec'!$C$30),O37)</f>
        <v/>
      </c>
      <c r="U37" s="15">
        <f>E37*'Drilling Spec'!$C$22 + L37*'Drilling Spec'!$C$23</f>
        <v>0.4809756097560976</v>
      </c>
      <c r="V37" s="15">
        <f t="shared" si="16"/>
        <v>10.581463414634147</v>
      </c>
      <c r="W37" s="15">
        <f t="shared" si="6"/>
        <v>1.4185365853658514</v>
      </c>
      <c r="X37" s="10"/>
      <c r="Y37" s="30">
        <f>IF(W37&lt;U38,'Drilling Spec'!$C$35,0)</f>
        <v>0</v>
      </c>
      <c r="AA37" s="4">
        <f t="shared" si="19"/>
        <v>34</v>
      </c>
      <c r="AB37" s="10"/>
      <c r="AC37" s="30">
        <f>IF('04-07-25-Scen5-WorstCargoJIT'!K38&gt;'04-07-25-Scen5-WorstCargoJIT'!AA37,'Drilling Spec'!$C$36,)</f>
        <v>0</v>
      </c>
      <c r="AE37" s="18">
        <f>(I37-'Drilling Spec'!$C$26)/'Drilling Spec'!$C$38</f>
        <v>78.314524255322283</v>
      </c>
      <c r="AF37" s="18">
        <f t="shared" si="7"/>
        <v>2.7989723836247435</v>
      </c>
      <c r="AG37" s="34">
        <f t="shared" si="8"/>
        <v>18.314524255322283</v>
      </c>
      <c r="AH37" s="10"/>
      <c r="AI37" s="26">
        <f>IF(C37="Camp Closed",AG37,IF(AG37&lt;'Drilling Spec'!$C$39,,'Drilling Spec'!$C$39))</f>
        <v>0</v>
      </c>
      <c r="AL37" s="16">
        <f t="shared" si="9"/>
        <v>-539.8871455319337</v>
      </c>
      <c r="AM37" s="16" t="e">
        <f t="shared" si="10"/>
        <v>#N/A</v>
      </c>
      <c r="AN37">
        <f>-'Drilling Spec'!$C$29</f>
        <v>-720</v>
      </c>
      <c r="AO37">
        <f>-'Drilling Spec'!$C$27</f>
        <v>-624</v>
      </c>
      <c r="AP37">
        <f>-'Drilling Spec'!$C$28</f>
        <v>-688</v>
      </c>
      <c r="AQ37" t="e">
        <f t="shared" si="11"/>
        <v>#N/A</v>
      </c>
      <c r="AR37" t="e">
        <f>IF(X37=0,NA(),-'Drilling Spec'!$C$29*0.1)</f>
        <v>#N/A</v>
      </c>
      <c r="AS37" t="e">
        <f>IF(Y37=0,NA(),-'Drilling Spec'!$C$29*0.1)</f>
        <v>#N/A</v>
      </c>
      <c r="AT37" t="e">
        <f>IF(AB37=0,NA(),-'Drilling Spec'!$C$29*0.2)</f>
        <v>#N/A</v>
      </c>
      <c r="AU37" t="e">
        <f>IF(AC37=0,NA(),-'Drilling Spec'!$C$29*0.2)</f>
        <v>#N/A</v>
      </c>
      <c r="AV37" t="e">
        <f>IF(AH37=0,NA(),-'Drilling Spec'!$C$29*0.3)</f>
        <v>#N/A</v>
      </c>
      <c r="AW37" t="e">
        <f>IF(AI37=0,NA(),-'Drilling Spec'!$C$29*0.3)</f>
        <v>#N/A</v>
      </c>
      <c r="AX37" s="29">
        <f t="shared" si="12"/>
        <v>1.4185365853658514</v>
      </c>
      <c r="AY37" s="29">
        <f t="shared" si="13"/>
        <v>3.3408569645377533</v>
      </c>
      <c r="AZ37" s="29">
        <f t="shared" si="17"/>
        <v>18.314524255322283</v>
      </c>
      <c r="BS37" s="35"/>
      <c r="BT37" s="39"/>
      <c r="BU37" s="39"/>
      <c r="BV37" s="39"/>
      <c r="BW37" s="39"/>
      <c r="BX37" s="39"/>
      <c r="BY37" s="39"/>
      <c r="BZ37" s="39"/>
      <c r="CA37" s="39"/>
    </row>
    <row r="38" spans="1:79" x14ac:dyDescent="0.35">
      <c r="A38" s="28">
        <f t="shared" si="18"/>
        <v>46008</v>
      </c>
      <c r="B38" t="str">
        <f t="shared" si="0"/>
        <v>Wed</v>
      </c>
      <c r="C38" s="10" t="s">
        <v>9</v>
      </c>
      <c r="D38" s="10">
        <v>24</v>
      </c>
      <c r="E38" s="4">
        <f t="shared" si="1"/>
        <v>24</v>
      </c>
      <c r="F38" s="4">
        <f t="shared" si="2"/>
        <v>552</v>
      </c>
      <c r="G38" s="4">
        <f t="shared" si="3"/>
        <v>1440</v>
      </c>
      <c r="H38" s="15">
        <f>(SQRT(4*I37*I37*V*V + 'Drilling Spec'!$C$42*I37 + W*('Drilling Spec'!$C$43 + 2*l*V*(s*W + 2*V*G38/(1+e)) + 'Drilling Spec'!$C$44)) - 'Drilling Spec'!$C$45)/(2*V)</f>
        <v>556.42106390803474</v>
      </c>
      <c r="I38" s="23">
        <f>IF(AND(OR(I37=0,I37=""),F38=0),IF(F39=0,"",'Drilling Spec'!$C$26),H38)</f>
        <v>556.42106390803474</v>
      </c>
      <c r="J38" s="16">
        <f>MAX(0,I38-'Drilling Spec'!$C$30)</f>
        <v>476.42106390803474</v>
      </c>
      <c r="K38" s="18">
        <f>IFERROR(J38/'Drilling Spec'!$C$31,0)</f>
        <v>31.761404260535649</v>
      </c>
      <c r="L38" s="21">
        <f t="shared" si="4"/>
        <v>0</v>
      </c>
      <c r="M38" s="4">
        <f t="shared" si="14"/>
        <v>0</v>
      </c>
      <c r="N38" s="21">
        <f t="shared" si="5"/>
        <v>0</v>
      </c>
      <c r="O38" s="18">
        <f>(SQRT(4*O37*O37*vB*vB + 'Drilling Spec'!$C$48*O37 + WB*('Drilling Spec'!$C$49 + 2*lB*vB*(sB*WB + 2*vB*N38/(1+eB)) + 'Drilling Spec'!$C$50)) - 'Drilling Spec'!$C$51)/(2*vB)</f>
        <v>0</v>
      </c>
      <c r="P38" s="18">
        <f>IFERROR(((S38-'Drilling Spec'!$C$30)/'Drilling Spec'!$C$31)*'Drilling Spec'!$C$32,0)</f>
        <v>0</v>
      </c>
      <c r="Q38" s="18">
        <f t="shared" si="15"/>
        <v>0</v>
      </c>
      <c r="R38" s="18"/>
      <c r="S38" s="26" t="str">
        <f>IF(AND(OR(T37=0,T37=""),M38=0),IF(M39=0,"",'Drilling Spec'!$C$30),O38)</f>
        <v/>
      </c>
      <c r="U38" s="15">
        <f>E38*'Drilling Spec'!$C$22 + L38*'Drilling Spec'!$C$23</f>
        <v>0.4809756097560976</v>
      </c>
      <c r="V38" s="15">
        <f t="shared" si="16"/>
        <v>11.062439024390244</v>
      </c>
      <c r="W38" s="15">
        <f t="shared" si="6"/>
        <v>0.93756097560975382</v>
      </c>
      <c r="X38" s="10"/>
      <c r="Y38" s="30">
        <f>IF(W38&lt;U39,'Drilling Spec'!$C$35,0)</f>
        <v>0</v>
      </c>
      <c r="AA38" s="4">
        <f t="shared" si="19"/>
        <v>34</v>
      </c>
      <c r="AB38" s="10"/>
      <c r="AC38" s="30">
        <f>IF('04-07-25-Scen5-WorstCargoJIT'!K39&gt;'04-07-25-Scen5-WorstCargoJIT'!AA38,'Drilling Spec'!$C$36,)</f>
        <v>0</v>
      </c>
      <c r="AE38" s="18">
        <f>(I38-'Drilling Spec'!$C$26)/'Drilling Spec'!$C$38</f>
        <v>81.07017731800579</v>
      </c>
      <c r="AF38" s="18">
        <f t="shared" si="7"/>
        <v>2.755653062683507</v>
      </c>
      <c r="AG38" s="34">
        <f t="shared" si="8"/>
        <v>21.07017731800579</v>
      </c>
      <c r="AH38" s="10"/>
      <c r="AI38" s="26">
        <f>IF(C38="Camp Closed",AG38,IF(AG38&lt;'Drilling Spec'!$C$39,,'Drilling Spec'!$C$39))</f>
        <v>20</v>
      </c>
      <c r="AL38" s="16">
        <f t="shared" si="9"/>
        <v>-556.42106390803474</v>
      </c>
      <c r="AM38" s="16" t="e">
        <f t="shared" si="10"/>
        <v>#N/A</v>
      </c>
      <c r="AN38">
        <f>-'Drilling Spec'!$C$29</f>
        <v>-720</v>
      </c>
      <c r="AO38">
        <f>-'Drilling Spec'!$C$27</f>
        <v>-624</v>
      </c>
      <c r="AP38">
        <f>-'Drilling Spec'!$C$28</f>
        <v>-688</v>
      </c>
      <c r="AQ38" t="e">
        <f t="shared" si="11"/>
        <v>#N/A</v>
      </c>
      <c r="AR38" t="e">
        <f>IF(X38=0,NA(),-'Drilling Spec'!$C$29*0.1)</f>
        <v>#N/A</v>
      </c>
      <c r="AS38" t="e">
        <f>IF(Y38=0,NA(),-'Drilling Spec'!$C$29*0.1)</f>
        <v>#N/A</v>
      </c>
      <c r="AT38" t="e">
        <f>IF(AB38=0,NA(),-'Drilling Spec'!$C$29*0.2)</f>
        <v>#N/A</v>
      </c>
      <c r="AU38" t="e">
        <f>IF(AC38=0,NA(),-'Drilling Spec'!$C$29*0.2)</f>
        <v>#N/A</v>
      </c>
      <c r="AV38" t="e">
        <f>IF(AH38=0,NA(),-'Drilling Spec'!$C$29*0.3)</f>
        <v>#N/A</v>
      </c>
      <c r="AW38">
        <f>IF(AI38=0,NA(),-'Drilling Spec'!$C$29*0.3)</f>
        <v>-216</v>
      </c>
      <c r="AX38" s="29">
        <f t="shared" si="12"/>
        <v>0.93756097560975382</v>
      </c>
      <c r="AY38" s="29">
        <f t="shared" si="13"/>
        <v>2.2385957394643512</v>
      </c>
      <c r="AZ38" s="29">
        <f t="shared" si="17"/>
        <v>21.07017731800579</v>
      </c>
      <c r="BS38" s="35"/>
      <c r="BT38" s="39" t="s">
        <v>193</v>
      </c>
      <c r="BU38" s="39"/>
      <c r="BV38" s="39"/>
      <c r="BW38" s="39"/>
      <c r="BX38" s="39"/>
      <c r="BY38" s="39"/>
      <c r="BZ38" s="39"/>
      <c r="CA38" s="39"/>
    </row>
    <row r="39" spans="1:79" x14ac:dyDescent="0.35">
      <c r="A39" s="28">
        <f t="shared" si="18"/>
        <v>46009</v>
      </c>
      <c r="B39" t="str">
        <f t="shared" si="0"/>
        <v>Thu</v>
      </c>
      <c r="C39" s="10" t="s">
        <v>9</v>
      </c>
      <c r="D39" s="10">
        <v>24</v>
      </c>
      <c r="E39" s="4">
        <f t="shared" si="1"/>
        <v>24</v>
      </c>
      <c r="F39" s="4">
        <f t="shared" si="2"/>
        <v>576</v>
      </c>
      <c r="G39" s="4">
        <f t="shared" si="3"/>
        <v>1440</v>
      </c>
      <c r="H39" s="15">
        <f>(SQRT(4*I38*I38*V*V + 'Drilling Spec'!$C$42*I38 + W*('Drilling Spec'!$C$43 + 2*l*V*(s*W + 2*V*G39/(1+e)) + 'Drilling Spec'!$C$44)) - 'Drilling Spec'!$C$45)/(2*V)</f>
        <v>572.70677339402732</v>
      </c>
      <c r="I39" s="23">
        <f>IF(AND(OR(I38=0,I38=""),F39=0),IF(F40=0,"",'Drilling Spec'!$C$26),H39)</f>
        <v>572.70677339402732</v>
      </c>
      <c r="J39" s="16">
        <f>MAX(0,I39-'Drilling Spec'!$C$30)</f>
        <v>492.70677339402732</v>
      </c>
      <c r="K39" s="18">
        <f>IFERROR(J39/'Drilling Spec'!$C$31,0)</f>
        <v>32.847118226268485</v>
      </c>
      <c r="L39" s="21">
        <f t="shared" si="4"/>
        <v>0</v>
      </c>
      <c r="M39" s="4">
        <f t="shared" si="14"/>
        <v>0</v>
      </c>
      <c r="N39" s="21">
        <f t="shared" si="5"/>
        <v>0</v>
      </c>
      <c r="O39" s="18">
        <f>(SQRT(4*O38*O38*vB*vB + 'Drilling Spec'!$C$48*O38 + WB*('Drilling Spec'!$C$49 + 2*lB*vB*(sB*WB + 2*vB*N39/(1+eB)) + 'Drilling Spec'!$C$50)) - 'Drilling Spec'!$C$51)/(2*vB)</f>
        <v>0</v>
      </c>
      <c r="P39" s="18">
        <f>IFERROR(((S39-'Drilling Spec'!$C$30)/'Drilling Spec'!$C$31)*'Drilling Spec'!$C$32,0)</f>
        <v>0</v>
      </c>
      <c r="Q39" s="18">
        <f t="shared" si="15"/>
        <v>0</v>
      </c>
      <c r="R39" s="18"/>
      <c r="S39" s="26" t="str">
        <f>IF(AND(OR(T38=0,T38=""),M39=0),IF(M40=0,"",'Drilling Spec'!$C$30),O39)</f>
        <v/>
      </c>
      <c r="U39" s="15">
        <f>E39*'Drilling Spec'!$C$22 + L39*'Drilling Spec'!$C$23</f>
        <v>0.4809756097560976</v>
      </c>
      <c r="V39" s="15">
        <f t="shared" si="16"/>
        <v>11.543414634146341</v>
      </c>
      <c r="W39" s="15">
        <f t="shared" si="6"/>
        <v>0.45658536585365622</v>
      </c>
      <c r="X39" s="10"/>
      <c r="Y39" s="30">
        <f>IF(W39&lt;U40,'Drilling Spec'!$C$35,0)</f>
        <v>6</v>
      </c>
      <c r="AA39" s="4">
        <f t="shared" si="19"/>
        <v>34</v>
      </c>
      <c r="AB39" s="10"/>
      <c r="AC39" s="30">
        <f>IF('04-07-25-Scen5-WorstCargoJIT'!K40&gt;'04-07-25-Scen5-WorstCargoJIT'!AA39,'Drilling Spec'!$C$36,)</f>
        <v>0</v>
      </c>
      <c r="AE39" s="18">
        <f>(I39-'Drilling Spec'!$C$26)/'Drilling Spec'!$C$38</f>
        <v>83.784462232337887</v>
      </c>
      <c r="AF39" s="18">
        <f t="shared" si="7"/>
        <v>2.7142849143320973</v>
      </c>
      <c r="AG39" s="34">
        <f t="shared" si="8"/>
        <v>3.7844622323378871</v>
      </c>
      <c r="AH39" s="10"/>
      <c r="AI39" s="26">
        <f>IF(C39="Camp Closed",AG39,IF(AG39&lt;'Drilling Spec'!$C$39,,'Drilling Spec'!$C$39))</f>
        <v>0</v>
      </c>
      <c r="AL39" s="16">
        <f t="shared" si="9"/>
        <v>-572.70677339402732</v>
      </c>
      <c r="AM39" s="16" t="e">
        <f t="shared" si="10"/>
        <v>#N/A</v>
      </c>
      <c r="AN39">
        <f>-'Drilling Spec'!$C$29</f>
        <v>-720</v>
      </c>
      <c r="AO39">
        <f>-'Drilling Spec'!$C$27</f>
        <v>-624</v>
      </c>
      <c r="AP39">
        <f>-'Drilling Spec'!$C$28</f>
        <v>-688</v>
      </c>
      <c r="AQ39" t="e">
        <f t="shared" si="11"/>
        <v>#N/A</v>
      </c>
      <c r="AR39" t="e">
        <f>IF(X39=0,NA(),-'Drilling Spec'!$C$29*0.1)</f>
        <v>#N/A</v>
      </c>
      <c r="AS39">
        <f>IF(Y39=0,NA(),-'Drilling Spec'!$C$29*0.1)</f>
        <v>-72</v>
      </c>
      <c r="AT39" t="e">
        <f>IF(AB39=0,NA(),-'Drilling Spec'!$C$29*0.2)</f>
        <v>#N/A</v>
      </c>
      <c r="AU39" t="e">
        <f>IF(AC39=0,NA(),-'Drilling Spec'!$C$29*0.2)</f>
        <v>#N/A</v>
      </c>
      <c r="AV39" t="e">
        <f>IF(AH39=0,NA(),-'Drilling Spec'!$C$29*0.3)</f>
        <v>#N/A</v>
      </c>
      <c r="AW39" t="e">
        <f>IF(AI39=0,NA(),-'Drilling Spec'!$C$29*0.3)</f>
        <v>#N/A</v>
      </c>
      <c r="AX39" s="29">
        <f t="shared" si="12"/>
        <v>0.45658536585365622</v>
      </c>
      <c r="AY39" s="29">
        <f t="shared" si="13"/>
        <v>1.1528817737315151</v>
      </c>
      <c r="AZ39" s="29">
        <f t="shared" si="17"/>
        <v>3.7844622323378871</v>
      </c>
      <c r="BS39" s="35"/>
      <c r="BT39" s="39"/>
      <c r="BU39" s="39"/>
      <c r="BV39" s="39"/>
      <c r="BW39" s="39"/>
      <c r="BX39" s="39"/>
      <c r="BY39" s="39"/>
      <c r="BZ39" s="39"/>
      <c r="CA39" s="39"/>
    </row>
    <row r="40" spans="1:79" x14ac:dyDescent="0.35">
      <c r="A40" s="28">
        <f t="shared" si="18"/>
        <v>46010</v>
      </c>
      <c r="B40" t="str">
        <f t="shared" si="0"/>
        <v>Fri</v>
      </c>
      <c r="C40" s="10" t="s">
        <v>9</v>
      </c>
      <c r="D40" s="10">
        <v>24</v>
      </c>
      <c r="E40" s="4">
        <f t="shared" si="1"/>
        <v>24</v>
      </c>
      <c r="F40" s="4">
        <f t="shared" si="2"/>
        <v>600</v>
      </c>
      <c r="G40" s="4">
        <f t="shared" si="3"/>
        <v>1440</v>
      </c>
      <c r="H40" s="15">
        <f>(SQRT(4*I39*I39*V*V + 'Drilling Spec'!$C$42*I39 + W*('Drilling Spec'!$C$43 + 2*l*V*(s*W + 2*V*G40/(1+e)) + 'Drilling Spec'!$C$44)) - 'Drilling Spec'!$C$45)/(2*V)</f>
        <v>588.75512771525223</v>
      </c>
      <c r="I40" s="23">
        <f>IF(AND(OR(I39=0,I39=""),F40=0),IF(F41=0,"",'Drilling Spec'!$C$26),H40)</f>
        <v>588.75512771525223</v>
      </c>
      <c r="J40" s="16">
        <f>MAX(0,I40-'Drilling Spec'!$C$30)</f>
        <v>508.75512771525223</v>
      </c>
      <c r="K40" s="18">
        <f>IFERROR(J40/'Drilling Spec'!$C$31,0)</f>
        <v>33.917008514350151</v>
      </c>
      <c r="L40" s="21">
        <f t="shared" si="4"/>
        <v>0</v>
      </c>
      <c r="M40" s="4">
        <f t="shared" si="14"/>
        <v>0</v>
      </c>
      <c r="N40" s="21">
        <f t="shared" si="5"/>
        <v>0</v>
      </c>
      <c r="O40" s="18">
        <f>(SQRT(4*O39*O39*vB*vB + 'Drilling Spec'!$C$48*O39 + WB*('Drilling Spec'!$C$49 + 2*lB*vB*(sB*WB + 2*vB*N40/(1+eB)) + 'Drilling Spec'!$C$50)) - 'Drilling Spec'!$C$51)/(2*vB)</f>
        <v>0</v>
      </c>
      <c r="P40" s="18">
        <f>IFERROR(((S40-'Drilling Spec'!$C$30)/'Drilling Spec'!$C$31)*'Drilling Spec'!$C$32,0)</f>
        <v>0</v>
      </c>
      <c r="Q40" s="18">
        <f t="shared" si="15"/>
        <v>0</v>
      </c>
      <c r="R40" s="18"/>
      <c r="S40" s="26" t="str">
        <f>IF(AND(OR(T39=0,T39=""),M40=0),IF(M41=0,"",'Drilling Spec'!$C$30),O40)</f>
        <v/>
      </c>
      <c r="U40" s="15">
        <f>E40*'Drilling Spec'!$C$22 + L40*'Drilling Spec'!$C$23</f>
        <v>0.4809756097560976</v>
      </c>
      <c r="V40" s="15">
        <f t="shared" si="16"/>
        <v>12.024390243902438</v>
      </c>
      <c r="W40" s="15">
        <f t="shared" si="6"/>
        <v>5.9756097560975583</v>
      </c>
      <c r="X40" s="10"/>
      <c r="Y40" s="30">
        <f>IF(W40&lt;U41,'Drilling Spec'!$C$35,0)</f>
        <v>0</v>
      </c>
      <c r="AA40" s="4">
        <f t="shared" si="19"/>
        <v>34</v>
      </c>
      <c r="AB40" s="10"/>
      <c r="AC40" s="30">
        <f>IF('04-07-25-Scen5-WorstCargoJIT'!K41&gt;'04-07-25-Scen5-WorstCargoJIT'!AA40,'Drilling Spec'!$C$36,)</f>
        <v>6</v>
      </c>
      <c r="AE40" s="18">
        <f>(I40-'Drilling Spec'!$C$26)/'Drilling Spec'!$C$38</f>
        <v>86.459187952542038</v>
      </c>
      <c r="AF40" s="18">
        <f t="shared" si="7"/>
        <v>2.674725720204151</v>
      </c>
      <c r="AG40" s="34">
        <f t="shared" si="8"/>
        <v>6.4591879525420381</v>
      </c>
      <c r="AH40" s="10"/>
      <c r="AI40" s="26">
        <f>IF(C40="Camp Closed",AG40,IF(AG40&lt;'Drilling Spec'!$C$39,,'Drilling Spec'!$C$39))</f>
        <v>0</v>
      </c>
      <c r="AL40" s="16">
        <f t="shared" si="9"/>
        <v>-588.75512771525223</v>
      </c>
      <c r="AM40" s="16" t="e">
        <f t="shared" si="10"/>
        <v>#N/A</v>
      </c>
      <c r="AN40">
        <f>-'Drilling Spec'!$C$29</f>
        <v>-720</v>
      </c>
      <c r="AO40">
        <f>-'Drilling Spec'!$C$27</f>
        <v>-624</v>
      </c>
      <c r="AP40">
        <f>-'Drilling Spec'!$C$28</f>
        <v>-688</v>
      </c>
      <c r="AQ40" t="e">
        <f t="shared" si="11"/>
        <v>#N/A</v>
      </c>
      <c r="AR40" t="e">
        <f>IF(X40=0,NA(),-'Drilling Spec'!$C$29*0.1)</f>
        <v>#N/A</v>
      </c>
      <c r="AS40" t="e">
        <f>IF(Y40=0,NA(),-'Drilling Spec'!$C$29*0.1)</f>
        <v>#N/A</v>
      </c>
      <c r="AT40" t="e">
        <f>IF(AB40=0,NA(),-'Drilling Spec'!$C$29*0.2)</f>
        <v>#N/A</v>
      </c>
      <c r="AU40">
        <f>IF(AC40=0,NA(),-'Drilling Spec'!$C$29*0.2)</f>
        <v>-144</v>
      </c>
      <c r="AV40" t="e">
        <f>IF(AH40=0,NA(),-'Drilling Spec'!$C$29*0.3)</f>
        <v>#N/A</v>
      </c>
      <c r="AW40" t="e">
        <f>IF(AI40=0,NA(),-'Drilling Spec'!$C$29*0.3)</f>
        <v>#N/A</v>
      </c>
      <c r="AX40" s="29">
        <f t="shared" si="12"/>
        <v>5.9756097560975583</v>
      </c>
      <c r="AY40" s="29">
        <f t="shared" si="13"/>
        <v>8.2991485649849039E-2</v>
      </c>
      <c r="AZ40" s="29">
        <f t="shared" si="17"/>
        <v>6.4591879525420381</v>
      </c>
    </row>
    <row r="41" spans="1:79" x14ac:dyDescent="0.35">
      <c r="A41" s="28">
        <f t="shared" si="18"/>
        <v>46011</v>
      </c>
      <c r="B41" t="str">
        <f t="shared" si="0"/>
        <v>Sat</v>
      </c>
      <c r="C41" s="10" t="s">
        <v>9</v>
      </c>
      <c r="D41" s="10">
        <v>24</v>
      </c>
      <c r="E41" s="4">
        <f t="shared" si="1"/>
        <v>24</v>
      </c>
      <c r="F41" s="4">
        <f t="shared" si="2"/>
        <v>624</v>
      </c>
      <c r="G41" s="4">
        <f t="shared" si="3"/>
        <v>1440</v>
      </c>
      <c r="H41" s="15">
        <f>(SQRT(4*I40*I40*V*V + 'Drilling Spec'!$C$42*I40 + W*('Drilling Spec'!$C$43 + 2*l*V*(s*W + 2*V*G41/(1+e)) + 'Drilling Spec'!$C$44)) - 'Drilling Spec'!$C$45)/(2*V)</f>
        <v>604.57621190383406</v>
      </c>
      <c r="I41" s="23">
        <f>IF(AND(OR(I40=0,I40=""),F41=0),IF(F42=0,"",'Drilling Spec'!$C$26),H41)</f>
        <v>604.57621190383406</v>
      </c>
      <c r="J41" s="16">
        <f>MAX(0,I41-'Drilling Spec'!$C$30)</f>
        <v>524.57621190383406</v>
      </c>
      <c r="K41" s="18">
        <f>IFERROR(J41/'Drilling Spec'!$C$31,0)</f>
        <v>34.971747460255607</v>
      </c>
      <c r="L41" s="21">
        <f t="shared" si="4"/>
        <v>0</v>
      </c>
      <c r="M41" s="4">
        <f t="shared" si="14"/>
        <v>0</v>
      </c>
      <c r="N41" s="21">
        <f t="shared" si="5"/>
        <v>0</v>
      </c>
      <c r="O41" s="18">
        <f>(SQRT(4*O40*O40*vB*vB + 'Drilling Spec'!$C$48*O40 + WB*('Drilling Spec'!$C$49 + 2*lB*vB*(sB*WB + 2*vB*N41/(1+eB)) + 'Drilling Spec'!$C$50)) - 'Drilling Spec'!$C$51)/(2*vB)</f>
        <v>0</v>
      </c>
      <c r="P41" s="18">
        <f>IFERROR(((S41-'Drilling Spec'!$C$30)/'Drilling Spec'!$C$31)*'Drilling Spec'!$C$32,0)</f>
        <v>0</v>
      </c>
      <c r="Q41" s="18">
        <f t="shared" si="15"/>
        <v>0</v>
      </c>
      <c r="R41" s="18"/>
      <c r="S41" s="26" t="str">
        <f>IF(AND(OR(T40=0,T40=""),M41=0),IF(M42=0,"",'Drilling Spec'!$C$30),O41)</f>
        <v/>
      </c>
      <c r="U41" s="15">
        <f>E41*'Drilling Spec'!$C$22 + L41*'Drilling Spec'!$C$23</f>
        <v>0.4809756097560976</v>
      </c>
      <c r="V41" s="15">
        <f t="shared" si="16"/>
        <v>12.505365853658535</v>
      </c>
      <c r="W41" s="15">
        <f t="shared" si="6"/>
        <v>5.4946341463414603</v>
      </c>
      <c r="X41" s="10"/>
      <c r="Y41" s="30">
        <f>IF(W41&lt;U42,'Drilling Spec'!$C$35,0)</f>
        <v>0</v>
      </c>
      <c r="AA41" s="4">
        <f t="shared" si="19"/>
        <v>40</v>
      </c>
      <c r="AB41" s="10"/>
      <c r="AC41" s="30">
        <f>IF('04-07-25-Scen5-WorstCargoJIT'!K42&gt;'04-07-25-Scen5-WorstCargoJIT'!AA41,'Drilling Spec'!$C$36,)</f>
        <v>0</v>
      </c>
      <c r="AE41" s="18">
        <f>(I41-'Drilling Spec'!$C$26)/'Drilling Spec'!$C$38</f>
        <v>89.096035317305677</v>
      </c>
      <c r="AF41" s="18">
        <f t="shared" si="7"/>
        <v>2.6368473647636392</v>
      </c>
      <c r="AG41" s="34">
        <f t="shared" si="8"/>
        <v>9.0960353173056774</v>
      </c>
      <c r="AH41" s="10"/>
      <c r="AI41" s="26">
        <f>IF(C41="Camp Closed",AG41,IF(AG41&lt;'Drilling Spec'!$C$39,,'Drilling Spec'!$C$39))</f>
        <v>0</v>
      </c>
      <c r="AL41" s="16">
        <f t="shared" si="9"/>
        <v>-604.57621190383406</v>
      </c>
      <c r="AM41" s="16" t="e">
        <f t="shared" si="10"/>
        <v>#N/A</v>
      </c>
      <c r="AN41">
        <f>-'Drilling Spec'!$C$29</f>
        <v>-720</v>
      </c>
      <c r="AO41">
        <f>-'Drilling Spec'!$C$27</f>
        <v>-624</v>
      </c>
      <c r="AP41">
        <f>-'Drilling Spec'!$C$28</f>
        <v>-688</v>
      </c>
      <c r="AQ41" t="e">
        <f t="shared" si="11"/>
        <v>#N/A</v>
      </c>
      <c r="AR41" t="e">
        <f>IF(X41=0,NA(),-'Drilling Spec'!$C$29*0.1)</f>
        <v>#N/A</v>
      </c>
      <c r="AS41" t="e">
        <f>IF(Y41=0,NA(),-'Drilling Spec'!$C$29*0.1)</f>
        <v>#N/A</v>
      </c>
      <c r="AT41" t="e">
        <f>IF(AB41=0,NA(),-'Drilling Spec'!$C$29*0.2)</f>
        <v>#N/A</v>
      </c>
      <c r="AU41" t="e">
        <f>IF(AC41=0,NA(),-'Drilling Spec'!$C$29*0.2)</f>
        <v>#N/A</v>
      </c>
      <c r="AV41" t="e">
        <f>IF(AH41=0,NA(),-'Drilling Spec'!$C$29*0.3)</f>
        <v>#N/A</v>
      </c>
      <c r="AW41" t="e">
        <f>IF(AI41=0,NA(),-'Drilling Spec'!$C$29*0.3)</f>
        <v>#N/A</v>
      </c>
      <c r="AX41" s="29">
        <f t="shared" si="12"/>
        <v>5.4946341463414603</v>
      </c>
      <c r="AY41" s="29">
        <f t="shared" si="13"/>
        <v>5.0282525397443933</v>
      </c>
      <c r="AZ41" s="29">
        <f t="shared" si="17"/>
        <v>9.0960353173056774</v>
      </c>
    </row>
    <row r="42" spans="1:79" x14ac:dyDescent="0.35">
      <c r="A42" s="28">
        <f t="shared" si="18"/>
        <v>46012</v>
      </c>
      <c r="B42" t="str">
        <f t="shared" si="0"/>
        <v>Sun</v>
      </c>
      <c r="C42" s="10" t="s">
        <v>7</v>
      </c>
      <c r="D42" s="10">
        <v>0</v>
      </c>
      <c r="E42" s="4">
        <f t="shared" si="1"/>
        <v>0</v>
      </c>
      <c r="F42" s="4">
        <f t="shared" si="2"/>
        <v>624</v>
      </c>
      <c r="G42" s="4">
        <f t="shared" si="3"/>
        <v>0</v>
      </c>
      <c r="H42" s="15">
        <f>(SQRT(4*I41*I41*V*V + 'Drilling Spec'!$C$42*I41 + W*('Drilling Spec'!$C$43 + 2*l*V*(s*W + 2*V*G42/(1+e)) + 'Drilling Spec'!$C$44)) - 'Drilling Spec'!$C$45)/(2*V)</f>
        <v>604.57621190383406</v>
      </c>
      <c r="I42" s="23">
        <f>IF(AND(OR(I41=0,I41=""),F42=0),IF(F43=0,"",'Drilling Spec'!$C$26),H42)</f>
        <v>604.57621190383406</v>
      </c>
      <c r="J42" s="16">
        <f>MAX(0,I42-'Drilling Spec'!$C$30)</f>
        <v>524.57621190383406</v>
      </c>
      <c r="K42" s="18">
        <f>IFERROR(J42/'Drilling Spec'!$C$31,0)</f>
        <v>34.971747460255607</v>
      </c>
      <c r="L42" s="21">
        <f t="shared" si="4"/>
        <v>0</v>
      </c>
      <c r="M42" s="4">
        <f t="shared" si="14"/>
        <v>0</v>
      </c>
      <c r="N42" s="21">
        <f t="shared" si="5"/>
        <v>0</v>
      </c>
      <c r="O42" s="18">
        <f>(SQRT(4*O41*O41*vB*vB + 'Drilling Spec'!$C$48*O41 + WB*('Drilling Spec'!$C$49 + 2*lB*vB*(sB*WB + 2*vB*N42/(1+eB)) + 'Drilling Spec'!$C$50)) - 'Drilling Spec'!$C$51)/(2*vB)</f>
        <v>0</v>
      </c>
      <c r="P42" s="18">
        <f>IFERROR(((S42-'Drilling Spec'!$C$30)/'Drilling Spec'!$C$31)*'Drilling Spec'!$C$32,0)</f>
        <v>0</v>
      </c>
      <c r="Q42" s="18">
        <f t="shared" si="15"/>
        <v>0</v>
      </c>
      <c r="R42" s="18"/>
      <c r="S42" s="26" t="str">
        <f>IF(AND(OR(T41=0,T41=""),M42=0),IF(M43=0,"",'Drilling Spec'!$C$30),O42)</f>
        <v/>
      </c>
      <c r="U42" s="15">
        <f>E42*'Drilling Spec'!$C$22 + L42*'Drilling Spec'!$C$23</f>
        <v>0</v>
      </c>
      <c r="V42" s="15">
        <f t="shared" si="16"/>
        <v>12.505365853658535</v>
      </c>
      <c r="W42" s="15">
        <f t="shared" si="6"/>
        <v>5.4946341463414603</v>
      </c>
      <c r="X42" s="10"/>
      <c r="Y42" s="30">
        <f>IF(W42&lt;U43,'Drilling Spec'!$C$35,0)</f>
        <v>0</v>
      </c>
      <c r="AA42" s="4">
        <f t="shared" si="19"/>
        <v>40</v>
      </c>
      <c r="AB42" s="10"/>
      <c r="AC42" s="30">
        <f>IF('04-07-25-Scen5-WorstCargoJIT'!K43&gt;'04-07-25-Scen5-WorstCargoJIT'!AA42,'Drilling Spec'!$C$36,)</f>
        <v>0</v>
      </c>
      <c r="AE42" s="18">
        <f>(I42-'Drilling Spec'!$C$26)/'Drilling Spec'!$C$38</f>
        <v>89.096035317305677</v>
      </c>
      <c r="AF42" s="18">
        <f t="shared" si="7"/>
        <v>0</v>
      </c>
      <c r="AG42" s="34">
        <f t="shared" si="8"/>
        <v>9.0960353173056774</v>
      </c>
      <c r="AH42" s="10"/>
      <c r="AI42" s="26">
        <f>IF(C42="Camp Closed",AG42,IF(AG42&lt;'Drilling Spec'!$C$39,,'Drilling Spec'!$C$39))</f>
        <v>0</v>
      </c>
      <c r="AL42" s="16">
        <f t="shared" si="9"/>
        <v>-604.57621190383406</v>
      </c>
      <c r="AM42" s="16" t="e">
        <f t="shared" si="10"/>
        <v>#N/A</v>
      </c>
      <c r="AN42">
        <f>-'Drilling Spec'!$C$29</f>
        <v>-720</v>
      </c>
      <c r="AO42">
        <f>-'Drilling Spec'!$C$27</f>
        <v>-624</v>
      </c>
      <c r="AP42">
        <f>-'Drilling Spec'!$C$28</f>
        <v>-688</v>
      </c>
      <c r="AQ42" t="e">
        <f t="shared" si="11"/>
        <v>#N/A</v>
      </c>
      <c r="AR42" t="e">
        <f>IF(X42=0,NA(),-'Drilling Spec'!$C$29*0.1)</f>
        <v>#N/A</v>
      </c>
      <c r="AS42" t="e">
        <f>IF(Y42=0,NA(),-'Drilling Spec'!$C$29*0.1)</f>
        <v>#N/A</v>
      </c>
      <c r="AT42" t="e">
        <f>IF(AB42=0,NA(),-'Drilling Spec'!$C$29*0.2)</f>
        <v>#N/A</v>
      </c>
      <c r="AU42" t="e">
        <f>IF(AC42=0,NA(),-'Drilling Spec'!$C$29*0.2)</f>
        <v>#N/A</v>
      </c>
      <c r="AV42" t="e">
        <f>IF(AH42=0,NA(),-'Drilling Spec'!$C$29*0.3)</f>
        <v>#N/A</v>
      </c>
      <c r="AW42" t="e">
        <f>IF(AI42=0,NA(),-'Drilling Spec'!$C$29*0.3)</f>
        <v>#N/A</v>
      </c>
      <c r="AX42" s="29">
        <f t="shared" si="12"/>
        <v>5.4946341463414603</v>
      </c>
      <c r="AY42" s="29">
        <f t="shared" si="13"/>
        <v>5.0282525397443933</v>
      </c>
      <c r="AZ42" s="29">
        <f t="shared" si="17"/>
        <v>9.0960353173056774</v>
      </c>
    </row>
    <row r="43" spans="1:79" x14ac:dyDescent="0.35">
      <c r="A43" s="28">
        <f t="shared" si="18"/>
        <v>46013</v>
      </c>
      <c r="B43" t="str">
        <f t="shared" si="0"/>
        <v>Mon</v>
      </c>
      <c r="C43" s="10" t="s">
        <v>9</v>
      </c>
      <c r="D43" s="10">
        <v>24</v>
      </c>
      <c r="E43" s="4">
        <f t="shared" si="1"/>
        <v>24</v>
      </c>
      <c r="F43" s="4">
        <f t="shared" si="2"/>
        <v>648</v>
      </c>
      <c r="G43" s="4">
        <f t="shared" si="3"/>
        <v>1440</v>
      </c>
      <c r="H43" s="15">
        <f>(SQRT(4*I42*I42*V*V + 'Drilling Spec'!$C$42*I42 + W*('Drilling Spec'!$C$43 + 2*l*V*(s*W + 2*V*G43/(1+e)) + 'Drilling Spec'!$C$44)) - 'Drilling Spec'!$C$45)/(2*V)</f>
        <v>620.17941642361586</v>
      </c>
      <c r="I43" s="23">
        <f>IF(AND(OR(I42=0,I42=""),F43=0),IF(F44=0,"",'Drilling Spec'!$C$26),H43)</f>
        <v>620.17941642361586</v>
      </c>
      <c r="J43" s="16">
        <f>MAX(0,I43-'Drilling Spec'!$C$30)</f>
        <v>540.17941642361586</v>
      </c>
      <c r="K43" s="18">
        <f>IFERROR(J43/'Drilling Spec'!$C$31,0)</f>
        <v>36.011961094907726</v>
      </c>
      <c r="L43" s="21">
        <f t="shared" si="4"/>
        <v>0</v>
      </c>
      <c r="M43" s="4">
        <f t="shared" si="14"/>
        <v>0</v>
      </c>
      <c r="N43" s="21">
        <f t="shared" si="5"/>
        <v>0</v>
      </c>
      <c r="O43" s="18">
        <f>(SQRT(4*O42*O42*vB*vB + 'Drilling Spec'!$C$48*O42 + WB*('Drilling Spec'!$C$49 + 2*lB*vB*(sB*WB + 2*vB*N43/(1+eB)) + 'Drilling Spec'!$C$50)) - 'Drilling Spec'!$C$51)/(2*vB)</f>
        <v>0</v>
      </c>
      <c r="P43" s="18">
        <f>IFERROR(((S43-'Drilling Spec'!$C$30)/'Drilling Spec'!$C$31)*'Drilling Spec'!$C$32,0)</f>
        <v>0</v>
      </c>
      <c r="Q43" s="18">
        <f t="shared" si="15"/>
        <v>0</v>
      </c>
      <c r="R43" s="18"/>
      <c r="S43" s="26" t="str">
        <f>IF(AND(OR(T42=0,T42=""),M43=0),IF(M44=0,"",'Drilling Spec'!$C$30),O43)</f>
        <v/>
      </c>
      <c r="U43" s="15">
        <f>E43*'Drilling Spec'!$C$22 + L43*'Drilling Spec'!$C$23</f>
        <v>0.4809756097560976</v>
      </c>
      <c r="V43" s="15">
        <f t="shared" si="16"/>
        <v>12.986341463414632</v>
      </c>
      <c r="W43" s="15">
        <f t="shared" si="6"/>
        <v>5.0136585365853623</v>
      </c>
      <c r="X43" s="10"/>
      <c r="Y43" s="30">
        <f>IF(W43&lt;U44,'Drilling Spec'!$C$35,0)</f>
        <v>0</v>
      </c>
      <c r="AA43" s="4">
        <f t="shared" si="19"/>
        <v>40</v>
      </c>
      <c r="AB43" s="10"/>
      <c r="AC43" s="30">
        <f>IF('04-07-25-Scen5-WorstCargoJIT'!K44&gt;'04-07-25-Scen5-WorstCargoJIT'!AA43,'Drilling Spec'!$C$36,)</f>
        <v>0</v>
      </c>
      <c r="AE43" s="18">
        <f>(I43-'Drilling Spec'!$C$26)/'Drilling Spec'!$C$38</f>
        <v>91.696569403935982</v>
      </c>
      <c r="AF43" s="18">
        <f t="shared" si="7"/>
        <v>2.6005340866303044</v>
      </c>
      <c r="AG43" s="34">
        <f t="shared" si="8"/>
        <v>11.696569403935982</v>
      </c>
      <c r="AH43" s="10"/>
      <c r="AI43" s="26">
        <f>IF(C43="Camp Closed",AG43,IF(AG43&lt;'Drilling Spec'!$C$39,,'Drilling Spec'!$C$39))</f>
        <v>0</v>
      </c>
      <c r="AL43" s="16">
        <f t="shared" si="9"/>
        <v>-620.17941642361586</v>
      </c>
      <c r="AM43" s="16" t="e">
        <f t="shared" si="10"/>
        <v>#N/A</v>
      </c>
      <c r="AN43">
        <f>-'Drilling Spec'!$C$29</f>
        <v>-720</v>
      </c>
      <c r="AO43">
        <f>-'Drilling Spec'!$C$27</f>
        <v>-624</v>
      </c>
      <c r="AP43">
        <f>-'Drilling Spec'!$C$28</f>
        <v>-688</v>
      </c>
      <c r="AQ43" t="e">
        <f t="shared" si="11"/>
        <v>#N/A</v>
      </c>
      <c r="AR43" t="e">
        <f>IF(X43=0,NA(),-'Drilling Spec'!$C$29*0.1)</f>
        <v>#N/A</v>
      </c>
      <c r="AS43" t="e">
        <f>IF(Y43=0,NA(),-'Drilling Spec'!$C$29*0.1)</f>
        <v>#N/A</v>
      </c>
      <c r="AT43" t="e">
        <f>IF(AB43=0,NA(),-'Drilling Spec'!$C$29*0.2)</f>
        <v>#N/A</v>
      </c>
      <c r="AU43" t="e">
        <f>IF(AC43=0,NA(),-'Drilling Spec'!$C$29*0.2)</f>
        <v>#N/A</v>
      </c>
      <c r="AV43" t="e">
        <f>IF(AH43=0,NA(),-'Drilling Spec'!$C$29*0.3)</f>
        <v>#N/A</v>
      </c>
      <c r="AW43" t="e">
        <f>IF(AI43=0,NA(),-'Drilling Spec'!$C$29*0.3)</f>
        <v>#N/A</v>
      </c>
      <c r="AX43" s="29">
        <f t="shared" si="12"/>
        <v>5.0136585365853623</v>
      </c>
      <c r="AY43" s="29">
        <f t="shared" si="13"/>
        <v>3.9880389050922744</v>
      </c>
      <c r="AZ43" s="29">
        <f t="shared" si="17"/>
        <v>11.696569403935982</v>
      </c>
    </row>
    <row r="44" spans="1:79" x14ac:dyDescent="0.35">
      <c r="A44" s="28">
        <f t="shared" si="18"/>
        <v>46014</v>
      </c>
      <c r="B44" t="str">
        <f t="shared" si="0"/>
        <v>Tue</v>
      </c>
      <c r="C44" s="10" t="s">
        <v>9</v>
      </c>
      <c r="D44" s="10">
        <v>24</v>
      </c>
      <c r="E44" s="4">
        <f t="shared" si="1"/>
        <v>24</v>
      </c>
      <c r="F44" s="4">
        <f t="shared" si="2"/>
        <v>672</v>
      </c>
      <c r="G44" s="4">
        <f t="shared" si="3"/>
        <v>1440</v>
      </c>
      <c r="H44" s="15">
        <f>(SQRT(4*I43*I43*V*V + 'Drilling Spec'!$C$42*I43 + W*('Drilling Spec'!$C$43 + 2*l*V*(s*W + 2*V*G44/(1+e)) + 'Drilling Spec'!$C$44)) - 'Drilling Spec'!$C$45)/(2*V)</f>
        <v>635.57350235060539</v>
      </c>
      <c r="I44" s="23">
        <f>IF(AND(OR(I43=0,I43=""),F44=0),IF(F45=0,"",'Drilling Spec'!$C$26),H44)</f>
        <v>635.57350235060539</v>
      </c>
      <c r="J44" s="16">
        <f>MAX(0,I44-'Drilling Spec'!$C$30)</f>
        <v>555.57350235060539</v>
      </c>
      <c r="K44" s="18">
        <f>IFERROR(J44/'Drilling Spec'!$C$31,0)</f>
        <v>37.038233490040362</v>
      </c>
      <c r="L44" s="21">
        <f t="shared" si="4"/>
        <v>0</v>
      </c>
      <c r="M44" s="4">
        <f t="shared" si="14"/>
        <v>0</v>
      </c>
      <c r="N44" s="21">
        <f t="shared" si="5"/>
        <v>0</v>
      </c>
      <c r="O44" s="18">
        <f>(SQRT(4*O43*O43*vB*vB + 'Drilling Spec'!$C$48*O43 + WB*('Drilling Spec'!$C$49 + 2*lB*vB*(sB*WB + 2*vB*N44/(1+eB)) + 'Drilling Spec'!$C$50)) - 'Drilling Spec'!$C$51)/(2*vB)</f>
        <v>0</v>
      </c>
      <c r="P44" s="18">
        <f>IFERROR(((S44-'Drilling Spec'!$C$30)/'Drilling Spec'!$C$31)*'Drilling Spec'!$C$32,0)</f>
        <v>0</v>
      </c>
      <c r="Q44" s="18">
        <f t="shared" si="15"/>
        <v>0</v>
      </c>
      <c r="R44" s="18"/>
      <c r="S44" s="26" t="str">
        <f>IF(AND(OR(T43=0,T43=""),M44=0),IF(M45=0,"",'Drilling Spec'!$C$30),O44)</f>
        <v/>
      </c>
      <c r="U44" s="15">
        <f>E44*'Drilling Spec'!$C$22 + L44*'Drilling Spec'!$C$23</f>
        <v>0.4809756097560976</v>
      </c>
      <c r="V44" s="15">
        <f t="shared" si="16"/>
        <v>13.467317073170729</v>
      </c>
      <c r="W44" s="15">
        <f t="shared" si="6"/>
        <v>4.5326829268292643</v>
      </c>
      <c r="X44" s="10"/>
      <c r="Y44" s="30">
        <f>IF(W44&lt;U45,'Drilling Spec'!$C$35,0)</f>
        <v>0</v>
      </c>
      <c r="AA44" s="4">
        <f t="shared" si="19"/>
        <v>40</v>
      </c>
      <c r="AB44" s="10"/>
      <c r="AC44" s="30">
        <f>IF('04-07-25-Scen5-WorstCargoJIT'!K45&gt;'04-07-25-Scen5-WorstCargoJIT'!AA44,'Drilling Spec'!$C$36,)</f>
        <v>0</v>
      </c>
      <c r="AE44" s="18">
        <f>(I44-'Drilling Spec'!$C$26)/'Drilling Spec'!$C$38</f>
        <v>94.262250391767566</v>
      </c>
      <c r="AF44" s="18">
        <f t="shared" si="7"/>
        <v>2.565680987831584</v>
      </c>
      <c r="AG44" s="34">
        <f t="shared" si="8"/>
        <v>14.262250391767566</v>
      </c>
      <c r="AH44" s="10"/>
      <c r="AI44" s="26">
        <f>IF(C44="Camp Closed",AG44,IF(AG44&lt;'Drilling Spec'!$C$39,,'Drilling Spec'!$C$39))</f>
        <v>0</v>
      </c>
      <c r="AL44" s="16">
        <f t="shared" si="9"/>
        <v>-635.57350235060539</v>
      </c>
      <c r="AM44" s="16" t="e">
        <f t="shared" si="10"/>
        <v>#N/A</v>
      </c>
      <c r="AN44">
        <f>-'Drilling Spec'!$C$29</f>
        <v>-720</v>
      </c>
      <c r="AO44">
        <f>-'Drilling Spec'!$C$27</f>
        <v>-624</v>
      </c>
      <c r="AP44">
        <f>-'Drilling Spec'!$C$28</f>
        <v>-688</v>
      </c>
      <c r="AQ44" t="e">
        <f t="shared" si="11"/>
        <v>#N/A</v>
      </c>
      <c r="AR44" t="e">
        <f>IF(X44=0,NA(),-'Drilling Spec'!$C$29*0.1)</f>
        <v>#N/A</v>
      </c>
      <c r="AS44" t="e">
        <f>IF(Y44=0,NA(),-'Drilling Spec'!$C$29*0.1)</f>
        <v>#N/A</v>
      </c>
      <c r="AT44" t="e">
        <f>IF(AB44=0,NA(),-'Drilling Spec'!$C$29*0.2)</f>
        <v>#N/A</v>
      </c>
      <c r="AU44" t="e">
        <f>IF(AC44=0,NA(),-'Drilling Spec'!$C$29*0.2)</f>
        <v>#N/A</v>
      </c>
      <c r="AV44" t="e">
        <f>IF(AH44=0,NA(),-'Drilling Spec'!$C$29*0.3)</f>
        <v>#N/A</v>
      </c>
      <c r="AW44" t="e">
        <f>IF(AI44=0,NA(),-'Drilling Spec'!$C$29*0.3)</f>
        <v>#N/A</v>
      </c>
      <c r="AX44" s="29">
        <f t="shared" si="12"/>
        <v>4.5326829268292643</v>
      </c>
      <c r="AY44" s="29">
        <f t="shared" si="13"/>
        <v>2.961766509959638</v>
      </c>
      <c r="AZ44" s="29">
        <f t="shared" si="17"/>
        <v>14.262250391767566</v>
      </c>
    </row>
    <row r="45" spans="1:79" x14ac:dyDescent="0.35">
      <c r="A45" s="28">
        <f t="shared" si="18"/>
        <v>46015</v>
      </c>
      <c r="B45" t="str">
        <f t="shared" si="0"/>
        <v>Wed</v>
      </c>
      <c r="C45" s="10" t="s">
        <v>9</v>
      </c>
      <c r="D45" s="10">
        <v>24</v>
      </c>
      <c r="E45" s="4">
        <f t="shared" si="1"/>
        <v>24</v>
      </c>
      <c r="F45" s="4">
        <f t="shared" si="2"/>
        <v>696</v>
      </c>
      <c r="G45" s="4">
        <f t="shared" si="3"/>
        <v>1440</v>
      </c>
      <c r="H45" s="15">
        <f>(SQRT(4*I44*I44*V*V + 'Drilling Spec'!$C$42*I44 + W*('Drilling Spec'!$C$43 + 2*l*V*(s*W + 2*V*G45/(1+e)) + 'Drilling Spec'!$C$44)) - 'Drilling Spec'!$C$45)/(2*V)</f>
        <v>650.76665889374931</v>
      </c>
      <c r="I45" s="23">
        <f>IF(AND(OR(I44=0,I44=""),F45=0),IF(F46=0,"",'Drilling Spec'!$C$26),H45)</f>
        <v>650.76665889374931</v>
      </c>
      <c r="J45" s="16">
        <f>MAX(0,I45-'Drilling Spec'!$C$30)</f>
        <v>570.76665889374931</v>
      </c>
      <c r="K45" s="18">
        <f>IFERROR(J45/'Drilling Spec'!$C$31,0)</f>
        <v>38.051110592916622</v>
      </c>
      <c r="L45" s="21">
        <f t="shared" si="4"/>
        <v>0</v>
      </c>
      <c r="M45" s="4">
        <f t="shared" si="14"/>
        <v>0</v>
      </c>
      <c r="N45" s="21">
        <f t="shared" si="5"/>
        <v>0</v>
      </c>
      <c r="O45" s="18">
        <f>(SQRT(4*O44*O44*vB*vB + 'Drilling Spec'!$C$48*O44 + WB*('Drilling Spec'!$C$49 + 2*lB*vB*(sB*WB + 2*vB*N45/(1+eB)) + 'Drilling Spec'!$C$50)) - 'Drilling Spec'!$C$51)/(2*vB)</f>
        <v>0</v>
      </c>
      <c r="P45" s="18">
        <f>IFERROR(((S45-'Drilling Spec'!$C$30)/'Drilling Spec'!$C$31)*'Drilling Spec'!$C$32,0)</f>
        <v>0</v>
      </c>
      <c r="Q45" s="18">
        <f t="shared" si="15"/>
        <v>0</v>
      </c>
      <c r="R45" s="18"/>
      <c r="S45" s="26" t="str">
        <f>IF(AND(OR(T44=0,T44=""),M45=0),IF(M46=0,"",'Drilling Spec'!$C$30),O45)</f>
        <v/>
      </c>
      <c r="U45" s="15">
        <f>E45*'Drilling Spec'!$C$22 + L45*'Drilling Spec'!$C$23</f>
        <v>0.4809756097560976</v>
      </c>
      <c r="V45" s="15">
        <f t="shared" si="16"/>
        <v>13.948292682926827</v>
      </c>
      <c r="W45" s="15">
        <f t="shared" si="6"/>
        <v>4.0517073170731663</v>
      </c>
      <c r="X45" s="10"/>
      <c r="Y45" s="30">
        <f>IF(W45&lt;U46,'Drilling Spec'!$C$35,0)</f>
        <v>0</v>
      </c>
      <c r="AA45" s="4">
        <f t="shared" si="19"/>
        <v>40</v>
      </c>
      <c r="AB45" s="10"/>
      <c r="AC45" s="30">
        <f>IF('04-07-25-Scen5-WorstCargoJIT'!K46&gt;'04-07-25-Scen5-WorstCargoJIT'!AA45,'Drilling Spec'!$C$36,)</f>
        <v>0</v>
      </c>
      <c r="AE45" s="18">
        <f>(I45-'Drilling Spec'!$C$26)/'Drilling Spec'!$C$38</f>
        <v>96.794443148958223</v>
      </c>
      <c r="AF45" s="18">
        <f t="shared" si="7"/>
        <v>2.5321927571906571</v>
      </c>
      <c r="AG45" s="34">
        <f t="shared" si="8"/>
        <v>16.794443148958223</v>
      </c>
      <c r="AH45" s="10"/>
      <c r="AI45" s="26">
        <f>IF(C45="Camp Closed",AG45,IF(AG45&lt;'Drilling Spec'!$C$39,,'Drilling Spec'!$C$39))</f>
        <v>0</v>
      </c>
      <c r="AL45" s="16">
        <f t="shared" si="9"/>
        <v>-650.76665889374931</v>
      </c>
      <c r="AM45" s="16" t="e">
        <f t="shared" si="10"/>
        <v>#N/A</v>
      </c>
      <c r="AN45">
        <f>-'Drilling Spec'!$C$29</f>
        <v>-720</v>
      </c>
      <c r="AO45">
        <f>-'Drilling Spec'!$C$27</f>
        <v>-624</v>
      </c>
      <c r="AP45">
        <f>-'Drilling Spec'!$C$28</f>
        <v>-688</v>
      </c>
      <c r="AQ45" t="e">
        <f t="shared" si="11"/>
        <v>#N/A</v>
      </c>
      <c r="AR45" t="e">
        <f>IF(X45=0,NA(),-'Drilling Spec'!$C$29*0.1)</f>
        <v>#N/A</v>
      </c>
      <c r="AS45" t="e">
        <f>IF(Y45=0,NA(),-'Drilling Spec'!$C$29*0.1)</f>
        <v>#N/A</v>
      </c>
      <c r="AT45" t="e">
        <f>IF(AB45=0,NA(),-'Drilling Spec'!$C$29*0.2)</f>
        <v>#N/A</v>
      </c>
      <c r="AU45" t="e">
        <f>IF(AC45=0,NA(),-'Drilling Spec'!$C$29*0.2)</f>
        <v>#N/A</v>
      </c>
      <c r="AV45" t="e">
        <f>IF(AH45=0,NA(),-'Drilling Spec'!$C$29*0.3)</f>
        <v>#N/A</v>
      </c>
      <c r="AW45" t="e">
        <f>IF(AI45=0,NA(),-'Drilling Spec'!$C$29*0.3)</f>
        <v>#N/A</v>
      </c>
      <c r="AX45" s="29">
        <f t="shared" si="12"/>
        <v>4.0517073170731663</v>
      </c>
      <c r="AY45" s="29">
        <f t="shared" si="13"/>
        <v>1.948889407083378</v>
      </c>
      <c r="AZ45" s="29">
        <f t="shared" si="17"/>
        <v>16.794443148958223</v>
      </c>
    </row>
    <row r="46" spans="1:79" x14ac:dyDescent="0.35">
      <c r="A46" s="28">
        <f t="shared" si="18"/>
        <v>46016</v>
      </c>
      <c r="B46" t="str">
        <f t="shared" si="0"/>
        <v>Thu</v>
      </c>
      <c r="C46" s="10" t="s">
        <v>7</v>
      </c>
      <c r="D46" s="10">
        <v>0</v>
      </c>
      <c r="E46" s="4">
        <f t="shared" si="1"/>
        <v>0</v>
      </c>
      <c r="F46" s="4">
        <f t="shared" si="2"/>
        <v>696</v>
      </c>
      <c r="G46" s="4">
        <f t="shared" si="3"/>
        <v>0</v>
      </c>
      <c r="H46" s="15">
        <f>(SQRT(4*I45*I45*V*V + 'Drilling Spec'!$C$42*I45 + W*('Drilling Spec'!$C$43 + 2*l*V*(s*W + 2*V*G46/(1+e)) + 'Drilling Spec'!$C$44)) - 'Drilling Spec'!$C$45)/(2*V)</f>
        <v>650.76665889374931</v>
      </c>
      <c r="I46" s="23">
        <f>IF(AND(OR(I45=0,I45=""),F46=0),IF(F47=0,"",'Drilling Spec'!$C$26),H46)</f>
        <v>650.76665889374931</v>
      </c>
      <c r="J46" s="16">
        <f>MAX(0,I46-'Drilling Spec'!$C$30)</f>
        <v>570.76665889374931</v>
      </c>
      <c r="K46" s="18">
        <f>IFERROR(J46/'Drilling Spec'!$C$31,0)</f>
        <v>38.051110592916622</v>
      </c>
      <c r="L46" s="21">
        <f t="shared" si="4"/>
        <v>0</v>
      </c>
      <c r="M46" s="4">
        <f t="shared" si="14"/>
        <v>0</v>
      </c>
      <c r="N46" s="21">
        <f t="shared" si="5"/>
        <v>0</v>
      </c>
      <c r="O46" s="18">
        <f>(SQRT(4*O45*O45*vB*vB + 'Drilling Spec'!$C$48*O45 + WB*('Drilling Spec'!$C$49 + 2*lB*vB*(sB*WB + 2*vB*N46/(1+eB)) + 'Drilling Spec'!$C$50)) - 'Drilling Spec'!$C$51)/(2*vB)</f>
        <v>0</v>
      </c>
      <c r="P46" s="18">
        <f>IFERROR(((S46-'Drilling Spec'!$C$30)/'Drilling Spec'!$C$31)*'Drilling Spec'!$C$32,0)</f>
        <v>0</v>
      </c>
      <c r="Q46" s="18">
        <f t="shared" si="15"/>
        <v>0</v>
      </c>
      <c r="R46" s="18"/>
      <c r="S46" s="26" t="str">
        <f>IF(AND(OR(T45=0,T45=""),M46=0),IF(M47=0,"",'Drilling Spec'!$C$30),O46)</f>
        <v/>
      </c>
      <c r="U46" s="15">
        <f>E46*'Drilling Spec'!$C$22 + L46*'Drilling Spec'!$C$23</f>
        <v>0</v>
      </c>
      <c r="V46" s="15">
        <f t="shared" si="16"/>
        <v>13.948292682926827</v>
      </c>
      <c r="W46" s="15">
        <f t="shared" si="6"/>
        <v>4.0517073170731663</v>
      </c>
      <c r="X46" s="10"/>
      <c r="Y46" s="30">
        <f>IF(W46&lt;U47,'Drilling Spec'!$C$35,0)</f>
        <v>0</v>
      </c>
      <c r="AA46" s="4">
        <f t="shared" si="19"/>
        <v>40</v>
      </c>
      <c r="AB46" s="10"/>
      <c r="AC46" s="30">
        <f>IF('04-07-25-Scen5-WorstCargoJIT'!K47&gt;'04-07-25-Scen5-WorstCargoJIT'!AA46,'Drilling Spec'!$C$36,)</f>
        <v>0</v>
      </c>
      <c r="AE46" s="18">
        <f>(I46-'Drilling Spec'!$C$26)/'Drilling Spec'!$C$38</f>
        <v>96.794443148958223</v>
      </c>
      <c r="AF46" s="18">
        <f t="shared" si="7"/>
        <v>0</v>
      </c>
      <c r="AG46" s="34">
        <f t="shared" si="8"/>
        <v>16.794443148958223</v>
      </c>
      <c r="AH46" s="10"/>
      <c r="AI46" s="26">
        <f>IF(C46="Camp Closed",AG46,IF(AG46&lt;'Drilling Spec'!$C$39,,'Drilling Spec'!$C$39))</f>
        <v>0</v>
      </c>
      <c r="AL46" s="16">
        <f t="shared" si="9"/>
        <v>-650.76665889374931</v>
      </c>
      <c r="AM46" s="16" t="e">
        <f t="shared" si="10"/>
        <v>#N/A</v>
      </c>
      <c r="AN46">
        <f>-'Drilling Spec'!$C$29</f>
        <v>-720</v>
      </c>
      <c r="AO46">
        <f>-'Drilling Spec'!$C$27</f>
        <v>-624</v>
      </c>
      <c r="AP46">
        <f>-'Drilling Spec'!$C$28</f>
        <v>-688</v>
      </c>
      <c r="AQ46" t="e">
        <f t="shared" si="11"/>
        <v>#N/A</v>
      </c>
      <c r="AR46" t="e">
        <f>IF(X46=0,NA(),-'Drilling Spec'!$C$29*0.1)</f>
        <v>#N/A</v>
      </c>
      <c r="AS46" t="e">
        <f>IF(Y46=0,NA(),-'Drilling Spec'!$C$29*0.1)</f>
        <v>#N/A</v>
      </c>
      <c r="AT46" t="e">
        <f>IF(AB46=0,NA(),-'Drilling Spec'!$C$29*0.2)</f>
        <v>#N/A</v>
      </c>
      <c r="AU46" t="e">
        <f>IF(AC46=0,NA(),-'Drilling Spec'!$C$29*0.2)</f>
        <v>#N/A</v>
      </c>
      <c r="AV46" t="e">
        <f>IF(AH46=0,NA(),-'Drilling Spec'!$C$29*0.3)</f>
        <v>#N/A</v>
      </c>
      <c r="AW46" t="e">
        <f>IF(AI46=0,NA(),-'Drilling Spec'!$C$29*0.3)</f>
        <v>#N/A</v>
      </c>
      <c r="AX46" s="29">
        <f t="shared" si="12"/>
        <v>4.0517073170731663</v>
      </c>
      <c r="AY46" s="29">
        <f t="shared" si="13"/>
        <v>1.948889407083378</v>
      </c>
      <c r="AZ46" s="29">
        <f t="shared" si="17"/>
        <v>16.794443148958223</v>
      </c>
      <c r="BA46" s="5" t="s">
        <v>110</v>
      </c>
      <c r="BB46" s="5">
        <f>COUNTIF(C3:C112,"Drilling")</f>
        <v>35</v>
      </c>
      <c r="BC46" s="5" t="s">
        <v>112</v>
      </c>
      <c r="BD46" s="5">
        <f>MAX(F3:F112)</f>
        <v>792</v>
      </c>
      <c r="BE46" s="5" t="s">
        <v>111</v>
      </c>
    </row>
    <row r="47" spans="1:79" x14ac:dyDescent="0.35">
      <c r="A47" s="28">
        <f t="shared" si="18"/>
        <v>46017</v>
      </c>
      <c r="B47" t="str">
        <f t="shared" si="0"/>
        <v>Fri</v>
      </c>
      <c r="C47" s="10" t="s">
        <v>9</v>
      </c>
      <c r="D47" s="10">
        <v>24</v>
      </c>
      <c r="E47" s="4">
        <f t="shared" si="1"/>
        <v>24</v>
      </c>
      <c r="F47" s="4">
        <f t="shared" si="2"/>
        <v>720</v>
      </c>
      <c r="G47" s="4">
        <f t="shared" si="3"/>
        <v>1440</v>
      </c>
      <c r="H47" s="15">
        <f>(SQRT(4*I46*I46*V*V + 'Drilling Spec'!$C$42*I46 + W*('Drilling Spec'!$C$43 + 2*l*V*(s*W + 2*V*G47/(1+e)) + 'Drilling Spec'!$C$44)) - 'Drilling Spec'!$C$45)/(2*V)</f>
        <v>665.76655432827908</v>
      </c>
      <c r="I47" s="23">
        <f>IF(AND(OR(I46=0,I46=""),F47=0),IF(F48=0,"",'Drilling Spec'!$C$26),H47)</f>
        <v>665.76655432827908</v>
      </c>
      <c r="J47" s="16">
        <f>MAX(0,I47-'Drilling Spec'!$C$30)</f>
        <v>585.76655432827908</v>
      </c>
      <c r="K47" s="18">
        <f>IFERROR(J47/'Drilling Spec'!$C$31,0)</f>
        <v>39.051103621885275</v>
      </c>
      <c r="L47" s="21">
        <f t="shared" si="4"/>
        <v>0</v>
      </c>
      <c r="M47" s="4">
        <f t="shared" si="14"/>
        <v>0</v>
      </c>
      <c r="N47" s="21">
        <f t="shared" si="5"/>
        <v>0</v>
      </c>
      <c r="O47" s="18">
        <f>(SQRT(4*O46*O46*vB*vB + 'Drilling Spec'!$C$48*O46 + WB*('Drilling Spec'!$C$49 + 2*lB*vB*(sB*WB + 2*vB*N47/(1+eB)) + 'Drilling Spec'!$C$50)) - 'Drilling Spec'!$C$51)/(2*vB)</f>
        <v>0</v>
      </c>
      <c r="P47" s="18">
        <f>IFERROR(((S47-'Drilling Spec'!$C$30)/'Drilling Spec'!$C$31)*'Drilling Spec'!$C$32,0)</f>
        <v>0</v>
      </c>
      <c r="Q47" s="18">
        <f t="shared" si="15"/>
        <v>0</v>
      </c>
      <c r="R47" s="18"/>
      <c r="S47" s="26" t="str">
        <f>IF(AND(OR(T46=0,T46=""),M47=0),IF(M48=0,"",'Drilling Spec'!$C$30),O47)</f>
        <v/>
      </c>
      <c r="U47" s="15">
        <f>E47*'Drilling Spec'!$C$22 + L47*'Drilling Spec'!$C$23</f>
        <v>0.4809756097560976</v>
      </c>
      <c r="V47" s="15">
        <f t="shared" si="16"/>
        <v>14.429268292682924</v>
      </c>
      <c r="W47" s="15">
        <f t="shared" si="6"/>
        <v>3.5707317073170688</v>
      </c>
      <c r="X47" s="10"/>
      <c r="Y47" s="30">
        <f>IF(W47&lt;U48,'Drilling Spec'!$C$35,0)</f>
        <v>0</v>
      </c>
      <c r="AA47" s="4">
        <f t="shared" si="19"/>
        <v>40</v>
      </c>
      <c r="AB47" s="10"/>
      <c r="AC47" s="30">
        <f>IF('04-07-25-Scen5-WorstCargoJIT'!K48&gt;'04-07-25-Scen5-WorstCargoJIT'!AA47,'Drilling Spec'!$C$36,)</f>
        <v>6</v>
      </c>
      <c r="AE47" s="18">
        <f>(I47-'Drilling Spec'!$C$26)/'Drilling Spec'!$C$38</f>
        <v>99.294425721379852</v>
      </c>
      <c r="AF47" s="18">
        <f t="shared" si="7"/>
        <v>2.4999825724216294</v>
      </c>
      <c r="AG47" s="34">
        <f t="shared" si="8"/>
        <v>19.294425721379852</v>
      </c>
      <c r="AH47" s="10"/>
      <c r="AI47" s="26">
        <f>IF(C47="Camp Closed",AG47,IF(AG47&lt;'Drilling Spec'!$C$39,,'Drilling Spec'!$C$39))</f>
        <v>0</v>
      </c>
      <c r="AL47" s="16">
        <f t="shared" si="9"/>
        <v>-665.76655432827908</v>
      </c>
      <c r="AM47" s="16" t="e">
        <f t="shared" si="10"/>
        <v>#N/A</v>
      </c>
      <c r="AN47">
        <f>-'Drilling Spec'!$C$29</f>
        <v>-720</v>
      </c>
      <c r="AO47">
        <f>-'Drilling Spec'!$C$27</f>
        <v>-624</v>
      </c>
      <c r="AP47">
        <f>-'Drilling Spec'!$C$28</f>
        <v>-688</v>
      </c>
      <c r="AQ47" t="e">
        <f t="shared" si="11"/>
        <v>#N/A</v>
      </c>
      <c r="AR47" t="e">
        <f>IF(X47=0,NA(),-'Drilling Spec'!$C$29*0.1)</f>
        <v>#N/A</v>
      </c>
      <c r="AS47" t="e">
        <f>IF(Y47=0,NA(),-'Drilling Spec'!$C$29*0.1)</f>
        <v>#N/A</v>
      </c>
      <c r="AT47" t="e">
        <f>IF(AB47=0,NA(),-'Drilling Spec'!$C$29*0.2)</f>
        <v>#N/A</v>
      </c>
      <c r="AU47">
        <f>IF(AC47=0,NA(),-'Drilling Spec'!$C$29*0.2)</f>
        <v>-144</v>
      </c>
      <c r="AV47" t="e">
        <f>IF(AH47=0,NA(),-'Drilling Spec'!$C$29*0.3)</f>
        <v>#N/A</v>
      </c>
      <c r="AW47" t="e">
        <f>IF(AI47=0,NA(),-'Drilling Spec'!$C$29*0.3)</f>
        <v>#N/A</v>
      </c>
      <c r="AX47" s="29">
        <f t="shared" si="12"/>
        <v>3.5707317073170688</v>
      </c>
      <c r="AY47" s="29">
        <f t="shared" si="13"/>
        <v>0.94889637811472483</v>
      </c>
      <c r="AZ47" s="29">
        <f t="shared" si="17"/>
        <v>19.294425721379852</v>
      </c>
      <c r="BA47" s="5" t="s">
        <v>109</v>
      </c>
      <c r="BB47" s="5">
        <f>COUNTIF(C3:C112,"Bailing")</f>
        <v>6</v>
      </c>
      <c r="BC47" s="5" t="s">
        <v>112</v>
      </c>
      <c r="BD47" s="5">
        <f>MAX(M3:M112)</f>
        <v>132</v>
      </c>
      <c r="BE47" s="5" t="s">
        <v>111</v>
      </c>
    </row>
    <row r="48" spans="1:79" x14ac:dyDescent="0.35">
      <c r="A48" s="28">
        <f t="shared" si="18"/>
        <v>46018</v>
      </c>
      <c r="B48" t="str">
        <f t="shared" si="0"/>
        <v>Sat</v>
      </c>
      <c r="C48" s="10" t="s">
        <v>9</v>
      </c>
      <c r="D48" s="10">
        <v>24</v>
      </c>
      <c r="E48" s="4">
        <f t="shared" si="1"/>
        <v>24</v>
      </c>
      <c r="F48" s="4">
        <f t="shared" si="2"/>
        <v>744</v>
      </c>
      <c r="G48" s="4">
        <f t="shared" si="3"/>
        <v>1440</v>
      </c>
      <c r="H48" s="15">
        <f>(SQRT(4*I47*I47*V*V + 'Drilling Spec'!$C$42*I47 + W*('Drilling Spec'!$C$43 + 2*l*V*(s*W + 2*V*G48/(1+e)) + 'Drilling Spec'!$C$44)) - 'Drilling Spec'!$C$45)/(2*V)</f>
        <v>680.58038124086875</v>
      </c>
      <c r="I48" s="23">
        <f>IF(AND(OR(I47=0,I47=""),F48=0),IF(F49=0,"",'Drilling Spec'!$C$26),H48)</f>
        <v>680.58038124086875</v>
      </c>
      <c r="J48" s="16">
        <f>MAX(0,I48-'Drilling Spec'!$C$30)</f>
        <v>600.58038124086875</v>
      </c>
      <c r="K48" s="18">
        <f>IFERROR(J48/'Drilling Spec'!$C$31,0)</f>
        <v>40.03869208272458</v>
      </c>
      <c r="L48" s="21">
        <f t="shared" si="4"/>
        <v>0</v>
      </c>
      <c r="M48" s="4">
        <f t="shared" si="14"/>
        <v>0</v>
      </c>
      <c r="N48" s="21">
        <f t="shared" si="5"/>
        <v>0</v>
      </c>
      <c r="O48" s="18">
        <f>(SQRT(4*O47*O47*vB*vB + 'Drilling Spec'!$C$48*O47 + WB*('Drilling Spec'!$C$49 + 2*lB*vB*(sB*WB + 2*vB*N48/(1+eB)) + 'Drilling Spec'!$C$50)) - 'Drilling Spec'!$C$51)/(2*vB)</f>
        <v>0</v>
      </c>
      <c r="P48" s="18">
        <f>IFERROR(((S48-'Drilling Spec'!$C$30)/'Drilling Spec'!$C$31)*'Drilling Spec'!$C$32,0)</f>
        <v>0</v>
      </c>
      <c r="Q48" s="18">
        <f t="shared" si="15"/>
        <v>0</v>
      </c>
      <c r="R48" s="18"/>
      <c r="S48" s="26" t="str">
        <f>IF(AND(OR(T47=0,T47=""),M48=0),IF(M49=0,"",'Drilling Spec'!$C$30),O48)</f>
        <v/>
      </c>
      <c r="U48" s="15">
        <f>E48*'Drilling Spec'!$C$22 + L48*'Drilling Spec'!$C$23</f>
        <v>0.4809756097560976</v>
      </c>
      <c r="V48" s="15">
        <f t="shared" si="16"/>
        <v>14.910243902439021</v>
      </c>
      <c r="W48" s="15">
        <f t="shared" si="6"/>
        <v>3.0897560975609712</v>
      </c>
      <c r="X48" s="10"/>
      <c r="Y48" s="30">
        <f>IF(W48&lt;U49,'Drilling Spec'!$C$35,0)</f>
        <v>0</v>
      </c>
      <c r="AA48" s="4">
        <f t="shared" si="19"/>
        <v>46</v>
      </c>
      <c r="AB48" s="10"/>
      <c r="AC48" s="30">
        <f>IF('04-07-25-Scen5-WorstCargoJIT'!K49&gt;'04-07-25-Scen5-WorstCargoJIT'!AA48,'Drilling Spec'!$C$36,)</f>
        <v>0</v>
      </c>
      <c r="AE48" s="18">
        <f>(I48-'Drilling Spec'!$C$26)/'Drilling Spec'!$C$38</f>
        <v>101.76339687347813</v>
      </c>
      <c r="AF48" s="18">
        <f t="shared" si="7"/>
        <v>2.4689711520982769</v>
      </c>
      <c r="AG48" s="34">
        <f t="shared" si="8"/>
        <v>21.763396873478129</v>
      </c>
      <c r="AH48" s="10"/>
      <c r="AI48" s="26">
        <f>IF(C48="Camp Closed",AG48,IF(AG48&lt;'Drilling Spec'!$C$39,,'Drilling Spec'!$C$39))</f>
        <v>20</v>
      </c>
      <c r="AL48" s="16">
        <f t="shared" si="9"/>
        <v>-680.58038124086875</v>
      </c>
      <c r="AM48" s="16" t="e">
        <f t="shared" si="10"/>
        <v>#N/A</v>
      </c>
      <c r="AN48">
        <f>-'Drilling Spec'!$C$29</f>
        <v>-720</v>
      </c>
      <c r="AO48">
        <f>-'Drilling Spec'!$C$27</f>
        <v>-624</v>
      </c>
      <c r="AP48">
        <f>-'Drilling Spec'!$C$28</f>
        <v>-688</v>
      </c>
      <c r="AQ48" t="e">
        <f t="shared" si="11"/>
        <v>#N/A</v>
      </c>
      <c r="AR48" t="e">
        <f>IF(X48=0,NA(),-'Drilling Spec'!$C$29*0.1)</f>
        <v>#N/A</v>
      </c>
      <c r="AS48" t="e">
        <f>IF(Y48=0,NA(),-'Drilling Spec'!$C$29*0.1)</f>
        <v>#N/A</v>
      </c>
      <c r="AT48" t="e">
        <f>IF(AB48=0,NA(),-'Drilling Spec'!$C$29*0.2)</f>
        <v>#N/A</v>
      </c>
      <c r="AU48" t="e">
        <f>IF(AC48=0,NA(),-'Drilling Spec'!$C$29*0.2)</f>
        <v>#N/A</v>
      </c>
      <c r="AV48" t="e">
        <f>IF(AH48=0,NA(),-'Drilling Spec'!$C$29*0.3)</f>
        <v>#N/A</v>
      </c>
      <c r="AW48">
        <f>IF(AI48=0,NA(),-'Drilling Spec'!$C$29*0.3)</f>
        <v>-216</v>
      </c>
      <c r="AX48" s="29">
        <f t="shared" si="12"/>
        <v>3.0897560975609712</v>
      </c>
      <c r="AY48" s="29">
        <f t="shared" si="13"/>
        <v>5.9613079172754198</v>
      </c>
      <c r="AZ48" s="29">
        <f t="shared" si="17"/>
        <v>21.763396873478129</v>
      </c>
    </row>
    <row r="49" spans="1:57" x14ac:dyDescent="0.35">
      <c r="A49" s="28">
        <f t="shared" si="18"/>
        <v>46019</v>
      </c>
      <c r="B49" t="str">
        <f t="shared" si="0"/>
        <v>Sun</v>
      </c>
      <c r="C49" s="10" t="s">
        <v>9</v>
      </c>
      <c r="D49" s="10">
        <v>24</v>
      </c>
      <c r="E49" s="4">
        <f t="shared" si="1"/>
        <v>24</v>
      </c>
      <c r="F49" s="4">
        <f t="shared" si="2"/>
        <v>768</v>
      </c>
      <c r="G49" s="4">
        <f t="shared" si="3"/>
        <v>1440</v>
      </c>
      <c r="H49" s="15">
        <f>(SQRT(4*I48*I48*V*V + 'Drilling Spec'!$C$42*I48 + W*('Drilling Spec'!$C$43 + 2*l*V*(s*W + 2*V*G49/(1+e)) + 'Drilling Spec'!$C$44)) - 'Drilling Spec'!$C$45)/(2*V)</f>
        <v>695.21489684427627</v>
      </c>
      <c r="I49" s="23">
        <f>IF(AND(OR(I48=0,I48=""),F49=0),IF(F50=0,"",'Drilling Spec'!$C$26),H49)</f>
        <v>695.21489684427627</v>
      </c>
      <c r="J49" s="16">
        <f>MAX(0,I49-'Drilling Spec'!$C$30)</f>
        <v>615.21489684427627</v>
      </c>
      <c r="K49" s="18">
        <f>IFERROR(J49/'Drilling Spec'!$C$31,0)</f>
        <v>41.014326456285083</v>
      </c>
      <c r="L49" s="21">
        <f t="shared" si="4"/>
        <v>0</v>
      </c>
      <c r="M49" s="4">
        <f t="shared" si="14"/>
        <v>0</v>
      </c>
      <c r="N49" s="21">
        <f t="shared" si="5"/>
        <v>0</v>
      </c>
      <c r="O49" s="18">
        <f>(SQRT(4*O48*O48*vB*vB + 'Drilling Spec'!$C$48*O48 + WB*('Drilling Spec'!$C$49 + 2*lB*vB*(sB*WB + 2*vB*N49/(1+eB)) + 'Drilling Spec'!$C$50)) - 'Drilling Spec'!$C$51)/(2*vB)</f>
        <v>0</v>
      </c>
      <c r="P49" s="18">
        <f>IFERROR(((S49-'Drilling Spec'!$C$30)/'Drilling Spec'!$C$31)*'Drilling Spec'!$C$32,0)</f>
        <v>0</v>
      </c>
      <c r="Q49" s="18">
        <f t="shared" si="15"/>
        <v>0</v>
      </c>
      <c r="R49" s="18"/>
      <c r="S49" s="26" t="str">
        <f>IF(AND(OR(T48=0,T48=""),M49=0),IF(M50=0,"",'Drilling Spec'!$C$30),O49)</f>
        <v/>
      </c>
      <c r="U49" s="15">
        <f>E49*'Drilling Spec'!$C$22 + L49*'Drilling Spec'!$C$23</f>
        <v>0.4809756097560976</v>
      </c>
      <c r="V49" s="15">
        <f t="shared" si="16"/>
        <v>15.391219512195118</v>
      </c>
      <c r="W49" s="15">
        <f t="shared" si="6"/>
        <v>2.6087804878048737</v>
      </c>
      <c r="X49" s="10"/>
      <c r="Y49" s="30">
        <f>IF(W49&lt;U50,'Drilling Spec'!$C$35,0)</f>
        <v>0</v>
      </c>
      <c r="AA49" s="4">
        <f t="shared" si="19"/>
        <v>46</v>
      </c>
      <c r="AB49" s="10"/>
      <c r="AC49" s="30">
        <f>IF('04-07-25-Scen5-WorstCargoJIT'!K50&gt;'04-07-25-Scen5-WorstCargoJIT'!AA49,'Drilling Spec'!$C$36,)</f>
        <v>0</v>
      </c>
      <c r="AE49" s="18">
        <f>(I49-'Drilling Spec'!$C$26)/'Drilling Spec'!$C$38</f>
        <v>104.20248280737938</v>
      </c>
      <c r="AF49" s="18">
        <f t="shared" si="7"/>
        <v>2.4390859339012536</v>
      </c>
      <c r="AG49" s="34">
        <f t="shared" si="8"/>
        <v>4.2024828073793827</v>
      </c>
      <c r="AH49" s="10"/>
      <c r="AI49" s="26">
        <f>IF(C49="Camp Closed",AG49,IF(AG49&lt;'Drilling Spec'!$C$39,,'Drilling Spec'!$C$39))</f>
        <v>0</v>
      </c>
      <c r="AL49" s="16">
        <f t="shared" si="9"/>
        <v>-695.21489684427627</v>
      </c>
      <c r="AM49" s="16" t="e">
        <f t="shared" si="10"/>
        <v>#N/A</v>
      </c>
      <c r="AN49">
        <f>-'Drilling Spec'!$C$29</f>
        <v>-720</v>
      </c>
      <c r="AO49">
        <f>-'Drilling Spec'!$C$27</f>
        <v>-624</v>
      </c>
      <c r="AP49">
        <f>-'Drilling Spec'!$C$28</f>
        <v>-688</v>
      </c>
      <c r="AQ49" t="e">
        <f t="shared" si="11"/>
        <v>#N/A</v>
      </c>
      <c r="AR49" t="e">
        <f>IF(X49=0,NA(),-'Drilling Spec'!$C$29*0.1)</f>
        <v>#N/A</v>
      </c>
      <c r="AS49" t="e">
        <f>IF(Y49=0,NA(),-'Drilling Spec'!$C$29*0.1)</f>
        <v>#N/A</v>
      </c>
      <c r="AT49" t="e">
        <f>IF(AB49=0,NA(),-'Drilling Spec'!$C$29*0.2)</f>
        <v>#N/A</v>
      </c>
      <c r="AU49" t="e">
        <f>IF(AC49=0,NA(),-'Drilling Spec'!$C$29*0.2)</f>
        <v>#N/A</v>
      </c>
      <c r="AV49" t="e">
        <f>IF(AH49=0,NA(),-'Drilling Spec'!$C$29*0.3)</f>
        <v>#N/A</v>
      </c>
      <c r="AW49" t="e">
        <f>IF(AI49=0,NA(),-'Drilling Spec'!$C$29*0.3)</f>
        <v>#N/A</v>
      </c>
      <c r="AX49" s="29">
        <f t="shared" si="12"/>
        <v>2.6087804878048737</v>
      </c>
      <c r="AY49" s="29">
        <f t="shared" si="13"/>
        <v>4.9856735437149169</v>
      </c>
      <c r="AZ49" s="29">
        <f t="shared" si="17"/>
        <v>4.2024828073793827</v>
      </c>
      <c r="BA49" s="5" t="s">
        <v>117</v>
      </c>
      <c r="BB49" s="5">
        <f>BB52-BB50</f>
        <v>51</v>
      </c>
      <c r="BC49" s="5" t="s">
        <v>112</v>
      </c>
      <c r="BD49" s="5">
        <f>SUM(D3:D112)</f>
        <v>1056</v>
      </c>
      <c r="BE49" s="5" t="s">
        <v>111</v>
      </c>
    </row>
    <row r="50" spans="1:57" x14ac:dyDescent="0.35">
      <c r="A50" s="28">
        <f t="shared" si="18"/>
        <v>46020</v>
      </c>
      <c r="B50" t="str">
        <f t="shared" si="0"/>
        <v>Mon</v>
      </c>
      <c r="C50" s="10" t="s">
        <v>9</v>
      </c>
      <c r="D50" s="10">
        <v>24</v>
      </c>
      <c r="E50" s="4">
        <f t="shared" si="1"/>
        <v>24</v>
      </c>
      <c r="F50" s="4">
        <f t="shared" si="2"/>
        <v>792</v>
      </c>
      <c r="G50" s="4">
        <f t="shared" si="3"/>
        <v>1440</v>
      </c>
      <c r="H50" s="15">
        <f>(SQRT(4*I49*I49*V*V + 'Drilling Spec'!$C$42*I49 + W*('Drilling Spec'!$C$43 + 2*l*V*(s*W + 2*V*G50/(1+e)) + 'Drilling Spec'!$C$44)) - 'Drilling Spec'!$C$45)/(2*V)</f>
        <v>709.67645900268099</v>
      </c>
      <c r="I50" s="23">
        <f>IF(AND(OR(I49=0,I49=""),F50=0),IF(F51=0,"",'Drilling Spec'!$C$26),H50)</f>
        <v>709.67645900268099</v>
      </c>
      <c r="J50" s="16">
        <f>MAX(0,I50-'Drilling Spec'!$C$30)</f>
        <v>629.67645900268099</v>
      </c>
      <c r="K50" s="18">
        <f>IFERROR(J50/'Drilling Spec'!$C$31,0)</f>
        <v>41.978430600178733</v>
      </c>
      <c r="L50" s="21">
        <f t="shared" si="4"/>
        <v>0</v>
      </c>
      <c r="M50" s="4">
        <f t="shared" si="14"/>
        <v>0</v>
      </c>
      <c r="N50" s="21">
        <f t="shared" si="5"/>
        <v>0</v>
      </c>
      <c r="O50" s="18">
        <f>(SQRT(4*O49*O49*vB*vB + 'Drilling Spec'!$C$48*O49 + WB*('Drilling Spec'!$C$49 + 2*lB*vB*(sB*WB + 2*vB*N50/(1+eB)) + 'Drilling Spec'!$C$50)) - 'Drilling Spec'!$C$51)/(2*vB)</f>
        <v>0</v>
      </c>
      <c r="P50" s="18">
        <f>IFERROR(((S50-'Drilling Spec'!$C$30)/'Drilling Spec'!$C$31)*'Drilling Spec'!$C$32,0)</f>
        <v>0</v>
      </c>
      <c r="Q50" s="18">
        <f t="shared" si="15"/>
        <v>0</v>
      </c>
      <c r="R50" s="18"/>
      <c r="S50" s="26">
        <f>IF(AND(OR(T49=0,T49=""),M50=0),IF(M51=0,"",'Drilling Spec'!$C$30),O50)</f>
        <v>80</v>
      </c>
      <c r="U50" s="15">
        <f>E50*'Drilling Spec'!$C$22 + L50*'Drilling Spec'!$C$23</f>
        <v>0.4809756097560976</v>
      </c>
      <c r="V50" s="15">
        <f t="shared" si="16"/>
        <v>15.872195121951215</v>
      </c>
      <c r="W50" s="15">
        <f t="shared" si="6"/>
        <v>2.1278048780487762</v>
      </c>
      <c r="X50" s="10"/>
      <c r="Y50" s="30">
        <f>IF(W50&lt;U51,'Drilling Spec'!$C$35,0)</f>
        <v>0</v>
      </c>
      <c r="AA50" s="4">
        <f t="shared" si="19"/>
        <v>46</v>
      </c>
      <c r="AB50" s="10"/>
      <c r="AC50" s="30">
        <f>IF('04-07-25-Scen5-WorstCargoJIT'!K51&gt;'04-07-25-Scen5-WorstCargoJIT'!AA50,'Drilling Spec'!$C$36,)</f>
        <v>0</v>
      </c>
      <c r="AE50" s="18">
        <f>(I50-'Drilling Spec'!$C$26)/'Drilling Spec'!$C$38</f>
        <v>106.61274316711349</v>
      </c>
      <c r="AF50" s="18">
        <f t="shared" si="7"/>
        <v>2.4102603597341101</v>
      </c>
      <c r="AG50" s="34">
        <f t="shared" si="8"/>
        <v>6.6127431671134929</v>
      </c>
      <c r="AH50" s="10"/>
      <c r="AI50" s="26">
        <f>IF(C50="Camp Closed",AG50,IF(AG50&lt;'Drilling Spec'!$C$39,,'Drilling Spec'!$C$39))</f>
        <v>0</v>
      </c>
      <c r="AL50" s="16">
        <f t="shared" si="9"/>
        <v>-709.67645900268099</v>
      </c>
      <c r="AM50" s="16">
        <f t="shared" si="10"/>
        <v>-80</v>
      </c>
      <c r="AN50">
        <f>-'Drilling Spec'!$C$29</f>
        <v>-720</v>
      </c>
      <c r="AO50">
        <f>-'Drilling Spec'!$C$27</f>
        <v>-624</v>
      </c>
      <c r="AP50">
        <f>-'Drilling Spec'!$C$28</f>
        <v>-688</v>
      </c>
      <c r="AQ50" t="e">
        <f t="shared" si="11"/>
        <v>#N/A</v>
      </c>
      <c r="AR50" t="e">
        <f>IF(X50=0,NA(),-'Drilling Spec'!$C$29*0.1)</f>
        <v>#N/A</v>
      </c>
      <c r="AS50" t="e">
        <f>IF(Y50=0,NA(),-'Drilling Spec'!$C$29*0.1)</f>
        <v>#N/A</v>
      </c>
      <c r="AT50" t="e">
        <f>IF(AB50=0,NA(),-'Drilling Spec'!$C$29*0.2)</f>
        <v>#N/A</v>
      </c>
      <c r="AU50" t="e">
        <f>IF(AC50=0,NA(),-'Drilling Spec'!$C$29*0.2)</f>
        <v>#N/A</v>
      </c>
      <c r="AV50" t="e">
        <f>IF(AH50=0,NA(),-'Drilling Spec'!$C$29*0.3)</f>
        <v>#N/A</v>
      </c>
      <c r="AW50" t="e">
        <f>IF(AI50=0,NA(),-'Drilling Spec'!$C$29*0.3)</f>
        <v>#N/A</v>
      </c>
      <c r="AX50" s="29">
        <f t="shared" si="12"/>
        <v>2.1278048780487762</v>
      </c>
      <c r="AY50" s="29">
        <f t="shared" si="13"/>
        <v>4.0215693998212672</v>
      </c>
      <c r="AZ50" s="29">
        <f t="shared" si="17"/>
        <v>6.6127431671134929</v>
      </c>
      <c r="BA50" s="5" t="s">
        <v>108</v>
      </c>
      <c r="BB50" s="5">
        <f>COUNTIF(C3:C112,"REST")</f>
        <v>9</v>
      </c>
      <c r="BC50" s="5" t="s">
        <v>112</v>
      </c>
    </row>
    <row r="51" spans="1:57" x14ac:dyDescent="0.35">
      <c r="A51" s="28">
        <f t="shared" si="18"/>
        <v>46021</v>
      </c>
      <c r="B51" t="str">
        <f t="shared" si="0"/>
        <v>Tue</v>
      </c>
      <c r="C51" s="10" t="s">
        <v>10</v>
      </c>
      <c r="D51" s="10">
        <v>24</v>
      </c>
      <c r="E51" s="4">
        <f t="shared" si="1"/>
        <v>0</v>
      </c>
      <c r="F51" s="4">
        <f t="shared" si="2"/>
        <v>792</v>
      </c>
      <c r="G51" s="4">
        <f t="shared" si="3"/>
        <v>0</v>
      </c>
      <c r="H51" s="15">
        <f>(SQRT(4*I50*I50*V*V + 'Drilling Spec'!$C$42*I50 + W*('Drilling Spec'!$C$43 + 2*l*V*(s*W + 2*V*G51/(1+e)) + 'Drilling Spec'!$C$44)) - 'Drilling Spec'!$C$45)/(2*V)</f>
        <v>709.67645900268099</v>
      </c>
      <c r="I51" s="23">
        <f>IF(AND(OR(I50=0,I50=""),F51=0),IF(F52=0,"",'Drilling Spec'!$C$26),H51)</f>
        <v>709.67645900268099</v>
      </c>
      <c r="J51" s="16">
        <f>MAX(0,I51-'Drilling Spec'!$C$30)</f>
        <v>629.67645900268099</v>
      </c>
      <c r="K51" s="18">
        <f>IFERROR(J51/'Drilling Spec'!$C$31,0)</f>
        <v>41.978430600178733</v>
      </c>
      <c r="L51" s="21">
        <f t="shared" si="4"/>
        <v>24</v>
      </c>
      <c r="M51" s="4">
        <f>(M50+L51)</f>
        <v>24</v>
      </c>
      <c r="N51" s="21">
        <f t="shared" si="5"/>
        <v>1440</v>
      </c>
      <c r="O51" s="18">
        <f>(SQRT(4*O50*O50*vB*vB + 'Drilling Spec'!$C$48*O50 + WB*('Drilling Spec'!$C$49 + 2*lB*vB*(sB*WB + 2*vB*N51/(1+eB)) + 'Drilling Spec'!$C$50)) - 'Drilling Spec'!$C$51)/(2*vB)</f>
        <v>259.40331160292249</v>
      </c>
      <c r="P51" s="18">
        <f>IFERROR(((S51-'Drilling Spec'!$C$30)/'Drilling Spec'!$C$31)*'Drilling Spec'!$C$32,0)</f>
        <v>10.764198696175349</v>
      </c>
      <c r="Q51" s="18">
        <f t="shared" si="15"/>
        <v>10.764198696175349</v>
      </c>
      <c r="R51" s="18"/>
      <c r="S51" s="26">
        <f>IF(AND(OR(T50=0,T50=""),M51=0),IF(M52=0,"",'Drilling Spec'!$C$30),O51)</f>
        <v>259.40331160292249</v>
      </c>
      <c r="U51" s="15">
        <f>E51*'Drilling Spec'!$C$22 + L51*'Drilling Spec'!$C$23</f>
        <v>0.58536585365853666</v>
      </c>
      <c r="V51" s="15">
        <f t="shared" si="16"/>
        <v>16.457560975609752</v>
      </c>
      <c r="W51" s="15">
        <f t="shared" si="6"/>
        <v>1.5424390243902395</v>
      </c>
      <c r="X51" s="10"/>
      <c r="Y51" s="30">
        <f>IF(W51&lt;U52,'Drilling Spec'!$C$35,0)</f>
        <v>0</v>
      </c>
      <c r="AA51" s="4">
        <f t="shared" si="19"/>
        <v>46</v>
      </c>
      <c r="AB51" s="10"/>
      <c r="AC51" s="30">
        <f>IF('04-07-25-Scen5-WorstCargoJIT'!K52&gt;'04-07-25-Scen5-WorstCargoJIT'!AA51,'Drilling Spec'!$C$36,)</f>
        <v>0</v>
      </c>
      <c r="AE51" s="18">
        <f>(I51-'Drilling Spec'!$C$26)/'Drilling Spec'!$C$38</f>
        <v>106.61274316711349</v>
      </c>
      <c r="AF51" s="18">
        <f t="shared" si="7"/>
        <v>0</v>
      </c>
      <c r="AG51" s="34">
        <f t="shared" si="8"/>
        <v>6.6127431671134929</v>
      </c>
      <c r="AH51" s="10"/>
      <c r="AI51" s="26">
        <f>IF(C51="Camp Closed",AG51,IF(AG51&lt;'Drilling Spec'!$C$39,,'Drilling Spec'!$C$39))</f>
        <v>0</v>
      </c>
      <c r="AL51" s="16">
        <f t="shared" si="9"/>
        <v>-709.67645900268099</v>
      </c>
      <c r="AM51" s="16">
        <f t="shared" si="10"/>
        <v>-259.40331160292249</v>
      </c>
      <c r="AN51">
        <f>-'Drilling Spec'!$C$29</f>
        <v>-720</v>
      </c>
      <c r="AO51">
        <f>-'Drilling Spec'!$C$27</f>
        <v>-624</v>
      </c>
      <c r="AP51">
        <f>-'Drilling Spec'!$C$28</f>
        <v>-688</v>
      </c>
      <c r="AQ51" t="e">
        <f t="shared" si="11"/>
        <v>#N/A</v>
      </c>
      <c r="AR51" t="e">
        <f>IF(X51=0,NA(),-'Drilling Spec'!$C$29*0.1)</f>
        <v>#N/A</v>
      </c>
      <c r="AS51" t="e">
        <f>IF(Y51=0,NA(),-'Drilling Spec'!$C$29*0.1)</f>
        <v>#N/A</v>
      </c>
      <c r="AT51" t="e">
        <f>IF(AB51=0,NA(),-'Drilling Spec'!$C$29*0.2)</f>
        <v>#N/A</v>
      </c>
      <c r="AU51" t="e">
        <f>IF(AC51=0,NA(),-'Drilling Spec'!$C$29*0.2)</f>
        <v>#N/A</v>
      </c>
      <c r="AV51" t="e">
        <f>IF(AH51=0,NA(),-'Drilling Spec'!$C$29*0.3)</f>
        <v>#N/A</v>
      </c>
      <c r="AW51" t="e">
        <f>IF(AI51=0,NA(),-'Drilling Spec'!$C$29*0.3)</f>
        <v>#N/A</v>
      </c>
      <c r="AX51" s="29">
        <f t="shared" si="12"/>
        <v>1.5424390243902395</v>
      </c>
      <c r="AY51" s="29">
        <f t="shared" si="13"/>
        <v>14.785768095996616</v>
      </c>
      <c r="AZ51" s="29">
        <f t="shared" si="17"/>
        <v>6.6127431671134929</v>
      </c>
    </row>
    <row r="52" spans="1:57" x14ac:dyDescent="0.35">
      <c r="A52" s="28">
        <f t="shared" si="18"/>
        <v>46022</v>
      </c>
      <c r="B52" t="str">
        <f t="shared" si="0"/>
        <v>Wed</v>
      </c>
      <c r="C52" s="10" t="s">
        <v>7</v>
      </c>
      <c r="D52" s="10">
        <v>0</v>
      </c>
      <c r="E52" s="4">
        <f t="shared" si="1"/>
        <v>0</v>
      </c>
      <c r="F52" s="4">
        <f t="shared" si="2"/>
        <v>792</v>
      </c>
      <c r="G52" s="4">
        <f t="shared" si="3"/>
        <v>0</v>
      </c>
      <c r="H52" s="15">
        <f>(SQRT(4*I51*I51*V*V + 'Drilling Spec'!$C$42*I51 + W*('Drilling Spec'!$C$43 + 2*l*V*(s*W + 2*V*G52/(1+e)) + 'Drilling Spec'!$C$44)) - 'Drilling Spec'!$C$45)/(2*V)</f>
        <v>709.67645900268099</v>
      </c>
      <c r="I52" s="23">
        <f>IF(AND(OR(I51=0,I51=""),F52=0),IF(F53=0,"",'Drilling Spec'!$C$26),H52)</f>
        <v>709.67645900268099</v>
      </c>
      <c r="J52" s="16">
        <f>MAX(0,I52-'Drilling Spec'!$C$30)</f>
        <v>629.67645900268099</v>
      </c>
      <c r="K52" s="18">
        <f>IFERROR(J52/'Drilling Spec'!$C$31,0)</f>
        <v>41.978430600178733</v>
      </c>
      <c r="L52" s="21">
        <f t="shared" si="4"/>
        <v>0</v>
      </c>
      <c r="M52" s="4">
        <f t="shared" si="14"/>
        <v>24</v>
      </c>
      <c r="N52" s="21">
        <f t="shared" si="5"/>
        <v>0</v>
      </c>
      <c r="O52" s="18">
        <f>(SQRT(4*O51*O51*vB*vB + 'Drilling Spec'!$C$48*O51 + WB*('Drilling Spec'!$C$49 + 2*lB*vB*(sB*WB + 2*vB*N52/(1+eB)) + 'Drilling Spec'!$C$50)) - 'Drilling Spec'!$C$51)/(2*vB)</f>
        <v>259.40331160292249</v>
      </c>
      <c r="P52" s="18">
        <f>IFERROR(((S52-'Drilling Spec'!$C$30)/'Drilling Spec'!$C$31)*'Drilling Spec'!$C$32,0)</f>
        <v>10.764198696175349</v>
      </c>
      <c r="Q52" s="18">
        <f t="shared" si="15"/>
        <v>0</v>
      </c>
      <c r="R52" s="18"/>
      <c r="S52" s="26">
        <f>IF(AND(OR(T51=0,T51=""),M52=0),IF(M53=0,"",'Drilling Spec'!$C$30),O52)</f>
        <v>259.40331160292249</v>
      </c>
      <c r="U52" s="15">
        <f>E52*'Drilling Spec'!$C$22 + L52*'Drilling Spec'!$C$23</f>
        <v>0</v>
      </c>
      <c r="V52" s="15">
        <f t="shared" si="16"/>
        <v>16.457560975609752</v>
      </c>
      <c r="W52" s="15">
        <f t="shared" si="6"/>
        <v>1.5424390243902395</v>
      </c>
      <c r="X52" s="10"/>
      <c r="Y52" s="30">
        <f>IF(W52&lt;U53,'Drilling Spec'!$C$35,0)</f>
        <v>0</v>
      </c>
      <c r="AA52" s="4">
        <f t="shared" si="19"/>
        <v>46</v>
      </c>
      <c r="AB52" s="10"/>
      <c r="AC52" s="30">
        <f>IF('04-07-25-Scen5-WorstCargoJIT'!K53&gt;'04-07-25-Scen5-WorstCargoJIT'!AA52,'Drilling Spec'!$C$36,)</f>
        <v>0</v>
      </c>
      <c r="AE52" s="18">
        <f>(I52-'Drilling Spec'!$C$26)/'Drilling Spec'!$C$38</f>
        <v>106.61274316711349</v>
      </c>
      <c r="AF52" s="18">
        <f t="shared" si="7"/>
        <v>0</v>
      </c>
      <c r="AG52" s="34">
        <f t="shared" si="8"/>
        <v>6.6127431671134929</v>
      </c>
      <c r="AH52" s="10"/>
      <c r="AI52" s="26">
        <f>IF(C52="Camp Closed",AG52,IF(AG52&lt;'Drilling Spec'!$C$39,,'Drilling Spec'!$C$39))</f>
        <v>0</v>
      </c>
      <c r="AL52" s="16">
        <f t="shared" si="9"/>
        <v>-709.67645900268099</v>
      </c>
      <c r="AM52" s="16">
        <f t="shared" si="10"/>
        <v>-259.40331160292249</v>
      </c>
      <c r="AN52">
        <f>-'Drilling Spec'!$C$29</f>
        <v>-720</v>
      </c>
      <c r="AO52">
        <f>-'Drilling Spec'!$C$27</f>
        <v>-624</v>
      </c>
      <c r="AP52">
        <f>-'Drilling Spec'!$C$28</f>
        <v>-688</v>
      </c>
      <c r="AQ52" t="e">
        <f t="shared" si="11"/>
        <v>#N/A</v>
      </c>
      <c r="AR52" t="e">
        <f>IF(X52=0,NA(),-'Drilling Spec'!$C$29*0.1)</f>
        <v>#N/A</v>
      </c>
      <c r="AS52" t="e">
        <f>IF(Y52=0,NA(),-'Drilling Spec'!$C$29*0.1)</f>
        <v>#N/A</v>
      </c>
      <c r="AT52" t="e">
        <f>IF(AB52=0,NA(),-'Drilling Spec'!$C$29*0.2)</f>
        <v>#N/A</v>
      </c>
      <c r="AU52" t="e">
        <f>IF(AC52=0,NA(),-'Drilling Spec'!$C$29*0.2)</f>
        <v>#N/A</v>
      </c>
      <c r="AV52" t="e">
        <f>IF(AH52=0,NA(),-'Drilling Spec'!$C$29*0.3)</f>
        <v>#N/A</v>
      </c>
      <c r="AW52" t="e">
        <f>IF(AI52=0,NA(),-'Drilling Spec'!$C$29*0.3)</f>
        <v>#N/A</v>
      </c>
      <c r="AX52" s="29">
        <f t="shared" si="12"/>
        <v>1.5424390243902395</v>
      </c>
      <c r="AY52" s="29">
        <f t="shared" si="13"/>
        <v>14.785768095996616</v>
      </c>
      <c r="AZ52" s="29">
        <f t="shared" si="17"/>
        <v>6.6127431671134929</v>
      </c>
      <c r="BA52" s="5" t="s">
        <v>113</v>
      </c>
      <c r="BB52" s="5">
        <f>_xlfn.XLOOKUP("Camp Closed",C3:C112,A3:A112)-_xlfn.XLOOKUP("Open Camp",C3:C112,A3:A112)</f>
        <v>60</v>
      </c>
      <c r="BC52" s="5" t="s">
        <v>112</v>
      </c>
    </row>
    <row r="53" spans="1:57" x14ac:dyDescent="0.35">
      <c r="A53" s="28">
        <f t="shared" si="18"/>
        <v>46023</v>
      </c>
      <c r="B53" t="str">
        <f t="shared" si="0"/>
        <v>Thu</v>
      </c>
      <c r="C53" s="10" t="s">
        <v>10</v>
      </c>
      <c r="D53" s="10">
        <v>24</v>
      </c>
      <c r="E53" s="4">
        <f t="shared" si="1"/>
        <v>0</v>
      </c>
      <c r="F53" s="4">
        <f t="shared" si="2"/>
        <v>792</v>
      </c>
      <c r="G53" s="4">
        <f t="shared" si="3"/>
        <v>0</v>
      </c>
      <c r="H53" s="15">
        <f>(SQRT(4*I52*I52*V*V + 'Drilling Spec'!$C$42*I52 + W*('Drilling Spec'!$C$43 + 2*l*V*(s*W + 2*V*G53/(1+e)) + 'Drilling Spec'!$C$44)) - 'Drilling Spec'!$C$45)/(2*V)</f>
        <v>709.67645900268099</v>
      </c>
      <c r="I53" s="23">
        <f>IF(AND(OR(I52=0,I52=""),F53=0),IF(F54=0,"",'Drilling Spec'!$C$26),H53)</f>
        <v>709.67645900268099</v>
      </c>
      <c r="J53" s="16">
        <f>MAX(0,I53-'Drilling Spec'!$C$30)</f>
        <v>629.67645900268099</v>
      </c>
      <c r="K53" s="18">
        <f>IFERROR(J53/'Drilling Spec'!$C$31,0)</f>
        <v>41.978430600178733</v>
      </c>
      <c r="L53" s="21">
        <f t="shared" si="4"/>
        <v>24</v>
      </c>
      <c r="M53" s="4">
        <f>(M52+L53)</f>
        <v>48</v>
      </c>
      <c r="N53" s="21">
        <f t="shared" si="5"/>
        <v>1440</v>
      </c>
      <c r="O53" s="18">
        <f>(SQRT(4*O52*O52*vB*vB + 'Drilling Spec'!$C$48*O52 + WB*('Drilling Spec'!$C$49 + 2*lB*vB*(sB*WB + 2*vB*N53/(1+eB)) + 'Drilling Spec'!$C$50)) - 'Drilling Spec'!$C$51)/(2*vB)</f>
        <v>400.47129457899786</v>
      </c>
      <c r="P53" s="18">
        <f>IFERROR(((S53-'Drilling Spec'!$C$30)/'Drilling Spec'!$C$31)*'Drilling Spec'!$C$32,0)</f>
        <v>19.228277674739871</v>
      </c>
      <c r="Q53" s="18">
        <f t="shared" si="15"/>
        <v>8.4640789785645225</v>
      </c>
      <c r="R53" s="18"/>
      <c r="S53" s="26">
        <f>IF(AND(OR(T52=0,T52=""),M53=0),IF(M54=0,"",'Drilling Spec'!$C$30),O53)</f>
        <v>400.47129457899786</v>
      </c>
      <c r="U53" s="15">
        <f>E53*'Drilling Spec'!$C$22 + L53*'Drilling Spec'!$C$23</f>
        <v>0.58536585365853666</v>
      </c>
      <c r="V53" s="15">
        <f t="shared" si="16"/>
        <v>17.042926829268289</v>
      </c>
      <c r="W53" s="15">
        <f t="shared" si="6"/>
        <v>0.95707317073170284</v>
      </c>
      <c r="X53" s="10"/>
      <c r="Y53" s="30">
        <f>IF(W53&lt;U54,'Drilling Spec'!$C$35,0)</f>
        <v>0</v>
      </c>
      <c r="AA53" s="4">
        <f t="shared" si="19"/>
        <v>46</v>
      </c>
      <c r="AB53" s="10"/>
      <c r="AC53" s="30">
        <f>IF('04-07-25-Scen5-WorstCargoJIT'!K54&gt;'04-07-25-Scen5-WorstCargoJIT'!AA53,'Drilling Spec'!$C$36,)</f>
        <v>0</v>
      </c>
      <c r="AE53" s="18">
        <f>(I53-'Drilling Spec'!$C$26)/'Drilling Spec'!$C$38</f>
        <v>106.61274316711349</v>
      </c>
      <c r="AF53" s="18">
        <f t="shared" si="7"/>
        <v>0</v>
      </c>
      <c r="AG53" s="34">
        <f t="shared" si="8"/>
        <v>6.6127431671134929</v>
      </c>
      <c r="AH53" s="10"/>
      <c r="AI53" s="26">
        <f>IF(C53="Camp Closed",AG53,IF(AG53&lt;'Drilling Spec'!$C$39,,'Drilling Spec'!$C$39))</f>
        <v>0</v>
      </c>
      <c r="AL53" s="16">
        <f t="shared" si="9"/>
        <v>-709.67645900268099</v>
      </c>
      <c r="AM53" s="16">
        <f t="shared" si="10"/>
        <v>-400.47129457899786</v>
      </c>
      <c r="AN53">
        <f>-'Drilling Spec'!$C$29</f>
        <v>-720</v>
      </c>
      <c r="AO53">
        <f>-'Drilling Spec'!$C$27</f>
        <v>-624</v>
      </c>
      <c r="AP53">
        <f>-'Drilling Spec'!$C$28</f>
        <v>-688</v>
      </c>
      <c r="AQ53" t="e">
        <f t="shared" si="11"/>
        <v>#N/A</v>
      </c>
      <c r="AR53" t="e">
        <f>IF(X53=0,NA(),-'Drilling Spec'!$C$29*0.1)</f>
        <v>#N/A</v>
      </c>
      <c r="AS53" t="e">
        <f>IF(Y53=0,NA(),-'Drilling Spec'!$C$29*0.1)</f>
        <v>#N/A</v>
      </c>
      <c r="AT53" t="e">
        <f>IF(AB53=0,NA(),-'Drilling Spec'!$C$29*0.2)</f>
        <v>#N/A</v>
      </c>
      <c r="AU53" t="e">
        <f>IF(AC53=0,NA(),-'Drilling Spec'!$C$29*0.2)</f>
        <v>#N/A</v>
      </c>
      <c r="AV53" t="e">
        <f>IF(AH53=0,NA(),-'Drilling Spec'!$C$29*0.3)</f>
        <v>#N/A</v>
      </c>
      <c r="AW53" t="e">
        <f>IF(AI53=0,NA(),-'Drilling Spec'!$C$29*0.3)</f>
        <v>#N/A</v>
      </c>
      <c r="AX53" s="29">
        <f t="shared" si="12"/>
        <v>0.95707317073170284</v>
      </c>
      <c r="AY53" s="29">
        <f t="shared" si="13"/>
        <v>23.249847074561139</v>
      </c>
      <c r="AZ53" s="29">
        <f t="shared" si="17"/>
        <v>6.6127431671134929</v>
      </c>
      <c r="BA53" s="5" t="s">
        <v>114</v>
      </c>
      <c r="BB53" s="5">
        <f>'04-07-25-Scen5-WorstCargoJIT'!BF5-A3 - BB52</f>
        <v>22</v>
      </c>
      <c r="BC53" s="5" t="s">
        <v>112</v>
      </c>
    </row>
    <row r="54" spans="1:57" x14ac:dyDescent="0.35">
      <c r="A54" s="28">
        <f t="shared" si="18"/>
        <v>46024</v>
      </c>
      <c r="B54" t="str">
        <f t="shared" si="0"/>
        <v>Fri</v>
      </c>
      <c r="C54" s="10" t="s">
        <v>10</v>
      </c>
      <c r="D54" s="10">
        <v>24</v>
      </c>
      <c r="E54" s="4">
        <f t="shared" si="1"/>
        <v>0</v>
      </c>
      <c r="F54" s="4">
        <f t="shared" si="2"/>
        <v>792</v>
      </c>
      <c r="G54" s="4">
        <f t="shared" si="3"/>
        <v>0</v>
      </c>
      <c r="H54" s="15">
        <f>(SQRT(4*I53*I53*V*V + 'Drilling Spec'!$C$42*I53 + W*('Drilling Spec'!$C$43 + 2*l*V*(s*W + 2*V*G54/(1+e)) + 'Drilling Spec'!$C$44)) - 'Drilling Spec'!$C$45)/(2*V)</f>
        <v>709.67645900268099</v>
      </c>
      <c r="I54" s="23">
        <f>IF(AND(OR(I53=0,I53=""),F54=0),IF(F55=0,"",'Drilling Spec'!$C$26),H54)</f>
        <v>709.67645900268099</v>
      </c>
      <c r="J54" s="16">
        <f>MAX(0,I54-'Drilling Spec'!$C$30)</f>
        <v>629.67645900268099</v>
      </c>
      <c r="K54" s="18">
        <f>IFERROR(J54/'Drilling Spec'!$C$31,0)</f>
        <v>41.978430600178733</v>
      </c>
      <c r="L54" s="21">
        <f t="shared" si="4"/>
        <v>24</v>
      </c>
      <c r="M54" s="4">
        <f t="shared" si="14"/>
        <v>72</v>
      </c>
      <c r="N54" s="21">
        <f t="shared" si="5"/>
        <v>1440</v>
      </c>
      <c r="O54" s="18">
        <f>(SQRT(4*O53*O53*vB*vB + 'Drilling Spec'!$C$48*O53 + WB*('Drilling Spec'!$C$49 + 2*lB*vB*(sB*WB + 2*vB*N54/(1+eB)) + 'Drilling Spec'!$C$50)) - 'Drilling Spec'!$C$51)/(2*vB)</f>
        <v>510.1938307186208</v>
      </c>
      <c r="P54" s="18">
        <f>IFERROR(((S54-'Drilling Spec'!$C$30)/'Drilling Spec'!$C$31)*'Drilling Spec'!$C$32,0)</f>
        <v>25.811629843117249</v>
      </c>
      <c r="Q54" s="18">
        <f t="shared" si="15"/>
        <v>6.5833521683773775</v>
      </c>
      <c r="R54" s="18"/>
      <c r="S54" s="26">
        <f>IF(AND(OR(T53=0,T53=""),M54=0),IF(M55=0,"",'Drilling Spec'!$C$30),O54)</f>
        <v>510.1938307186208</v>
      </c>
      <c r="U54" s="15">
        <f>E54*'Drilling Spec'!$C$22 + L54*'Drilling Spec'!$C$23</f>
        <v>0.58536585365853666</v>
      </c>
      <c r="V54" s="15">
        <f t="shared" si="16"/>
        <v>17.628292682926826</v>
      </c>
      <c r="W54" s="15">
        <f t="shared" si="6"/>
        <v>0.37170731707316618</v>
      </c>
      <c r="X54" s="10"/>
      <c r="Y54" s="30">
        <f>IF(W54&lt;U55,'Drilling Spec'!$C$35,0)</f>
        <v>6</v>
      </c>
      <c r="AA54" s="4">
        <f t="shared" si="19"/>
        <v>46</v>
      </c>
      <c r="AB54" s="10"/>
      <c r="AC54" s="30">
        <f>IF('04-07-25-Scen5-WorstCargoJIT'!K55&gt;'04-07-25-Scen5-WorstCargoJIT'!AA54,'Drilling Spec'!$C$36,)</f>
        <v>0</v>
      </c>
      <c r="AE54" s="18">
        <f>(I54-'Drilling Spec'!$C$26)/'Drilling Spec'!$C$38</f>
        <v>106.61274316711349</v>
      </c>
      <c r="AF54" s="18">
        <f t="shared" si="7"/>
        <v>0</v>
      </c>
      <c r="AG54" s="34">
        <f t="shared" si="8"/>
        <v>6.6127431671134929</v>
      </c>
      <c r="AH54" s="10"/>
      <c r="AI54" s="26">
        <f>IF(C54="Camp Closed",AG54,IF(AG54&lt;'Drilling Spec'!$C$39,,'Drilling Spec'!$C$39))</f>
        <v>0</v>
      </c>
      <c r="AL54" s="16">
        <f t="shared" si="9"/>
        <v>-709.67645900268099</v>
      </c>
      <c r="AM54" s="16">
        <f t="shared" si="10"/>
        <v>-510.1938307186208</v>
      </c>
      <c r="AN54">
        <f>-'Drilling Spec'!$C$29</f>
        <v>-720</v>
      </c>
      <c r="AO54">
        <f>-'Drilling Spec'!$C$27</f>
        <v>-624</v>
      </c>
      <c r="AP54">
        <f>-'Drilling Spec'!$C$28</f>
        <v>-688</v>
      </c>
      <c r="AQ54" t="e">
        <f t="shared" si="11"/>
        <v>#N/A</v>
      </c>
      <c r="AR54" t="e">
        <f>IF(X54=0,NA(),-'Drilling Spec'!$C$29*0.1)</f>
        <v>#N/A</v>
      </c>
      <c r="AS54">
        <f>IF(Y54=0,NA(),-'Drilling Spec'!$C$29*0.1)</f>
        <v>-72</v>
      </c>
      <c r="AT54" t="e">
        <f>IF(AB54=0,NA(),-'Drilling Spec'!$C$29*0.2)</f>
        <v>#N/A</v>
      </c>
      <c r="AU54" t="e">
        <f>IF(AC54=0,NA(),-'Drilling Spec'!$C$29*0.2)</f>
        <v>#N/A</v>
      </c>
      <c r="AV54" t="e">
        <f>IF(AH54=0,NA(),-'Drilling Spec'!$C$29*0.3)</f>
        <v>#N/A</v>
      </c>
      <c r="AW54" t="e">
        <f>IF(AI54=0,NA(),-'Drilling Spec'!$C$29*0.3)</f>
        <v>#N/A</v>
      </c>
      <c r="AX54" s="29">
        <f t="shared" si="12"/>
        <v>0.37170731707316618</v>
      </c>
      <c r="AY54" s="29">
        <f t="shared" si="13"/>
        <v>29.833199242938516</v>
      </c>
      <c r="AZ54" s="29">
        <f t="shared" si="17"/>
        <v>6.6127431671134929</v>
      </c>
    </row>
    <row r="55" spans="1:57" x14ac:dyDescent="0.35">
      <c r="A55" s="28">
        <f>A54+1</f>
        <v>46025</v>
      </c>
      <c r="B55" t="str">
        <f t="shared" si="0"/>
        <v>Sat</v>
      </c>
      <c r="C55" s="10" t="s">
        <v>10</v>
      </c>
      <c r="D55" s="10">
        <v>24</v>
      </c>
      <c r="E55" s="4">
        <f t="shared" si="1"/>
        <v>0</v>
      </c>
      <c r="F55" s="4">
        <f t="shared" si="2"/>
        <v>792</v>
      </c>
      <c r="G55" s="4">
        <f t="shared" si="3"/>
        <v>0</v>
      </c>
      <c r="H55" s="15">
        <f>(SQRT(4*I54*I54*V*V + 'Drilling Spec'!$C$42*I54 + W*('Drilling Spec'!$C$43 + 2*l*V*(s*W + 2*V*G55/(1+e)) + 'Drilling Spec'!$C$44)) - 'Drilling Spec'!$C$45)/(2*V)</f>
        <v>709.67645900268099</v>
      </c>
      <c r="I55" s="23">
        <f>IF(AND(OR(I54=0,I54=""),F55=0),IF(F56=0,"",'Drilling Spec'!$C$26),H55)</f>
        <v>709.67645900268099</v>
      </c>
      <c r="J55" s="16">
        <f>MAX(0,I55-'Drilling Spec'!$C$30)</f>
        <v>629.67645900268099</v>
      </c>
      <c r="K55" s="18">
        <f>IFERROR(J55/'Drilling Spec'!$C$31,0)</f>
        <v>41.978430600178733</v>
      </c>
      <c r="L55" s="21">
        <f t="shared" si="4"/>
        <v>24</v>
      </c>
      <c r="M55" s="4">
        <f t="shared" si="14"/>
        <v>96</v>
      </c>
      <c r="N55" s="21">
        <f t="shared" si="5"/>
        <v>1440</v>
      </c>
      <c r="O55" s="18">
        <f>(SQRT(4*O54*O54*vB*vB + 'Drilling Spec'!$C$48*O54 + WB*('Drilling Spec'!$C$49 + 2*lB*vB*(sB*WB + 2*vB*N55/(1+eB)) + 'Drilling Spec'!$C$50)) - 'Drilling Spec'!$C$51)/(2*vB)</f>
        <v>603.20853687666511</v>
      </c>
      <c r="P55" s="18">
        <f>IFERROR(((S55-'Drilling Spec'!$C$30)/'Drilling Spec'!$C$31)*'Drilling Spec'!$C$32,0)</f>
        <v>31.392512212599907</v>
      </c>
      <c r="Q55" s="18">
        <f t="shared" si="15"/>
        <v>5.5808823694826586</v>
      </c>
      <c r="R55" s="18"/>
      <c r="S55" s="26">
        <f>IF(AND(OR(T54=0,T54=""),M55=0),IF(M56=0,"",'Drilling Spec'!$C$30),O55)</f>
        <v>603.20853687666511</v>
      </c>
      <c r="U55" s="15">
        <f>E55*'Drilling Spec'!$C$22 + L55*'Drilling Spec'!$C$23</f>
        <v>0.58536585365853666</v>
      </c>
      <c r="V55" s="15">
        <f t="shared" si="16"/>
        <v>18.213658536585363</v>
      </c>
      <c r="W55" s="15">
        <f t="shared" si="6"/>
        <v>5.7863414634146295</v>
      </c>
      <c r="X55" s="10"/>
      <c r="Y55" s="30">
        <f>IF(W55&lt;U56,'Drilling Spec'!$C$35,0)</f>
        <v>0</v>
      </c>
      <c r="AA55" s="4">
        <f t="shared" si="19"/>
        <v>46</v>
      </c>
      <c r="AB55" s="10"/>
      <c r="AC55" s="30">
        <f>IF('04-07-25-Scen5-WorstCargoJIT'!K56&gt;'04-07-25-Scen5-WorstCargoJIT'!AA55,'Drilling Spec'!$C$36,)</f>
        <v>0</v>
      </c>
      <c r="AE55" s="18">
        <f>(I55-'Drilling Spec'!$C$26)/'Drilling Spec'!$C$38</f>
        <v>106.61274316711349</v>
      </c>
      <c r="AF55" s="18">
        <f t="shared" si="7"/>
        <v>0</v>
      </c>
      <c r="AG55" s="34">
        <f t="shared" si="8"/>
        <v>6.6127431671134929</v>
      </c>
      <c r="AH55" s="10"/>
      <c r="AI55" s="26">
        <f>IF(C55="Camp Closed",AG55,IF(AG55&lt;'Drilling Spec'!$C$39,,'Drilling Spec'!$C$39))</f>
        <v>0</v>
      </c>
      <c r="AL55" s="16">
        <f t="shared" si="9"/>
        <v>-709.67645900268099</v>
      </c>
      <c r="AM55" s="16">
        <f t="shared" si="10"/>
        <v>-603.20853687666511</v>
      </c>
      <c r="AN55">
        <f>-'Drilling Spec'!$C$29</f>
        <v>-720</v>
      </c>
      <c r="AO55">
        <f>-'Drilling Spec'!$C$27</f>
        <v>-624</v>
      </c>
      <c r="AP55">
        <f>-'Drilling Spec'!$C$28</f>
        <v>-688</v>
      </c>
      <c r="AQ55" t="e">
        <f t="shared" si="11"/>
        <v>#N/A</v>
      </c>
      <c r="AR55" t="e">
        <f>IF(X55=0,NA(),-'Drilling Spec'!$C$29*0.1)</f>
        <v>#N/A</v>
      </c>
      <c r="AS55" t="e">
        <f>IF(Y55=0,NA(),-'Drilling Spec'!$C$29*0.1)</f>
        <v>#N/A</v>
      </c>
      <c r="AT55" t="e">
        <f>IF(AB55=0,NA(),-'Drilling Spec'!$C$29*0.2)</f>
        <v>#N/A</v>
      </c>
      <c r="AU55" t="e">
        <f>IF(AC55=0,NA(),-'Drilling Spec'!$C$29*0.2)</f>
        <v>#N/A</v>
      </c>
      <c r="AV55" t="e">
        <f>IF(AH55=0,NA(),-'Drilling Spec'!$C$29*0.3)</f>
        <v>#N/A</v>
      </c>
      <c r="AW55" t="e">
        <f>IF(AI55=0,NA(),-'Drilling Spec'!$C$29*0.3)</f>
        <v>#N/A</v>
      </c>
      <c r="AX55" s="29">
        <f t="shared" si="12"/>
        <v>5.7863414634146295</v>
      </c>
      <c r="AY55" s="29">
        <f t="shared" si="13"/>
        <v>35.414081612421171</v>
      </c>
      <c r="AZ55" s="29">
        <f t="shared" si="17"/>
        <v>6.6127431671134929</v>
      </c>
    </row>
    <row r="56" spans="1:57" x14ac:dyDescent="0.35">
      <c r="A56" s="28">
        <f t="shared" si="18"/>
        <v>46026</v>
      </c>
      <c r="B56" t="str">
        <f t="shared" si="0"/>
        <v>Sun</v>
      </c>
      <c r="C56" s="10" t="s">
        <v>7</v>
      </c>
      <c r="D56" s="10">
        <v>0</v>
      </c>
      <c r="E56" s="4">
        <f t="shared" si="1"/>
        <v>0</v>
      </c>
      <c r="F56" s="4">
        <f t="shared" si="2"/>
        <v>792</v>
      </c>
      <c r="G56" s="4">
        <f t="shared" si="3"/>
        <v>0</v>
      </c>
      <c r="H56" s="15">
        <f>(SQRT(4*I55*I55*V*V + 'Drilling Spec'!$C$42*I55 + W*('Drilling Spec'!$C$43 + 2*l*V*(s*W + 2*V*G56/(1+e)) + 'Drilling Spec'!$C$44)) - 'Drilling Spec'!$C$45)/(2*V)</f>
        <v>709.67645900268099</v>
      </c>
      <c r="I56" s="23">
        <f>IF(AND(OR(I55=0,I55=""),F56=0),IF(F57=0,"",'Drilling Spec'!$C$26),H56)</f>
        <v>709.67645900268099</v>
      </c>
      <c r="J56" s="16">
        <f>MAX(0,I56-'Drilling Spec'!$C$30)</f>
        <v>629.67645900268099</v>
      </c>
      <c r="K56" s="18">
        <f>IFERROR(J56/'Drilling Spec'!$C$31,0)</f>
        <v>41.978430600178733</v>
      </c>
      <c r="L56" s="21">
        <f t="shared" si="4"/>
        <v>0</v>
      </c>
      <c r="M56" s="4">
        <f t="shared" si="14"/>
        <v>96</v>
      </c>
      <c r="N56" s="21">
        <f t="shared" si="5"/>
        <v>0</v>
      </c>
      <c r="O56" s="18">
        <f>(SQRT(4*O55*O55*vB*vB + 'Drilling Spec'!$C$48*O55 + WB*('Drilling Spec'!$C$49 + 2*lB*vB*(sB*WB + 2*vB*N56/(1+eB)) + 'Drilling Spec'!$C$50)) - 'Drilling Spec'!$C$51)/(2*vB)</f>
        <v>603.20853687666511</v>
      </c>
      <c r="P56" s="18">
        <f>IFERROR(((S56-'Drilling Spec'!$C$30)/'Drilling Spec'!$C$31)*'Drilling Spec'!$C$32,0)</f>
        <v>31.392512212599907</v>
      </c>
      <c r="Q56" s="18">
        <f t="shared" si="15"/>
        <v>0</v>
      </c>
      <c r="R56" s="18"/>
      <c r="S56" s="26">
        <f>IF(AND(OR(T55=0,T55=""),M56=0),IF(M57=0,"",'Drilling Spec'!$C$30),O56)</f>
        <v>603.20853687666511</v>
      </c>
      <c r="U56" s="15">
        <f>E56*'Drilling Spec'!$C$22 + L56*'Drilling Spec'!$C$23</f>
        <v>0</v>
      </c>
      <c r="V56" s="15">
        <f t="shared" si="16"/>
        <v>18.213658536585363</v>
      </c>
      <c r="W56" s="15">
        <f t="shared" si="6"/>
        <v>5.7863414634146295</v>
      </c>
      <c r="X56" s="10"/>
      <c r="Y56" s="30">
        <f>IF(W56&lt;U57,'Drilling Spec'!$C$35,0)</f>
        <v>0</v>
      </c>
      <c r="AA56" s="4">
        <f t="shared" si="19"/>
        <v>46</v>
      </c>
      <c r="AB56" s="10"/>
      <c r="AC56" s="30">
        <f>IF('04-07-25-Scen5-WorstCargoJIT'!K57&gt;'04-07-25-Scen5-WorstCargoJIT'!AA56,'Drilling Spec'!$C$36,)</f>
        <v>0</v>
      </c>
      <c r="AE56" s="18">
        <f>(I56-'Drilling Spec'!$C$26)/'Drilling Spec'!$C$38</f>
        <v>106.61274316711349</v>
      </c>
      <c r="AF56" s="18">
        <f t="shared" si="7"/>
        <v>0</v>
      </c>
      <c r="AG56" s="34">
        <f t="shared" si="8"/>
        <v>6.6127431671134929</v>
      </c>
      <c r="AH56" s="10"/>
      <c r="AI56" s="26">
        <f>IF(C56="Camp Closed",AG56,IF(AG56&lt;'Drilling Spec'!$C$39,,'Drilling Spec'!$C$39))</f>
        <v>0</v>
      </c>
      <c r="AL56" s="16">
        <f t="shared" si="9"/>
        <v>-709.67645900268099</v>
      </c>
      <c r="AM56" s="16">
        <f t="shared" si="10"/>
        <v>-603.20853687666511</v>
      </c>
      <c r="AN56">
        <f>-'Drilling Spec'!$C$29</f>
        <v>-720</v>
      </c>
      <c r="AO56">
        <f>-'Drilling Spec'!$C$27</f>
        <v>-624</v>
      </c>
      <c r="AP56">
        <f>-'Drilling Spec'!$C$28</f>
        <v>-688</v>
      </c>
      <c r="AQ56" t="e">
        <f t="shared" si="11"/>
        <v>#N/A</v>
      </c>
      <c r="AR56" t="e">
        <f>IF(X56=0,NA(),-'Drilling Spec'!$C$29*0.1)</f>
        <v>#N/A</v>
      </c>
      <c r="AS56" t="e">
        <f>IF(Y56=0,NA(),-'Drilling Spec'!$C$29*0.1)</f>
        <v>#N/A</v>
      </c>
      <c r="AT56" t="e">
        <f>IF(AB56=0,NA(),-'Drilling Spec'!$C$29*0.2)</f>
        <v>#N/A</v>
      </c>
      <c r="AU56" t="e">
        <f>IF(AC56=0,NA(),-'Drilling Spec'!$C$29*0.2)</f>
        <v>#N/A</v>
      </c>
      <c r="AV56" t="e">
        <f>IF(AH56=0,NA(),-'Drilling Spec'!$C$29*0.3)</f>
        <v>#N/A</v>
      </c>
      <c r="AW56" t="e">
        <f>IF(AI56=0,NA(),-'Drilling Spec'!$C$29*0.3)</f>
        <v>#N/A</v>
      </c>
      <c r="AX56" s="29">
        <f t="shared" si="12"/>
        <v>5.7863414634146295</v>
      </c>
      <c r="AY56" s="29">
        <f t="shared" si="13"/>
        <v>35.414081612421171</v>
      </c>
      <c r="AZ56" s="29">
        <f t="shared" si="17"/>
        <v>6.6127431671134929</v>
      </c>
    </row>
    <row r="57" spans="1:57" x14ac:dyDescent="0.35">
      <c r="A57" s="28">
        <f t="shared" si="18"/>
        <v>46027</v>
      </c>
      <c r="B57" t="str">
        <f t="shared" si="0"/>
        <v>Mon</v>
      </c>
      <c r="C57" s="10" t="s">
        <v>10</v>
      </c>
      <c r="D57" s="10">
        <v>24</v>
      </c>
      <c r="E57" s="4">
        <f t="shared" si="1"/>
        <v>0</v>
      </c>
      <c r="F57" s="4">
        <f t="shared" si="2"/>
        <v>792</v>
      </c>
      <c r="G57" s="4">
        <f t="shared" si="3"/>
        <v>0</v>
      </c>
      <c r="H57" s="15">
        <f>(SQRT(4*I56*I56*V*V + 'Drilling Spec'!$C$42*I56 + W*('Drilling Spec'!$C$43 + 2*l*V*(s*W + 2*V*G57/(1+e)) + 'Drilling Spec'!$C$44)) - 'Drilling Spec'!$C$45)/(2*V)</f>
        <v>709.67645900268099</v>
      </c>
      <c r="I57" s="23">
        <f>IF(AND(OR(I56=0,I56=""),F57=0),IF(F58=0,"",'Drilling Spec'!$C$26),H57)</f>
        <v>709.67645900268099</v>
      </c>
      <c r="J57" s="16">
        <f>MAX(0,I57-'Drilling Spec'!$C$30)</f>
        <v>629.67645900268099</v>
      </c>
      <c r="K57" s="18">
        <f>IFERROR(J57/'Drilling Spec'!$C$31,0)</f>
        <v>41.978430600178733</v>
      </c>
      <c r="L57" s="21">
        <f t="shared" si="4"/>
        <v>24</v>
      </c>
      <c r="M57" s="4">
        <f t="shared" si="14"/>
        <v>120</v>
      </c>
      <c r="N57" s="21">
        <f t="shared" si="5"/>
        <v>1440</v>
      </c>
      <c r="O57" s="18">
        <f>(SQRT(4*O56*O56*vB*vB + 'Drilling Spec'!$C$48*O56 + WB*('Drilling Spec'!$C$49 + 2*lB*vB*(sB*WB + 2*vB*N57/(1+eB)) + 'Drilling Spec'!$C$50)) - 'Drilling Spec'!$C$51)/(2*vB)</f>
        <v>685.40606744913521</v>
      </c>
      <c r="P57" s="18">
        <f>IFERROR(((S57-'Drilling Spec'!$C$30)/'Drilling Spec'!$C$31)*'Drilling Spec'!$C$32,0)</f>
        <v>36.324364046948112</v>
      </c>
      <c r="Q57" s="18">
        <f t="shared" si="15"/>
        <v>4.9318518343482047</v>
      </c>
      <c r="R57" s="18"/>
      <c r="S57" s="26">
        <f>IF(AND(OR(T56=0,T56=""),M57=0),IF(M58=0,"",'Drilling Spec'!$C$30),O57)</f>
        <v>685.40606744913521</v>
      </c>
      <c r="U57" s="15">
        <f>E57*'Drilling Spec'!$C$22 + L57*'Drilling Spec'!$C$23</f>
        <v>0.58536585365853666</v>
      </c>
      <c r="V57" s="15">
        <f t="shared" si="16"/>
        <v>18.7990243902439</v>
      </c>
      <c r="W57" s="15">
        <f t="shared" si="6"/>
        <v>5.2009756097560924</v>
      </c>
      <c r="X57" s="10"/>
      <c r="Y57" s="30">
        <f>IF(W57&lt;U58,'Drilling Spec'!$C$35,0)</f>
        <v>0</v>
      </c>
      <c r="AA57" s="4">
        <f t="shared" si="19"/>
        <v>46</v>
      </c>
      <c r="AB57" s="10"/>
      <c r="AC57" s="30">
        <f>IF('04-07-25-Scen5-WorstCargoJIT'!K58&gt;'04-07-25-Scen5-WorstCargoJIT'!AA57,'Drilling Spec'!$C$36,)</f>
        <v>0</v>
      </c>
      <c r="AE57" s="18">
        <f>(I57-'Drilling Spec'!$C$26)/'Drilling Spec'!$C$38</f>
        <v>106.61274316711349</v>
      </c>
      <c r="AF57" s="18">
        <f t="shared" si="7"/>
        <v>0</v>
      </c>
      <c r="AG57" s="34">
        <f t="shared" si="8"/>
        <v>6.6127431671134929</v>
      </c>
      <c r="AH57" s="10"/>
      <c r="AI57" s="26">
        <f>IF(C57="Camp Closed",AG57,IF(AG57&lt;'Drilling Spec'!$C$39,,'Drilling Spec'!$C$39))</f>
        <v>0</v>
      </c>
      <c r="AL57" s="16">
        <f t="shared" si="9"/>
        <v>-709.67645900268099</v>
      </c>
      <c r="AM57" s="16">
        <f t="shared" si="10"/>
        <v>-685.40606744913521</v>
      </c>
      <c r="AN57">
        <f>-'Drilling Spec'!$C$29</f>
        <v>-720</v>
      </c>
      <c r="AO57">
        <f>-'Drilling Spec'!$C$27</f>
        <v>-624</v>
      </c>
      <c r="AP57">
        <f>-'Drilling Spec'!$C$28</f>
        <v>-688</v>
      </c>
      <c r="AQ57" t="e">
        <f t="shared" si="11"/>
        <v>#N/A</v>
      </c>
      <c r="AR57" t="e">
        <f>IF(X57=0,NA(),-'Drilling Spec'!$C$29*0.1)</f>
        <v>#N/A</v>
      </c>
      <c r="AS57" t="e">
        <f>IF(Y57=0,NA(),-'Drilling Spec'!$C$29*0.1)</f>
        <v>#N/A</v>
      </c>
      <c r="AT57" t="e">
        <f>IF(AB57=0,NA(),-'Drilling Spec'!$C$29*0.2)</f>
        <v>#N/A</v>
      </c>
      <c r="AU57" t="e">
        <f>IF(AC57=0,NA(),-'Drilling Spec'!$C$29*0.2)</f>
        <v>#N/A</v>
      </c>
      <c r="AV57" t="e">
        <f>IF(AH57=0,NA(),-'Drilling Spec'!$C$29*0.3)</f>
        <v>#N/A</v>
      </c>
      <c r="AW57" t="e">
        <f>IF(AI57=0,NA(),-'Drilling Spec'!$C$29*0.3)</f>
        <v>#N/A</v>
      </c>
      <c r="AX57" s="29">
        <f t="shared" si="12"/>
        <v>5.2009756097560924</v>
      </c>
      <c r="AY57" s="29">
        <f t="shared" si="13"/>
        <v>40.345933446769379</v>
      </c>
      <c r="AZ57" s="29">
        <f t="shared" si="17"/>
        <v>6.6127431671134929</v>
      </c>
    </row>
    <row r="58" spans="1:57" x14ac:dyDescent="0.35">
      <c r="A58" s="28">
        <f t="shared" si="18"/>
        <v>46028</v>
      </c>
      <c r="B58" t="str">
        <f t="shared" si="0"/>
        <v>Tue</v>
      </c>
      <c r="C58" s="10" t="s">
        <v>10</v>
      </c>
      <c r="D58" s="10">
        <v>12</v>
      </c>
      <c r="E58" s="4">
        <f t="shared" si="1"/>
        <v>0</v>
      </c>
      <c r="F58" s="4">
        <f t="shared" si="2"/>
        <v>792</v>
      </c>
      <c r="G58" s="4">
        <f t="shared" si="3"/>
        <v>0</v>
      </c>
      <c r="H58" s="15">
        <f>(SQRT(4*I57*I57*V*V + 'Drilling Spec'!$C$42*I57 + W*('Drilling Spec'!$C$43 + 2*l*V*(s*W + 2*V*G58/(1+e)) + 'Drilling Spec'!$C$44)) - 'Drilling Spec'!$C$45)/(2*V)</f>
        <v>709.67645900268099</v>
      </c>
      <c r="I58" s="23">
        <f>IF(AND(OR(I57=0,I57=""),F58=0),IF(F59=0,"",'Drilling Spec'!$C$26),H58)</f>
        <v>709.67645900268099</v>
      </c>
      <c r="J58" s="16">
        <f>MAX(0,I58-'Drilling Spec'!$C$30)</f>
        <v>629.67645900268099</v>
      </c>
      <c r="K58" s="18">
        <f>IFERROR(J58/'Drilling Spec'!$C$31,0)</f>
        <v>41.978430600178733</v>
      </c>
      <c r="L58" s="21">
        <f t="shared" si="4"/>
        <v>12</v>
      </c>
      <c r="M58" s="4">
        <f t="shared" si="14"/>
        <v>132</v>
      </c>
      <c r="N58" s="21">
        <f t="shared" si="5"/>
        <v>720</v>
      </c>
      <c r="O58" s="18">
        <f>(SQRT(4*O57*O57*vB*vB + 'Drilling Spec'!$C$48*O57 + WB*('Drilling Spec'!$C$49 + 2*lB*vB*(sB*WB + 2*vB*N58/(1+eB)) + 'Drilling Spec'!$C$50)) - 'Drilling Spec'!$C$51)/(2*vB)</f>
        <v>723.46681615545504</v>
      </c>
      <c r="P58" s="18">
        <f>IFERROR(((S58-'Drilling Spec'!$C$30)/'Drilling Spec'!$C$31)*'Drilling Spec'!$C$32,0)</f>
        <v>38.608008969327301</v>
      </c>
      <c r="Q58" s="18">
        <f t="shared" si="15"/>
        <v>2.2836449223791888</v>
      </c>
      <c r="R58" s="18"/>
      <c r="S58" s="26">
        <f>IF(AND(OR(T57=0,T57=""),M58=0),IF(M59=0,"",'Drilling Spec'!$C$30),O58)</f>
        <v>723.46681615545504</v>
      </c>
      <c r="U58" s="15">
        <f>E58*'Drilling Spec'!$C$22 + L58*'Drilling Spec'!$C$23</f>
        <v>0.29268292682926833</v>
      </c>
      <c r="V58" s="15">
        <f t="shared" si="16"/>
        <v>19.091707317073169</v>
      </c>
      <c r="W58" s="15">
        <f t="shared" si="6"/>
        <v>4.9082926829268239</v>
      </c>
      <c r="X58" s="10"/>
      <c r="Y58" s="30">
        <f>IF(W58&lt;U59,'Drilling Spec'!$C$35,0)</f>
        <v>0</v>
      </c>
      <c r="AA58" s="4">
        <f t="shared" si="19"/>
        <v>46</v>
      </c>
      <c r="AB58" s="10"/>
      <c r="AC58" s="30">
        <f>IF('04-07-25-Scen5-WorstCargoJIT'!K59&gt;'04-07-25-Scen5-WorstCargoJIT'!AA58,'Drilling Spec'!$C$36,)</f>
        <v>0</v>
      </c>
      <c r="AE58" s="18">
        <f>(I58-'Drilling Spec'!$C$26)/'Drilling Spec'!$C$38</f>
        <v>106.61274316711349</v>
      </c>
      <c r="AF58" s="18">
        <f t="shared" si="7"/>
        <v>0</v>
      </c>
      <c r="AG58" s="34">
        <f t="shared" si="8"/>
        <v>6.6127431671134929</v>
      </c>
      <c r="AH58" s="10"/>
      <c r="AI58" s="26">
        <f>IF(C58="Camp Closed",AG58,IF(AG58&lt;'Drilling Spec'!$C$39,,'Drilling Spec'!$C$39))</f>
        <v>0</v>
      </c>
      <c r="AL58" s="16">
        <f t="shared" si="9"/>
        <v>-709.67645900268099</v>
      </c>
      <c r="AM58" s="16">
        <f t="shared" si="10"/>
        <v>-723.46681615545504</v>
      </c>
      <c r="AN58">
        <f>-'Drilling Spec'!$C$29</f>
        <v>-720</v>
      </c>
      <c r="AO58">
        <f>-'Drilling Spec'!$C$27</f>
        <v>-624</v>
      </c>
      <c r="AP58">
        <f>-'Drilling Spec'!$C$28</f>
        <v>-688</v>
      </c>
      <c r="AQ58" t="e">
        <f t="shared" si="11"/>
        <v>#N/A</v>
      </c>
      <c r="AR58" t="e">
        <f>IF(X58=0,NA(),-'Drilling Spec'!$C$29*0.1)</f>
        <v>#N/A</v>
      </c>
      <c r="AS58" t="e">
        <f>IF(Y58=0,NA(),-'Drilling Spec'!$C$29*0.1)</f>
        <v>#N/A</v>
      </c>
      <c r="AT58" t="e">
        <f>IF(AB58=0,NA(),-'Drilling Spec'!$C$29*0.2)</f>
        <v>#N/A</v>
      </c>
      <c r="AU58" t="e">
        <f>IF(AC58=0,NA(),-'Drilling Spec'!$C$29*0.2)</f>
        <v>#N/A</v>
      </c>
      <c r="AV58" t="e">
        <f>IF(AH58=0,NA(),-'Drilling Spec'!$C$29*0.3)</f>
        <v>#N/A</v>
      </c>
      <c r="AW58" t="e">
        <f>IF(AI58=0,NA(),-'Drilling Spec'!$C$29*0.3)</f>
        <v>#N/A</v>
      </c>
      <c r="AX58" s="29">
        <f t="shared" si="12"/>
        <v>4.9082926829268239</v>
      </c>
      <c r="AY58" s="29">
        <f t="shared" si="13"/>
        <v>42.629578369148568</v>
      </c>
      <c r="AZ58" s="29">
        <f t="shared" si="17"/>
        <v>6.6127431671134929</v>
      </c>
    </row>
    <row r="59" spans="1:57" x14ac:dyDescent="0.35">
      <c r="A59" s="28">
        <f t="shared" si="18"/>
        <v>46029</v>
      </c>
      <c r="B59" t="str">
        <f t="shared" si="0"/>
        <v>Wed</v>
      </c>
      <c r="C59" s="10" t="s">
        <v>68</v>
      </c>
      <c r="D59" s="10">
        <v>12</v>
      </c>
      <c r="E59" s="4">
        <f t="shared" si="1"/>
        <v>0</v>
      </c>
      <c r="F59" s="4">
        <f t="shared" si="2"/>
        <v>792</v>
      </c>
      <c r="G59" s="4">
        <f t="shared" si="3"/>
        <v>0</v>
      </c>
      <c r="H59" s="15">
        <f>(SQRT(4*I58*I58*V*V + 'Drilling Spec'!$C$42*I58 + W*('Drilling Spec'!$C$43 + 2*l*V*(s*W + 2*V*G59/(1+e)) + 'Drilling Spec'!$C$44)) - 'Drilling Spec'!$C$45)/(2*V)</f>
        <v>709.67645900268099</v>
      </c>
      <c r="I59" s="23">
        <f>IF(AND(OR(I58=0,I58=""),F59=0),IF(F60=0,"",'Drilling Spec'!$C$26),H59)</f>
        <v>709.67645900268099</v>
      </c>
      <c r="J59" s="16">
        <f>MAX(0,I59-'Drilling Spec'!$C$30)</f>
        <v>629.67645900268099</v>
      </c>
      <c r="K59" s="18">
        <f>IFERROR(J59/'Drilling Spec'!$C$31,0)</f>
        <v>41.978430600178733</v>
      </c>
      <c r="L59" s="21">
        <f t="shared" si="4"/>
        <v>0</v>
      </c>
      <c r="M59" s="4">
        <f t="shared" si="14"/>
        <v>132</v>
      </c>
      <c r="N59" s="21">
        <f t="shared" si="5"/>
        <v>0</v>
      </c>
      <c r="O59" s="18">
        <f>(SQRT(4*O58*O58*vB*vB + 'Drilling Spec'!$C$48*O58 + WB*('Drilling Spec'!$C$49 + 2*lB*vB*(sB*WB + 2*vB*N59/(1+eB)) + 'Drilling Spec'!$C$50)) - 'Drilling Spec'!$C$51)/(2*vB)</f>
        <v>723.46681615545504</v>
      </c>
      <c r="P59" s="18">
        <f>IFERROR(((S59-'Drilling Spec'!$C$30)/'Drilling Spec'!$C$31)*'Drilling Spec'!$C$32,0)</f>
        <v>38.608008969327301</v>
      </c>
      <c r="Q59" s="18">
        <f t="shared" si="15"/>
        <v>0</v>
      </c>
      <c r="R59" s="18"/>
      <c r="S59" s="26">
        <f>IF(AND(OR(T58=0,T58=""),M59=0),IF(M60=0,"",'Drilling Spec'!$C$30),O59)</f>
        <v>723.46681615545504</v>
      </c>
      <c r="U59" s="15">
        <f>E59*'Drilling Spec'!$C$22 + L59*'Drilling Spec'!$C$23</f>
        <v>0</v>
      </c>
      <c r="V59" s="15">
        <f t="shared" si="16"/>
        <v>19.091707317073169</v>
      </c>
      <c r="W59" s="15">
        <f t="shared" si="6"/>
        <v>4.9082926829268239</v>
      </c>
      <c r="X59" s="10"/>
      <c r="Y59" s="30">
        <f>IF(W59&lt;U60,'Drilling Spec'!$C$35,0)</f>
        <v>0</v>
      </c>
      <c r="AA59" s="4">
        <f t="shared" si="19"/>
        <v>46</v>
      </c>
      <c r="AB59" s="10"/>
      <c r="AC59" s="30">
        <f>IF('04-07-25-Scen5-WorstCargoJIT'!K60&gt;'04-07-25-Scen5-WorstCargoJIT'!AA59,'Drilling Spec'!$C$36,)</f>
        <v>0</v>
      </c>
      <c r="AE59" s="18">
        <f>(I59-'Drilling Spec'!$C$26)/'Drilling Spec'!$C$38</f>
        <v>106.61274316711349</v>
      </c>
      <c r="AF59" s="18">
        <f t="shared" si="7"/>
        <v>0</v>
      </c>
      <c r="AG59" s="34">
        <f t="shared" si="8"/>
        <v>6.6127431671134929</v>
      </c>
      <c r="AH59" s="10"/>
      <c r="AI59" s="26">
        <f>IF(C59="Camp Closed",AG59,IF(AG59&lt;'Drilling Spec'!$C$39,,'Drilling Spec'!$C$39))</f>
        <v>0</v>
      </c>
      <c r="AL59" s="16">
        <f t="shared" si="9"/>
        <v>-709.67645900268099</v>
      </c>
      <c r="AM59" s="16">
        <f t="shared" si="10"/>
        <v>-723.46681615545504</v>
      </c>
      <c r="AN59">
        <f>-'Drilling Spec'!$C$29</f>
        <v>-720</v>
      </c>
      <c r="AO59">
        <f>-'Drilling Spec'!$C$27</f>
        <v>-624</v>
      </c>
      <c r="AP59">
        <f>-'Drilling Spec'!$C$28</f>
        <v>-688</v>
      </c>
      <c r="AQ59" t="e">
        <f t="shared" si="11"/>
        <v>#N/A</v>
      </c>
      <c r="AR59" t="e">
        <f>IF(X59=0,NA(),-'Drilling Spec'!$C$29*0.1)</f>
        <v>#N/A</v>
      </c>
      <c r="AS59" t="e">
        <f>IF(Y59=0,NA(),-'Drilling Spec'!$C$29*0.1)</f>
        <v>#N/A</v>
      </c>
      <c r="AT59" t="e">
        <f>IF(AB59=0,NA(),-'Drilling Spec'!$C$29*0.2)</f>
        <v>#N/A</v>
      </c>
      <c r="AU59" t="e">
        <f>IF(AC59=0,NA(),-'Drilling Spec'!$C$29*0.2)</f>
        <v>#N/A</v>
      </c>
      <c r="AV59" t="e">
        <f>IF(AH59=0,NA(),-'Drilling Spec'!$C$29*0.3)</f>
        <v>#N/A</v>
      </c>
      <c r="AW59" t="e">
        <f>IF(AI59=0,NA(),-'Drilling Spec'!$C$29*0.3)</f>
        <v>#N/A</v>
      </c>
      <c r="AX59" s="29">
        <f t="shared" si="12"/>
        <v>4.9082926829268239</v>
      </c>
      <c r="AY59" s="29">
        <f t="shared" si="13"/>
        <v>42.629578369148568</v>
      </c>
      <c r="AZ59" s="29">
        <f t="shared" si="17"/>
        <v>6.6127431671134929</v>
      </c>
    </row>
    <row r="60" spans="1:57" x14ac:dyDescent="0.35">
      <c r="A60" s="28">
        <f t="shared" si="18"/>
        <v>46030</v>
      </c>
      <c r="B60" t="str">
        <f t="shared" si="0"/>
        <v>Thu</v>
      </c>
      <c r="C60" s="10" t="s">
        <v>68</v>
      </c>
      <c r="D60" s="10">
        <v>12</v>
      </c>
      <c r="E60" s="4">
        <f t="shared" si="1"/>
        <v>0</v>
      </c>
      <c r="F60" s="4">
        <f t="shared" si="2"/>
        <v>792</v>
      </c>
      <c r="G60" s="4">
        <f t="shared" si="3"/>
        <v>0</v>
      </c>
      <c r="H60" s="15">
        <f>(SQRT(4*I59*I59*V*V + 'Drilling Spec'!$C$42*I59 + W*('Drilling Spec'!$C$43 + 2*l*V*(s*W + 2*V*G60/(1+e)) + 'Drilling Spec'!$C$44)) - 'Drilling Spec'!$C$45)/(2*V)</f>
        <v>709.67645900268099</v>
      </c>
      <c r="I60" s="23">
        <f>IF(AND(OR(I59=0,I59=""),F60=0),IF(F61=0,"",'Drilling Spec'!$C$26),H60)</f>
        <v>709.67645900268099</v>
      </c>
      <c r="J60" s="16">
        <f>MAX(0,I60-'Drilling Spec'!$C$30)</f>
        <v>629.67645900268099</v>
      </c>
      <c r="K60" s="18">
        <f>IFERROR(J60/'Drilling Spec'!$C$31,0)</f>
        <v>41.978430600178733</v>
      </c>
      <c r="L60" s="21">
        <f t="shared" si="4"/>
        <v>0</v>
      </c>
      <c r="M60" s="4">
        <f t="shared" si="14"/>
        <v>132</v>
      </c>
      <c r="N60" s="21">
        <f t="shared" si="5"/>
        <v>0</v>
      </c>
      <c r="O60" s="18">
        <f>(SQRT(4*O59*O59*vB*vB + 'Drilling Spec'!$C$48*O59 + WB*('Drilling Spec'!$C$49 + 2*lB*vB*(sB*WB + 2*vB*N60/(1+eB)) + 'Drilling Spec'!$C$50)) - 'Drilling Spec'!$C$51)/(2*vB)</f>
        <v>723.46681615545504</v>
      </c>
      <c r="P60" s="18">
        <f>IFERROR(((S60-'Drilling Spec'!$C$30)/'Drilling Spec'!$C$31)*'Drilling Spec'!$C$32,0)</f>
        <v>38.608008969327301</v>
      </c>
      <c r="Q60" s="18">
        <f t="shared" si="15"/>
        <v>0</v>
      </c>
      <c r="R60" s="18"/>
      <c r="S60" s="26">
        <f>IF(AND(OR(T59=0,T59=""),M60=0),IF(M61=0,"",'Drilling Spec'!$C$30),O60)</f>
        <v>723.46681615545504</v>
      </c>
      <c r="U60" s="15">
        <f>E60*'Drilling Spec'!$C$22 + L60*'Drilling Spec'!$C$23</f>
        <v>0</v>
      </c>
      <c r="V60" s="15">
        <f t="shared" si="16"/>
        <v>19.091707317073169</v>
      </c>
      <c r="W60" s="15">
        <f t="shared" si="6"/>
        <v>4.9082926829268239</v>
      </c>
      <c r="X60" s="10"/>
      <c r="Y60" s="30">
        <f>IF(W60&lt;U61,'Drilling Spec'!$C$35,0)</f>
        <v>0</v>
      </c>
      <c r="AA60" s="4">
        <f t="shared" si="19"/>
        <v>46</v>
      </c>
      <c r="AB60" s="10"/>
      <c r="AC60" s="30">
        <f>IF('04-07-25-Scen5-WorstCargoJIT'!K61&gt;'04-07-25-Scen5-WorstCargoJIT'!AA60,'Drilling Spec'!$C$36,)</f>
        <v>0</v>
      </c>
      <c r="AE60" s="18">
        <f>(I60-'Drilling Spec'!$C$26)/'Drilling Spec'!$C$38</f>
        <v>106.61274316711349</v>
      </c>
      <c r="AF60" s="18">
        <f t="shared" si="7"/>
        <v>0</v>
      </c>
      <c r="AG60" s="34">
        <f t="shared" si="8"/>
        <v>6.6127431671134929</v>
      </c>
      <c r="AH60" s="10"/>
      <c r="AI60" s="26">
        <f>IF(C60="Camp Closed",AG60,IF(AG60&lt;'Drilling Spec'!$C$39,,'Drilling Spec'!$C$39))</f>
        <v>0</v>
      </c>
      <c r="AL60" s="16">
        <f t="shared" si="9"/>
        <v>-709.67645900268099</v>
      </c>
      <c r="AM60" s="16">
        <f t="shared" si="10"/>
        <v>-723.46681615545504</v>
      </c>
      <c r="AN60">
        <f>-'Drilling Spec'!$C$29</f>
        <v>-720</v>
      </c>
      <c r="AO60">
        <f>-'Drilling Spec'!$C$27</f>
        <v>-624</v>
      </c>
      <c r="AP60">
        <f>-'Drilling Spec'!$C$28</f>
        <v>-688</v>
      </c>
      <c r="AQ60" t="e">
        <f t="shared" si="11"/>
        <v>#N/A</v>
      </c>
      <c r="AR60" t="e">
        <f>IF(X60=0,NA(),-'Drilling Spec'!$C$29*0.1)</f>
        <v>#N/A</v>
      </c>
      <c r="AS60" t="e">
        <f>IF(Y60=0,NA(),-'Drilling Spec'!$C$29*0.1)</f>
        <v>#N/A</v>
      </c>
      <c r="AT60" t="e">
        <f>IF(AB60=0,NA(),-'Drilling Spec'!$C$29*0.2)</f>
        <v>#N/A</v>
      </c>
      <c r="AU60" t="e">
        <f>IF(AC60=0,NA(),-'Drilling Spec'!$C$29*0.2)</f>
        <v>#N/A</v>
      </c>
      <c r="AV60" t="e">
        <f>IF(AH60=0,NA(),-'Drilling Spec'!$C$29*0.3)</f>
        <v>#N/A</v>
      </c>
      <c r="AW60" t="e">
        <f>IF(AI60=0,NA(),-'Drilling Spec'!$C$29*0.3)</f>
        <v>#N/A</v>
      </c>
      <c r="AX60" s="29">
        <f t="shared" si="12"/>
        <v>4.9082926829268239</v>
      </c>
      <c r="AY60" s="29">
        <f t="shared" si="13"/>
        <v>42.629578369148568</v>
      </c>
      <c r="AZ60" s="29">
        <f t="shared" si="17"/>
        <v>6.6127431671134929</v>
      </c>
    </row>
    <row r="61" spans="1:57" x14ac:dyDescent="0.35">
      <c r="A61" s="28">
        <f t="shared" si="18"/>
        <v>46031</v>
      </c>
      <c r="B61" t="str">
        <f t="shared" si="0"/>
        <v>Fri</v>
      </c>
      <c r="C61" s="10" t="s">
        <v>70</v>
      </c>
      <c r="D61" s="10">
        <v>12</v>
      </c>
      <c r="E61" s="4">
        <f t="shared" si="1"/>
        <v>0</v>
      </c>
      <c r="F61" s="4">
        <f t="shared" si="2"/>
        <v>792</v>
      </c>
      <c r="G61" s="4">
        <f t="shared" si="3"/>
        <v>0</v>
      </c>
      <c r="H61" s="15">
        <f>(SQRT(4*I60*I60*V*V + 'Drilling Spec'!$C$42*I60 + W*('Drilling Spec'!$C$43 + 2*l*V*(s*W + 2*V*G61/(1+e)) + 'Drilling Spec'!$C$44)) - 'Drilling Spec'!$C$45)/(2*V)</f>
        <v>709.67645900268099</v>
      </c>
      <c r="I61" s="23">
        <f>IF(AND(OR(I60=0,I60=""),F61=0),IF(F62=0,"",'Drilling Spec'!$C$26),H61)</f>
        <v>709.67645900268099</v>
      </c>
      <c r="J61" s="16">
        <f>MAX(0,I61-'Drilling Spec'!$C$30)</f>
        <v>629.67645900268099</v>
      </c>
      <c r="K61" s="18">
        <f>IFERROR(J61/'Drilling Spec'!$C$31,0)</f>
        <v>41.978430600178733</v>
      </c>
      <c r="L61" s="21">
        <f t="shared" si="4"/>
        <v>0</v>
      </c>
      <c r="M61" s="4">
        <f t="shared" si="14"/>
        <v>132</v>
      </c>
      <c r="N61" s="21">
        <f t="shared" si="5"/>
        <v>0</v>
      </c>
      <c r="O61" s="18">
        <f>(SQRT(4*O60*O60*vB*vB + 'Drilling Spec'!$C$48*O60 + WB*('Drilling Spec'!$C$49 + 2*lB*vB*(sB*WB + 2*vB*N61/(1+eB)) + 'Drilling Spec'!$C$50)) - 'Drilling Spec'!$C$51)/(2*vB)</f>
        <v>723.46681615545504</v>
      </c>
      <c r="P61" s="18">
        <f>IFERROR(((S61-'Drilling Spec'!$C$30)/'Drilling Spec'!$C$31)*'Drilling Spec'!$C$32,0)</f>
        <v>38.608008969327301</v>
      </c>
      <c r="Q61" s="18">
        <f t="shared" si="15"/>
        <v>0</v>
      </c>
      <c r="R61" s="18"/>
      <c r="S61" s="26">
        <f>IF(AND(OR(T60=0,T60=""),M61=0),IF(M62=0,"",'Drilling Spec'!$C$30),O61)</f>
        <v>723.46681615545504</v>
      </c>
      <c r="U61" s="15">
        <f>E61*'Drilling Spec'!$C$22 + L61*'Drilling Spec'!$C$23</f>
        <v>0</v>
      </c>
      <c r="V61" s="15">
        <f t="shared" si="16"/>
        <v>19.091707317073169</v>
      </c>
      <c r="W61" s="15">
        <f t="shared" si="6"/>
        <v>4.9082926829268239</v>
      </c>
      <c r="X61" s="10"/>
      <c r="Y61" s="30">
        <f>IF(W61&lt;U62,'Drilling Spec'!$C$35,0)</f>
        <v>0</v>
      </c>
      <c r="AA61" s="4">
        <f t="shared" si="19"/>
        <v>46</v>
      </c>
      <c r="AB61" s="10"/>
      <c r="AC61" s="30">
        <f>IF('04-07-25-Scen5-WorstCargoJIT'!K62&gt;'04-07-25-Scen5-WorstCargoJIT'!AA61,'Drilling Spec'!$C$36,)</f>
        <v>0</v>
      </c>
      <c r="AE61" s="18">
        <f>(I61-'Drilling Spec'!$C$26)/'Drilling Spec'!$C$38</f>
        <v>106.61274316711349</v>
      </c>
      <c r="AF61" s="18">
        <f t="shared" si="7"/>
        <v>0</v>
      </c>
      <c r="AG61" s="34">
        <f t="shared" si="8"/>
        <v>6.6127431671134929</v>
      </c>
      <c r="AH61" s="10"/>
      <c r="AI61" s="26">
        <f>IF(C61="Camp Closed",AG61,IF(AG61&lt;'Drilling Spec'!$C$39,,'Drilling Spec'!$C$39))</f>
        <v>0</v>
      </c>
      <c r="AL61" s="16">
        <f t="shared" si="9"/>
        <v>-709.67645900268099</v>
      </c>
      <c r="AM61" s="16">
        <f t="shared" si="10"/>
        <v>-723.46681615545504</v>
      </c>
      <c r="AN61">
        <f>-'Drilling Spec'!$C$29</f>
        <v>-720</v>
      </c>
      <c r="AO61">
        <f>-'Drilling Spec'!$C$27</f>
        <v>-624</v>
      </c>
      <c r="AP61">
        <f>-'Drilling Spec'!$C$28</f>
        <v>-688</v>
      </c>
      <c r="AQ61" t="e">
        <f t="shared" si="11"/>
        <v>#N/A</v>
      </c>
      <c r="AR61" t="e">
        <f>IF(X61=0,NA(),-'Drilling Spec'!$C$29*0.1)</f>
        <v>#N/A</v>
      </c>
      <c r="AS61" t="e">
        <f>IF(Y61=0,NA(),-'Drilling Spec'!$C$29*0.1)</f>
        <v>#N/A</v>
      </c>
      <c r="AT61" t="e">
        <f>IF(AB61=0,NA(),-'Drilling Spec'!$C$29*0.2)</f>
        <v>#N/A</v>
      </c>
      <c r="AU61" t="e">
        <f>IF(AC61=0,NA(),-'Drilling Spec'!$C$29*0.2)</f>
        <v>#N/A</v>
      </c>
      <c r="AV61" t="e">
        <f>IF(AH61=0,NA(),-'Drilling Spec'!$C$29*0.3)</f>
        <v>#N/A</v>
      </c>
      <c r="AW61" t="e">
        <f>IF(AI61=0,NA(),-'Drilling Spec'!$C$29*0.3)</f>
        <v>#N/A</v>
      </c>
      <c r="AX61" s="29">
        <f t="shared" si="12"/>
        <v>4.9082926829268239</v>
      </c>
      <c r="AY61" s="29">
        <f t="shared" si="13"/>
        <v>42.629578369148568</v>
      </c>
      <c r="AZ61" s="29">
        <f t="shared" si="17"/>
        <v>6.6127431671134929</v>
      </c>
    </row>
    <row r="62" spans="1:57" x14ac:dyDescent="0.35">
      <c r="A62" s="28">
        <f t="shared" si="18"/>
        <v>46032</v>
      </c>
      <c r="B62" t="str">
        <f t="shared" si="0"/>
        <v>Sat</v>
      </c>
      <c r="C62" s="10" t="s">
        <v>70</v>
      </c>
      <c r="D62" s="10">
        <v>12</v>
      </c>
      <c r="E62" s="4">
        <f t="shared" si="1"/>
        <v>0</v>
      </c>
      <c r="F62" s="4">
        <f t="shared" si="2"/>
        <v>792</v>
      </c>
      <c r="G62" s="4">
        <f t="shared" si="3"/>
        <v>0</v>
      </c>
      <c r="H62" s="15">
        <f>(SQRT(4*I61*I61*V*V + 'Drilling Spec'!$C$42*I61 + W*('Drilling Spec'!$C$43 + 2*l*V*(s*W + 2*V*G62/(1+e)) + 'Drilling Spec'!$C$44)) - 'Drilling Spec'!$C$45)/(2*V)</f>
        <v>709.67645900268099</v>
      </c>
      <c r="I62" s="23">
        <f>IF(AND(OR(I61=0,I61=""),F62=0),IF(F63=0,"",'Drilling Spec'!$C$26),H62)</f>
        <v>709.67645900268099</v>
      </c>
      <c r="J62" s="16">
        <f>MAX(0,I62-'Drilling Spec'!$C$30)</f>
        <v>629.67645900268099</v>
      </c>
      <c r="K62" s="18">
        <f>IFERROR(J62/'Drilling Spec'!$C$31,0)</f>
        <v>41.978430600178733</v>
      </c>
      <c r="L62" s="21">
        <f t="shared" si="4"/>
        <v>0</v>
      </c>
      <c r="M62" s="4">
        <f t="shared" si="14"/>
        <v>132</v>
      </c>
      <c r="N62" s="21">
        <f t="shared" si="5"/>
        <v>0</v>
      </c>
      <c r="O62" s="18">
        <f>(SQRT(4*O61*O61*vB*vB + 'Drilling Spec'!$C$48*O61 + WB*('Drilling Spec'!$C$49 + 2*lB*vB*(sB*WB + 2*vB*N62/(1+eB)) + 'Drilling Spec'!$C$50)) - 'Drilling Spec'!$C$51)/(2*vB)</f>
        <v>723.46681615545504</v>
      </c>
      <c r="P62" s="18">
        <f>IFERROR(((S62-'Drilling Spec'!$C$30)/'Drilling Spec'!$C$31)*'Drilling Spec'!$C$32,0)</f>
        <v>38.608008969327301</v>
      </c>
      <c r="Q62" s="18">
        <f t="shared" si="15"/>
        <v>0</v>
      </c>
      <c r="R62" s="18"/>
      <c r="S62" s="26">
        <f>IF(AND(OR(T61=0,T61=""),M62=0),IF(M63=0,"",'Drilling Spec'!$C$30),O62)</f>
        <v>723.46681615545504</v>
      </c>
      <c r="U62" s="15">
        <f>E62*'Drilling Spec'!$C$22 + L62*'Drilling Spec'!$C$23</f>
        <v>0</v>
      </c>
      <c r="V62" s="15">
        <f t="shared" si="16"/>
        <v>19.091707317073169</v>
      </c>
      <c r="W62" s="15">
        <f t="shared" si="6"/>
        <v>4.9082926829268239</v>
      </c>
      <c r="X62" s="10"/>
      <c r="Y62" s="30">
        <f>IF(W62&lt;U63,'Drilling Spec'!$C$35,0)</f>
        <v>0</v>
      </c>
      <c r="AA62" s="4">
        <f t="shared" si="19"/>
        <v>46</v>
      </c>
      <c r="AB62" s="10"/>
      <c r="AC62" s="30">
        <f>IF('04-07-25-Scen5-WorstCargoJIT'!K63&gt;'04-07-25-Scen5-WorstCargoJIT'!AA62,'Drilling Spec'!$C$36,)</f>
        <v>0</v>
      </c>
      <c r="AE62" s="18">
        <f>(I62-'Drilling Spec'!$C$26)/'Drilling Spec'!$C$38</f>
        <v>106.61274316711349</v>
      </c>
      <c r="AF62" s="18">
        <f t="shared" si="7"/>
        <v>0</v>
      </c>
      <c r="AG62" s="34">
        <f t="shared" si="8"/>
        <v>6.6127431671134929</v>
      </c>
      <c r="AH62" s="10"/>
      <c r="AI62" s="26">
        <f>IF(C62="Camp Closed",AG62,IF(AG62&lt;'Drilling Spec'!$C$39,,'Drilling Spec'!$C$39))</f>
        <v>0</v>
      </c>
      <c r="AL62" s="16">
        <f t="shared" si="9"/>
        <v>-709.67645900268099</v>
      </c>
      <c r="AM62" s="16">
        <f t="shared" si="10"/>
        <v>-723.46681615545504</v>
      </c>
      <c r="AN62">
        <f>-'Drilling Spec'!$C$29</f>
        <v>-720</v>
      </c>
      <c r="AO62">
        <f>-'Drilling Spec'!$C$27</f>
        <v>-624</v>
      </c>
      <c r="AP62">
        <f>-'Drilling Spec'!$C$28</f>
        <v>-688</v>
      </c>
      <c r="AQ62" t="e">
        <f t="shared" si="11"/>
        <v>#N/A</v>
      </c>
      <c r="AR62" t="e">
        <f>IF(X62=0,NA(),-'Drilling Spec'!$C$29*0.1)</f>
        <v>#N/A</v>
      </c>
      <c r="AS62" t="e">
        <f>IF(Y62=0,NA(),-'Drilling Spec'!$C$29*0.1)</f>
        <v>#N/A</v>
      </c>
      <c r="AT62" t="e">
        <f>IF(AB62=0,NA(),-'Drilling Spec'!$C$29*0.2)</f>
        <v>#N/A</v>
      </c>
      <c r="AU62" t="e">
        <f>IF(AC62=0,NA(),-'Drilling Spec'!$C$29*0.2)</f>
        <v>#N/A</v>
      </c>
      <c r="AV62" t="e">
        <f>IF(AH62=0,NA(),-'Drilling Spec'!$C$29*0.3)</f>
        <v>#N/A</v>
      </c>
      <c r="AW62" t="e">
        <f>IF(AI62=0,NA(),-'Drilling Spec'!$C$29*0.3)</f>
        <v>#N/A</v>
      </c>
      <c r="AX62" s="29">
        <f t="shared" si="12"/>
        <v>4.9082926829268239</v>
      </c>
      <c r="AY62" s="29">
        <f t="shared" si="13"/>
        <v>42.629578369148568</v>
      </c>
      <c r="AZ62" s="29">
        <f t="shared" si="17"/>
        <v>6.6127431671134929</v>
      </c>
    </row>
    <row r="63" spans="1:57" x14ac:dyDescent="0.35">
      <c r="A63" s="28">
        <f t="shared" si="18"/>
        <v>46033</v>
      </c>
      <c r="B63" t="str">
        <f t="shared" si="0"/>
        <v>Sun</v>
      </c>
      <c r="C63" s="10" t="s">
        <v>71</v>
      </c>
      <c r="D63" s="10">
        <v>12</v>
      </c>
      <c r="E63" s="4">
        <f t="shared" si="1"/>
        <v>0</v>
      </c>
      <c r="F63" s="4">
        <f t="shared" si="2"/>
        <v>792</v>
      </c>
      <c r="G63" s="4">
        <f t="shared" si="3"/>
        <v>0</v>
      </c>
      <c r="H63" s="15">
        <f>(SQRT(4*I62*I62*V*V + 'Drilling Spec'!$C$42*I62 + W*('Drilling Spec'!$C$43 + 2*l*V*(s*W + 2*V*G63/(1+e)) + 'Drilling Spec'!$C$44)) - 'Drilling Spec'!$C$45)/(2*V)</f>
        <v>709.67645900268099</v>
      </c>
      <c r="I63" s="23">
        <f>IF(AND(OR(I62=0,I62=""),F63=0),IF(F64=0,"",'Drilling Spec'!$C$26),H63)</f>
        <v>709.67645900268099</v>
      </c>
      <c r="J63" s="16">
        <f>MAX(0,I63-'Drilling Spec'!$C$30)</f>
        <v>629.67645900268099</v>
      </c>
      <c r="K63" s="18">
        <f>IFERROR(J63/'Drilling Spec'!$C$31,0)</f>
        <v>41.978430600178733</v>
      </c>
      <c r="L63" s="21">
        <f t="shared" si="4"/>
        <v>0</v>
      </c>
      <c r="M63" s="4">
        <f t="shared" si="14"/>
        <v>132</v>
      </c>
      <c r="N63" s="21">
        <f t="shared" si="5"/>
        <v>0</v>
      </c>
      <c r="O63" s="18">
        <f>(SQRT(4*O62*O62*vB*vB + 'Drilling Spec'!$C$48*O62 + WB*('Drilling Spec'!$C$49 + 2*lB*vB*(sB*WB + 2*vB*N63/(1+eB)) + 'Drilling Spec'!$C$50)) - 'Drilling Spec'!$C$51)/(2*vB)</f>
        <v>723.46681615545504</v>
      </c>
      <c r="P63" s="18">
        <f>IFERROR(((S63-'Drilling Spec'!$C$30)/'Drilling Spec'!$C$31)*'Drilling Spec'!$C$32,0)</f>
        <v>38.608008969327301</v>
      </c>
      <c r="Q63" s="18">
        <f t="shared" si="15"/>
        <v>0</v>
      </c>
      <c r="R63" s="18"/>
      <c r="S63" s="26">
        <f>IF(AND(OR(T62=0,T62=""),M63=0),IF(M64=0,"",'Drilling Spec'!$C$30),O63)</f>
        <v>723.46681615545504</v>
      </c>
      <c r="U63" s="15">
        <f>E63*'Drilling Spec'!$C$22 + L63*'Drilling Spec'!$C$23</f>
        <v>0</v>
      </c>
      <c r="V63" s="15">
        <f t="shared" si="16"/>
        <v>19.091707317073169</v>
      </c>
      <c r="W63" s="15">
        <f t="shared" si="6"/>
        <v>4.9082926829268239</v>
      </c>
      <c r="X63" s="10"/>
      <c r="Y63" s="30">
        <f>IF(W63&lt;U64,'Drilling Spec'!$C$35,0)</f>
        <v>0</v>
      </c>
      <c r="AA63" s="4">
        <f t="shared" si="19"/>
        <v>46</v>
      </c>
      <c r="AB63" s="10"/>
      <c r="AC63" s="30">
        <f>IF('04-07-25-Scen5-WorstCargoJIT'!K64&gt;'04-07-25-Scen5-WorstCargoJIT'!AA63,'Drilling Spec'!$C$36,)</f>
        <v>0</v>
      </c>
      <c r="AE63" s="18">
        <f>(I63-'Drilling Spec'!$C$26)/'Drilling Spec'!$C$38</f>
        <v>106.61274316711349</v>
      </c>
      <c r="AF63" s="18">
        <f t="shared" si="7"/>
        <v>0</v>
      </c>
      <c r="AG63" s="34">
        <f t="shared" si="8"/>
        <v>6.6127431671134929</v>
      </c>
      <c r="AH63" s="10"/>
      <c r="AI63" s="26">
        <f>IF(C63="Camp Closed",AG63,IF(AG63&lt;'Drilling Spec'!$C$39,,'Drilling Spec'!$C$39))</f>
        <v>6.6127431671134929</v>
      </c>
      <c r="AL63" s="16">
        <f t="shared" si="9"/>
        <v>-709.67645900268099</v>
      </c>
      <c r="AM63" s="16">
        <f t="shared" si="10"/>
        <v>-723.46681615545504</v>
      </c>
      <c r="AN63">
        <f>-'Drilling Spec'!$C$29</f>
        <v>-720</v>
      </c>
      <c r="AO63">
        <f>-'Drilling Spec'!$C$27</f>
        <v>-624</v>
      </c>
      <c r="AP63">
        <f>-'Drilling Spec'!$C$28</f>
        <v>-688</v>
      </c>
      <c r="AQ63">
        <f t="shared" si="11"/>
        <v>0</v>
      </c>
      <c r="AR63" t="e">
        <f>IF(X63=0,NA(),-'Drilling Spec'!$C$29*0.1)</f>
        <v>#N/A</v>
      </c>
      <c r="AS63" t="e">
        <f>IF(Y63=0,NA(),-'Drilling Spec'!$C$29*0.1)</f>
        <v>#N/A</v>
      </c>
      <c r="AT63" t="e">
        <f>IF(AB63=0,NA(),-'Drilling Spec'!$C$29*0.2)</f>
        <v>#N/A</v>
      </c>
      <c r="AU63" t="e">
        <f>IF(AC63=0,NA(),-'Drilling Spec'!$C$29*0.2)</f>
        <v>#N/A</v>
      </c>
      <c r="AV63" t="e">
        <f>IF(AH63=0,NA(),-'Drilling Spec'!$C$29*0.3)</f>
        <v>#N/A</v>
      </c>
      <c r="AW63">
        <f>IF(AI63=0,NA(),-'Drilling Spec'!$C$29*0.3)</f>
        <v>-216</v>
      </c>
      <c r="AX63" s="29">
        <f t="shared" si="12"/>
        <v>4.9082926829268239</v>
      </c>
      <c r="AY63" s="29">
        <f t="shared" si="13"/>
        <v>42.629578369148568</v>
      </c>
      <c r="AZ63" s="29">
        <f t="shared" si="17"/>
        <v>6.6127431671134929</v>
      </c>
    </row>
    <row r="64" spans="1:57" x14ac:dyDescent="0.35">
      <c r="A64" s="28">
        <f t="shared" si="18"/>
        <v>46034</v>
      </c>
      <c r="B64" t="str">
        <f t="shared" si="0"/>
        <v>Mon</v>
      </c>
      <c r="C64" s="10"/>
      <c r="D64" s="10"/>
      <c r="E64" s="4">
        <f t="shared" si="1"/>
        <v>0</v>
      </c>
      <c r="F64" s="4">
        <f t="shared" si="2"/>
        <v>792</v>
      </c>
      <c r="G64" s="4">
        <f t="shared" si="3"/>
        <v>0</v>
      </c>
      <c r="H64" s="15">
        <f>(SQRT(4*I63*I63*V*V + 'Drilling Spec'!$C$42*I63 + W*('Drilling Spec'!$C$43 + 2*l*V*(s*W + 2*V*G64/(1+e)) + 'Drilling Spec'!$C$44)) - 'Drilling Spec'!$C$45)/(2*V)</f>
        <v>709.67645900268099</v>
      </c>
      <c r="I64" s="23">
        <f>IF(AND(OR(I63=0,I63=""),F64=0),IF(F65=0,"",'Drilling Spec'!$C$26),H64)</f>
        <v>709.67645900268099</v>
      </c>
      <c r="J64" s="16">
        <f>MAX(0,I64-'Drilling Spec'!$C$30)</f>
        <v>629.67645900268099</v>
      </c>
      <c r="K64" s="18">
        <f>IFERROR(J64/'Drilling Spec'!$C$31,0)</f>
        <v>41.978430600178733</v>
      </c>
      <c r="L64" s="21">
        <f t="shared" si="4"/>
        <v>0</v>
      </c>
      <c r="M64" s="4">
        <f t="shared" si="14"/>
        <v>132</v>
      </c>
      <c r="N64" s="21">
        <f t="shared" si="5"/>
        <v>0</v>
      </c>
      <c r="O64" s="18">
        <f>(SQRT(4*O63*O63*vB*vB + 'Drilling Spec'!$C$48*O63 + WB*('Drilling Spec'!$C$49 + 2*lB*vB*(sB*WB + 2*vB*N64/(1+eB)) + 'Drilling Spec'!$C$50)) - 'Drilling Spec'!$C$51)/(2*vB)</f>
        <v>723.46681615545504</v>
      </c>
      <c r="P64" s="18">
        <f>IFERROR(((S64-'Drilling Spec'!$C$30)/'Drilling Spec'!$C$31)*'Drilling Spec'!$C$32,0)</f>
        <v>38.608008969327301</v>
      </c>
      <c r="Q64" s="18">
        <f t="shared" si="15"/>
        <v>0</v>
      </c>
      <c r="R64" s="18"/>
      <c r="S64" s="26">
        <f>IF(AND(OR(T63=0,T63=""),M64=0),IF(M65=0,"",'Drilling Spec'!$C$30),O64)</f>
        <v>723.46681615545504</v>
      </c>
      <c r="U64" s="15">
        <f>E64*'Drilling Spec'!$C$22 + L64*'Drilling Spec'!$C$23</f>
        <v>0</v>
      </c>
      <c r="V64" s="15">
        <f t="shared" si="16"/>
        <v>19.091707317073169</v>
      </c>
      <c r="W64" s="15">
        <f t="shared" si="6"/>
        <v>4.9082926829268239</v>
      </c>
      <c r="X64" s="10"/>
      <c r="Y64" s="30">
        <f>IF(W64&lt;U65,'Drilling Spec'!$C$35,0)</f>
        <v>0</v>
      </c>
      <c r="AA64" s="4">
        <f t="shared" si="19"/>
        <v>46</v>
      </c>
      <c r="AB64" s="10"/>
      <c r="AC64" s="30">
        <f>IF('04-07-25-Scen5-WorstCargoJIT'!K65&gt;'04-07-25-Scen5-WorstCargoJIT'!AA64,'Drilling Spec'!$C$36,)</f>
        <v>0</v>
      </c>
      <c r="AE64" s="18">
        <f>(I64-'Drilling Spec'!$C$26)/'Drilling Spec'!$C$38</f>
        <v>106.61274316711349</v>
      </c>
      <c r="AF64" s="18">
        <f t="shared" si="7"/>
        <v>0</v>
      </c>
      <c r="AG64" s="34">
        <f t="shared" si="8"/>
        <v>0</v>
      </c>
      <c r="AH64" s="10"/>
      <c r="AI64" s="26">
        <f>IF(C64="Camp Closed",AG64,IF(AG64&lt;'Drilling Spec'!$C$39,,'Drilling Spec'!$C$39))</f>
        <v>0</v>
      </c>
      <c r="AL64" s="16">
        <f t="shared" si="9"/>
        <v>-709.67645900268099</v>
      </c>
      <c r="AM64" s="16">
        <f t="shared" si="10"/>
        <v>-723.46681615545504</v>
      </c>
      <c r="AN64">
        <f>-'Drilling Spec'!$C$29</f>
        <v>-720</v>
      </c>
      <c r="AO64">
        <f>-'Drilling Spec'!$C$27</f>
        <v>-624</v>
      </c>
      <c r="AP64">
        <f>-'Drilling Spec'!$C$28</f>
        <v>-688</v>
      </c>
      <c r="AQ64" t="e">
        <f t="shared" si="11"/>
        <v>#N/A</v>
      </c>
      <c r="AR64" t="e">
        <f>IF(X64=0,NA(),-'Drilling Spec'!$C$29*0.1)</f>
        <v>#N/A</v>
      </c>
      <c r="AS64" t="e">
        <f>IF(Y64=0,NA(),-'Drilling Spec'!$C$29*0.1)</f>
        <v>#N/A</v>
      </c>
      <c r="AT64" t="e">
        <f>IF(AB64=0,NA(),-'Drilling Spec'!$C$29*0.2)</f>
        <v>#N/A</v>
      </c>
      <c r="AU64" t="e">
        <f>IF(AC64=0,NA(),-'Drilling Spec'!$C$29*0.2)</f>
        <v>#N/A</v>
      </c>
      <c r="AV64" t="e">
        <f>IF(AH64=0,NA(),-'Drilling Spec'!$C$29*0.3)</f>
        <v>#N/A</v>
      </c>
      <c r="AW64" t="e">
        <f>IF(AI64=0,NA(),-'Drilling Spec'!$C$29*0.3)</f>
        <v>#N/A</v>
      </c>
      <c r="AX64" s="29">
        <f t="shared" si="12"/>
        <v>4.9082926829268239</v>
      </c>
      <c r="AY64" s="29">
        <f t="shared" si="13"/>
        <v>42.629578369148568</v>
      </c>
      <c r="AZ64" s="29">
        <f t="shared" si="17"/>
        <v>0</v>
      </c>
    </row>
    <row r="65" spans="1:52" x14ac:dyDescent="0.35">
      <c r="A65" s="28">
        <f t="shared" si="18"/>
        <v>46035</v>
      </c>
      <c r="B65" t="str">
        <f t="shared" si="0"/>
        <v>Tue</v>
      </c>
      <c r="C65" s="10"/>
      <c r="D65" s="10"/>
      <c r="E65" s="4">
        <f t="shared" si="1"/>
        <v>0</v>
      </c>
      <c r="F65" s="4">
        <f t="shared" si="2"/>
        <v>792</v>
      </c>
      <c r="G65" s="4">
        <f t="shared" si="3"/>
        <v>0</v>
      </c>
      <c r="H65" s="15">
        <f>(SQRT(4*I64*I64*V*V + 'Drilling Spec'!$C$42*I64 + W*('Drilling Spec'!$C$43 + 2*l*V*(s*W + 2*V*G65/(1+e)) + 'Drilling Spec'!$C$44)) - 'Drilling Spec'!$C$45)/(2*V)</f>
        <v>709.67645900268099</v>
      </c>
      <c r="I65" s="23">
        <f>IF(AND(OR(I64=0,I64=""),F65=0),IF(F66=0,"",'Drilling Spec'!$C$26),H65)</f>
        <v>709.67645900268099</v>
      </c>
      <c r="J65" s="16">
        <f>MAX(0,I65-'Drilling Spec'!$C$30)</f>
        <v>629.67645900268099</v>
      </c>
      <c r="K65" s="18">
        <f>IFERROR(J65/'Drilling Spec'!$C$31,0)</f>
        <v>41.978430600178733</v>
      </c>
      <c r="L65" s="21">
        <f t="shared" si="4"/>
        <v>0</v>
      </c>
      <c r="M65" s="4">
        <f t="shared" si="14"/>
        <v>132</v>
      </c>
      <c r="N65" s="21">
        <f t="shared" si="5"/>
        <v>0</v>
      </c>
      <c r="O65" s="18">
        <f>(SQRT(4*O64*O64*vB*vB + 'Drilling Spec'!$C$48*O64 + WB*('Drilling Spec'!$C$49 + 2*lB*vB*(sB*WB + 2*vB*N65/(1+eB)) + 'Drilling Spec'!$C$50)) - 'Drilling Spec'!$C$51)/(2*vB)</f>
        <v>723.46681615545504</v>
      </c>
      <c r="P65" s="18">
        <f>IFERROR(((S65-'Drilling Spec'!$C$30)/'Drilling Spec'!$C$31)*'Drilling Spec'!$C$32,0)</f>
        <v>38.608008969327301</v>
      </c>
      <c r="Q65" s="18">
        <f t="shared" si="15"/>
        <v>0</v>
      </c>
      <c r="R65" s="18"/>
      <c r="S65" s="26">
        <f>IF(AND(OR(T64=0,T64=""),M65=0),IF(M66=0,"",'Drilling Spec'!$C$30),O65)</f>
        <v>723.46681615545504</v>
      </c>
      <c r="U65" s="15">
        <f>E65*'Drilling Spec'!$C$22 + L65*'Drilling Spec'!$C$23</f>
        <v>0</v>
      </c>
      <c r="V65" s="15">
        <f t="shared" si="16"/>
        <v>19.091707317073169</v>
      </c>
      <c r="W65" s="15">
        <f t="shared" si="6"/>
        <v>4.9082926829268239</v>
      </c>
      <c r="X65" s="10"/>
      <c r="Y65" s="30">
        <f>IF(W65&lt;U66,'Drilling Spec'!$C$35,0)</f>
        <v>0</v>
      </c>
      <c r="AA65" s="4">
        <f t="shared" si="19"/>
        <v>46</v>
      </c>
      <c r="AB65" s="10"/>
      <c r="AC65" s="30">
        <f>IF('04-07-25-Scen5-WorstCargoJIT'!K66&gt;'04-07-25-Scen5-WorstCargoJIT'!AA65,'Drilling Spec'!$C$36,)</f>
        <v>0</v>
      </c>
      <c r="AE65" s="18">
        <f>(I65-'Drilling Spec'!$C$26)/'Drilling Spec'!$C$38</f>
        <v>106.61274316711349</v>
      </c>
      <c r="AF65" s="18">
        <f t="shared" si="7"/>
        <v>0</v>
      </c>
      <c r="AG65" s="34">
        <f t="shared" si="8"/>
        <v>0</v>
      </c>
      <c r="AH65" s="10"/>
      <c r="AI65" s="26">
        <f>IF(C65="Camp Closed",AG65,IF(AG65&lt;'Drilling Spec'!$C$39,,'Drilling Spec'!$C$39))</f>
        <v>0</v>
      </c>
      <c r="AL65" s="16">
        <f t="shared" si="9"/>
        <v>-709.67645900268099</v>
      </c>
      <c r="AM65" s="16">
        <f t="shared" si="10"/>
        <v>-723.46681615545504</v>
      </c>
      <c r="AN65">
        <f>-'Drilling Spec'!$C$29</f>
        <v>-720</v>
      </c>
      <c r="AO65">
        <f>-'Drilling Spec'!$C$27</f>
        <v>-624</v>
      </c>
      <c r="AP65">
        <f>-'Drilling Spec'!$C$28</f>
        <v>-688</v>
      </c>
      <c r="AQ65" t="e">
        <f t="shared" si="11"/>
        <v>#N/A</v>
      </c>
      <c r="AR65" t="e">
        <f>IF(X65=0,NA(),-'Drilling Spec'!$C$29*0.1)</f>
        <v>#N/A</v>
      </c>
      <c r="AS65" t="e">
        <f>IF(Y65=0,NA(),-'Drilling Spec'!$C$29*0.1)</f>
        <v>#N/A</v>
      </c>
      <c r="AT65" t="e">
        <f>IF(AB65=0,NA(),-'Drilling Spec'!$C$29*0.2)</f>
        <v>#N/A</v>
      </c>
      <c r="AU65" t="e">
        <f>IF(AC65=0,NA(),-'Drilling Spec'!$C$29*0.2)</f>
        <v>#N/A</v>
      </c>
      <c r="AV65" t="e">
        <f>IF(AH65=0,NA(),-'Drilling Spec'!$C$29*0.3)</f>
        <v>#N/A</v>
      </c>
      <c r="AW65" t="e">
        <f>IF(AI65=0,NA(),-'Drilling Spec'!$C$29*0.3)</f>
        <v>#N/A</v>
      </c>
      <c r="AX65" s="29">
        <f t="shared" si="12"/>
        <v>4.9082926829268239</v>
      </c>
      <c r="AY65" s="29">
        <f t="shared" si="13"/>
        <v>42.629578369148568</v>
      </c>
      <c r="AZ65" s="29">
        <f t="shared" si="17"/>
        <v>0</v>
      </c>
    </row>
    <row r="66" spans="1:52" x14ac:dyDescent="0.35">
      <c r="A66" s="28">
        <f t="shared" si="18"/>
        <v>46036</v>
      </c>
      <c r="B66" t="str">
        <f t="shared" si="0"/>
        <v>Wed</v>
      </c>
      <c r="C66" s="10"/>
      <c r="D66" s="10"/>
      <c r="E66" s="4">
        <f t="shared" si="1"/>
        <v>0</v>
      </c>
      <c r="F66" s="4">
        <f t="shared" si="2"/>
        <v>792</v>
      </c>
      <c r="G66" s="4">
        <f t="shared" si="3"/>
        <v>0</v>
      </c>
      <c r="H66" s="15">
        <f>(SQRT(4*I65*I65*V*V + 'Drilling Spec'!$C$42*I65 + W*('Drilling Spec'!$C$43 + 2*l*V*(s*W + 2*V*G66/(1+e)) + 'Drilling Spec'!$C$44)) - 'Drilling Spec'!$C$45)/(2*V)</f>
        <v>709.67645900268099</v>
      </c>
      <c r="I66" s="23">
        <f>IF(AND(OR(I65=0,I65=""),F66=0),IF(F67=0,"",'Drilling Spec'!$C$26),H66)</f>
        <v>709.67645900268099</v>
      </c>
      <c r="J66" s="16">
        <f>MAX(0,I66-'Drilling Spec'!$C$30)</f>
        <v>629.67645900268099</v>
      </c>
      <c r="K66" s="18">
        <f>IFERROR(J66/'Drilling Spec'!$C$31,0)</f>
        <v>41.978430600178733</v>
      </c>
      <c r="L66" s="21">
        <f t="shared" si="4"/>
        <v>0</v>
      </c>
      <c r="M66" s="4">
        <f t="shared" si="14"/>
        <v>132</v>
      </c>
      <c r="N66" s="21">
        <f t="shared" si="5"/>
        <v>0</v>
      </c>
      <c r="O66" s="18">
        <f>(SQRT(4*O65*O65*vB*vB + 'Drilling Spec'!$C$48*O65 + WB*('Drilling Spec'!$C$49 + 2*lB*vB*(sB*WB + 2*vB*N66/(1+eB)) + 'Drilling Spec'!$C$50)) - 'Drilling Spec'!$C$51)/(2*vB)</f>
        <v>723.46681615545504</v>
      </c>
      <c r="P66" s="18">
        <f>IFERROR(((S66-'Drilling Spec'!$C$30)/'Drilling Spec'!$C$31)*'Drilling Spec'!$C$32,0)</f>
        <v>38.608008969327301</v>
      </c>
      <c r="Q66" s="18">
        <f t="shared" si="15"/>
        <v>0</v>
      </c>
      <c r="R66" s="18"/>
      <c r="S66" s="26">
        <f>IF(AND(OR(T65=0,T65=""),M66=0),IF(M67=0,"",'Drilling Spec'!$C$30),O66)</f>
        <v>723.46681615545504</v>
      </c>
      <c r="U66" s="15">
        <f>E66*'Drilling Spec'!$C$22 + L66*'Drilling Spec'!$C$23</f>
        <v>0</v>
      </c>
      <c r="V66" s="15">
        <f t="shared" si="16"/>
        <v>19.091707317073169</v>
      </c>
      <c r="W66" s="15">
        <f t="shared" si="6"/>
        <v>4.9082926829268239</v>
      </c>
      <c r="X66" s="10"/>
      <c r="Y66" s="30">
        <f>IF(W66&lt;U67,'Drilling Spec'!$C$35,0)</f>
        <v>0</v>
      </c>
      <c r="AA66" s="4">
        <f t="shared" si="19"/>
        <v>46</v>
      </c>
      <c r="AB66" s="10"/>
      <c r="AC66" s="30">
        <f>IF('04-07-25-Scen5-WorstCargoJIT'!K67&gt;'04-07-25-Scen5-WorstCargoJIT'!AA66,'Drilling Spec'!$C$36,)</f>
        <v>0</v>
      </c>
      <c r="AE66" s="18">
        <f>(I66-'Drilling Spec'!$C$26)/'Drilling Spec'!$C$38</f>
        <v>106.61274316711349</v>
      </c>
      <c r="AF66" s="18">
        <f t="shared" si="7"/>
        <v>0</v>
      </c>
      <c r="AG66" s="34">
        <f t="shared" si="8"/>
        <v>0</v>
      </c>
      <c r="AH66" s="10"/>
      <c r="AI66" s="26">
        <f>IF(C66="Camp Closed",AG66,IF(AG66&lt;'Drilling Spec'!$C$39,,'Drilling Spec'!$C$39))</f>
        <v>0</v>
      </c>
      <c r="AL66" s="16">
        <f t="shared" si="9"/>
        <v>-709.67645900268099</v>
      </c>
      <c r="AM66" s="16">
        <f t="shared" si="10"/>
        <v>-723.46681615545504</v>
      </c>
      <c r="AN66">
        <f>-'Drilling Spec'!$C$29</f>
        <v>-720</v>
      </c>
      <c r="AO66">
        <f>-'Drilling Spec'!$C$27</f>
        <v>-624</v>
      </c>
      <c r="AP66">
        <f>-'Drilling Spec'!$C$28</f>
        <v>-688</v>
      </c>
      <c r="AQ66" t="e">
        <f t="shared" si="11"/>
        <v>#N/A</v>
      </c>
      <c r="AR66" t="e">
        <f>IF(X66=0,NA(),-'Drilling Spec'!$C$29*0.1)</f>
        <v>#N/A</v>
      </c>
      <c r="AS66" t="e">
        <f>IF(Y66=0,NA(),-'Drilling Spec'!$C$29*0.1)</f>
        <v>#N/A</v>
      </c>
      <c r="AT66" t="e">
        <f>IF(AB66=0,NA(),-'Drilling Spec'!$C$29*0.2)</f>
        <v>#N/A</v>
      </c>
      <c r="AU66" t="e">
        <f>IF(AC66=0,NA(),-'Drilling Spec'!$C$29*0.2)</f>
        <v>#N/A</v>
      </c>
      <c r="AV66" t="e">
        <f>IF(AH66=0,NA(),-'Drilling Spec'!$C$29*0.3)</f>
        <v>#N/A</v>
      </c>
      <c r="AW66" t="e">
        <f>IF(AI66=0,NA(),-'Drilling Spec'!$C$29*0.3)</f>
        <v>#N/A</v>
      </c>
      <c r="AX66" s="29">
        <f t="shared" si="12"/>
        <v>4.9082926829268239</v>
      </c>
      <c r="AY66" s="29">
        <f t="shared" si="13"/>
        <v>42.629578369148568</v>
      </c>
      <c r="AZ66" s="29">
        <f t="shared" si="17"/>
        <v>0</v>
      </c>
    </row>
    <row r="67" spans="1:52" x14ac:dyDescent="0.35">
      <c r="A67" s="28">
        <f t="shared" si="18"/>
        <v>46037</v>
      </c>
      <c r="B67" t="str">
        <f t="shared" ref="B67:B112" si="20">TEXT(A67,"ddd")</f>
        <v>Thu</v>
      </c>
      <c r="C67" s="10"/>
      <c r="D67" s="10"/>
      <c r="E67" s="4">
        <f t="shared" ref="E67:E112" si="21">IF(C67="Drilling",D67,0)</f>
        <v>0</v>
      </c>
      <c r="F67" s="4">
        <f t="shared" ref="F67:F112" si="22">(F66+E67)</f>
        <v>792</v>
      </c>
      <c r="G67" s="4">
        <f t="shared" ref="G67:G112" si="23">E67*60</f>
        <v>0</v>
      </c>
      <c r="H67" s="15">
        <f>(SQRT(4*I66*I66*V*V + 'Drilling Spec'!$C$42*I66 + W*('Drilling Spec'!$C$43 + 2*l*V*(s*W + 2*V*G67/(1+e)) + 'Drilling Spec'!$C$44)) - 'Drilling Spec'!$C$45)/(2*V)</f>
        <v>709.67645900268099</v>
      </c>
      <c r="I67" s="23">
        <f>IF(AND(OR(I66=0,I66=""),F67=0),IF(F68=0,"",'Drilling Spec'!$C$26),H67)</f>
        <v>709.67645900268099</v>
      </c>
      <c r="J67" s="16">
        <f>MAX(0,I67-'Drilling Spec'!$C$30)</f>
        <v>629.67645900268099</v>
      </c>
      <c r="K67" s="18">
        <f>IFERROR(J67/'Drilling Spec'!$C$31,0)</f>
        <v>41.978430600178733</v>
      </c>
      <c r="L67" s="21">
        <f t="shared" ref="L67:L112" si="24">IF(C67="Bailing",D67,0)</f>
        <v>0</v>
      </c>
      <c r="M67" s="4">
        <f t="shared" si="14"/>
        <v>132</v>
      </c>
      <c r="N67" s="21">
        <f t="shared" ref="N67:N112" si="25">L67*60</f>
        <v>0</v>
      </c>
      <c r="O67" s="18">
        <f>(SQRT(4*O66*O66*vB*vB + 'Drilling Spec'!$C$48*O66 + WB*('Drilling Spec'!$C$49 + 2*lB*vB*(sB*WB + 2*vB*N67/(1+eB)) + 'Drilling Spec'!$C$50)) - 'Drilling Spec'!$C$51)/(2*vB)</f>
        <v>723.46681615545504</v>
      </c>
      <c r="P67" s="18">
        <f>IFERROR(((S67-'Drilling Spec'!$C$30)/'Drilling Spec'!$C$31)*'Drilling Spec'!$C$32,0)</f>
        <v>38.608008969327301</v>
      </c>
      <c r="Q67" s="18">
        <f t="shared" si="15"/>
        <v>0</v>
      </c>
      <c r="R67" s="18"/>
      <c r="S67" s="26">
        <f>IF(AND(OR(T66=0,T66=""),M67=0),IF(M68=0,"",'Drilling Spec'!$C$30),O67)</f>
        <v>723.46681615545504</v>
      </c>
      <c r="U67" s="15">
        <f>E67*'Drilling Spec'!$C$22 + L67*'Drilling Spec'!$C$23</f>
        <v>0</v>
      </c>
      <c r="V67" s="15">
        <f t="shared" si="16"/>
        <v>19.091707317073169</v>
      </c>
      <c r="W67" s="15">
        <f t="shared" ref="W67:W112" si="26">W66-U67+X66+Y66</f>
        <v>4.9082926829268239</v>
      </c>
      <c r="X67" s="10"/>
      <c r="Y67" s="30">
        <f>IF(W67&lt;U68,'Drilling Spec'!$C$35,0)</f>
        <v>0</v>
      </c>
      <c r="AA67" s="4">
        <f t="shared" si="19"/>
        <v>46</v>
      </c>
      <c r="AB67" s="10"/>
      <c r="AC67" s="30">
        <f>IF('04-07-25-Scen5-WorstCargoJIT'!K68&gt;'04-07-25-Scen5-WorstCargoJIT'!AA67,'Drilling Spec'!$C$36,)</f>
        <v>0</v>
      </c>
      <c r="AE67" s="18">
        <f>(I67-'Drilling Spec'!$C$26)/'Drilling Spec'!$C$38</f>
        <v>106.61274316711349</v>
      </c>
      <c r="AF67" s="18">
        <f t="shared" ref="AF67:AF112" si="27">IFERROR(AE67-AE66,0)</f>
        <v>0</v>
      </c>
      <c r="AG67" s="34">
        <f t="shared" ref="AG67:AG112" si="28">AG66+AF67-AH67-AI66</f>
        <v>0</v>
      </c>
      <c r="AH67" s="10"/>
      <c r="AI67" s="26">
        <f>IF(C67="Camp Closed",AG67,IF(AG67&lt;'Drilling Spec'!$C$39,,'Drilling Spec'!$C$39))</f>
        <v>0</v>
      </c>
      <c r="AL67" s="16">
        <f t="shared" ref="AL67:AL112" si="29">IFERROR(-I67,NA())</f>
        <v>-709.67645900268099</v>
      </c>
      <c r="AM67" s="16">
        <f t="shared" ref="AM67:AM112" si="30">IF(OR(S67=0,S67=""),NA(),-S67)</f>
        <v>-723.46681615545504</v>
      </c>
      <c r="AN67">
        <f>-'Drilling Spec'!$C$29</f>
        <v>-720</v>
      </c>
      <c r="AO67">
        <f>-'Drilling Spec'!$C$27</f>
        <v>-624</v>
      </c>
      <c r="AP67">
        <f>-'Drilling Spec'!$C$28</f>
        <v>-688</v>
      </c>
      <c r="AQ67" t="e">
        <f t="shared" ref="AQ67:AQ112" si="31">IF(C67="Camp Closed",0,NA())</f>
        <v>#N/A</v>
      </c>
      <c r="AR67" t="e">
        <f>IF(X67=0,NA(),-'Drilling Spec'!$C$29*0.1)</f>
        <v>#N/A</v>
      </c>
      <c r="AS67" t="e">
        <f>IF(Y67=0,NA(),-'Drilling Spec'!$C$29*0.1)</f>
        <v>#N/A</v>
      </c>
      <c r="AT67" t="e">
        <f>IF(AB67=0,NA(),-'Drilling Spec'!$C$29*0.2)</f>
        <v>#N/A</v>
      </c>
      <c r="AU67" t="e">
        <f>IF(AC67=0,NA(),-'Drilling Spec'!$C$29*0.2)</f>
        <v>#N/A</v>
      </c>
      <c r="AV67" t="e">
        <f>IF(AH67=0,NA(),-'Drilling Spec'!$C$29*0.3)</f>
        <v>#N/A</v>
      </c>
      <c r="AW67" t="e">
        <f>IF(AI67=0,NA(),-'Drilling Spec'!$C$29*0.3)</f>
        <v>#N/A</v>
      </c>
      <c r="AX67" s="29">
        <f t="shared" ref="AX67:AX112" si="32">W67</f>
        <v>4.9082926829268239</v>
      </c>
      <c r="AY67" s="29">
        <f t="shared" ref="AY67:AY112" si="33">AA67-K67+P67</f>
        <v>42.629578369148568</v>
      </c>
      <c r="AZ67" s="29">
        <f t="shared" si="17"/>
        <v>0</v>
      </c>
    </row>
    <row r="68" spans="1:52" x14ac:dyDescent="0.35">
      <c r="A68" s="28">
        <f t="shared" si="18"/>
        <v>46038</v>
      </c>
      <c r="B68" t="str">
        <f t="shared" si="20"/>
        <v>Fri</v>
      </c>
      <c r="C68" s="10"/>
      <c r="D68" s="10"/>
      <c r="E68" s="4">
        <f t="shared" si="21"/>
        <v>0</v>
      </c>
      <c r="F68" s="4">
        <f t="shared" si="22"/>
        <v>792</v>
      </c>
      <c r="G68" s="4">
        <f t="shared" si="23"/>
        <v>0</v>
      </c>
      <c r="H68" s="15">
        <f>(SQRT(4*I67*I67*V*V + 'Drilling Spec'!$C$42*I67 + W*('Drilling Spec'!$C$43 + 2*l*V*(s*W + 2*V*G68/(1+e)) + 'Drilling Spec'!$C$44)) - 'Drilling Spec'!$C$45)/(2*V)</f>
        <v>709.67645900268099</v>
      </c>
      <c r="I68" s="23">
        <f>IF(AND(OR(I67=0,I67=""),F68=0),IF(F69=0,"",'Drilling Spec'!$C$26),H68)</f>
        <v>709.67645900268099</v>
      </c>
      <c r="J68" s="16">
        <f>MAX(0,I68-'Drilling Spec'!$C$30)</f>
        <v>629.67645900268099</v>
      </c>
      <c r="K68" s="18">
        <f>IFERROR(J68/'Drilling Spec'!$C$31,0)</f>
        <v>41.978430600178733</v>
      </c>
      <c r="L68" s="21">
        <f t="shared" si="24"/>
        <v>0</v>
      </c>
      <c r="M68" s="4">
        <f t="shared" ref="M68:M112" si="34">(M67+L68)</f>
        <v>132</v>
      </c>
      <c r="N68" s="21">
        <f t="shared" si="25"/>
        <v>0</v>
      </c>
      <c r="O68" s="18">
        <f>(SQRT(4*O67*O67*vB*vB + 'Drilling Spec'!$C$48*O67 + WB*('Drilling Spec'!$C$49 + 2*lB*vB*(sB*WB + 2*vB*N68/(1+eB)) + 'Drilling Spec'!$C$50)) - 'Drilling Spec'!$C$51)/(2*vB)</f>
        <v>723.46681615545504</v>
      </c>
      <c r="P68" s="18">
        <f>IFERROR(((S68-'Drilling Spec'!$C$30)/'Drilling Spec'!$C$31)*'Drilling Spec'!$C$32,0)</f>
        <v>38.608008969327301</v>
      </c>
      <c r="Q68" s="18">
        <f t="shared" ref="Q68:Q112" si="35">P68-P67</f>
        <v>0</v>
      </c>
      <c r="R68" s="18"/>
      <c r="S68" s="26">
        <f>IF(AND(OR(T67=0,T67=""),M68=0),IF(M69=0,"",'Drilling Spec'!$C$30),O68)</f>
        <v>723.46681615545504</v>
      </c>
      <c r="U68" s="15">
        <f>E68*'Drilling Spec'!$C$22 + L68*'Drilling Spec'!$C$23</f>
        <v>0</v>
      </c>
      <c r="V68" s="15">
        <f t="shared" ref="V68:V112" si="36">V67+U68</f>
        <v>19.091707317073169</v>
      </c>
      <c r="W68" s="15">
        <f t="shared" si="26"/>
        <v>4.9082926829268239</v>
      </c>
      <c r="X68" s="10"/>
      <c r="Y68" s="30">
        <f>IF(W68&lt;U69,'Drilling Spec'!$C$35,0)</f>
        <v>0</v>
      </c>
      <c r="AA68" s="4">
        <f t="shared" si="19"/>
        <v>46</v>
      </c>
      <c r="AB68" s="10"/>
      <c r="AC68" s="30">
        <f>IF('04-07-25-Scen5-WorstCargoJIT'!K69&gt;'04-07-25-Scen5-WorstCargoJIT'!AA68,'Drilling Spec'!$C$36,)</f>
        <v>0</v>
      </c>
      <c r="AE68" s="18">
        <f>(I68-'Drilling Spec'!$C$26)/'Drilling Spec'!$C$38</f>
        <v>106.61274316711349</v>
      </c>
      <c r="AF68" s="18">
        <f t="shared" si="27"/>
        <v>0</v>
      </c>
      <c r="AG68" s="34">
        <f t="shared" si="28"/>
        <v>0</v>
      </c>
      <c r="AH68" s="10"/>
      <c r="AI68" s="26">
        <f>IF(C68="Camp Closed",AG68,IF(AG68&lt;'Drilling Spec'!$C$39,,'Drilling Spec'!$C$39))</f>
        <v>0</v>
      </c>
      <c r="AL68" s="16">
        <f t="shared" si="29"/>
        <v>-709.67645900268099</v>
      </c>
      <c r="AM68" s="16">
        <f t="shared" si="30"/>
        <v>-723.46681615545504</v>
      </c>
      <c r="AN68">
        <f>-'Drilling Spec'!$C$29</f>
        <v>-720</v>
      </c>
      <c r="AO68">
        <f>-'Drilling Spec'!$C$27</f>
        <v>-624</v>
      </c>
      <c r="AP68">
        <f>-'Drilling Spec'!$C$28</f>
        <v>-688</v>
      </c>
      <c r="AQ68" t="e">
        <f t="shared" si="31"/>
        <v>#N/A</v>
      </c>
      <c r="AR68" t="e">
        <f>IF(X68=0,NA(),-'Drilling Spec'!$C$29*0.1)</f>
        <v>#N/A</v>
      </c>
      <c r="AS68" t="e">
        <f>IF(Y68=0,NA(),-'Drilling Spec'!$C$29*0.1)</f>
        <v>#N/A</v>
      </c>
      <c r="AT68" t="e">
        <f>IF(AB68=0,NA(),-'Drilling Spec'!$C$29*0.2)</f>
        <v>#N/A</v>
      </c>
      <c r="AU68" t="e">
        <f>IF(AC68=0,NA(),-'Drilling Spec'!$C$29*0.2)</f>
        <v>#N/A</v>
      </c>
      <c r="AV68" t="e">
        <f>IF(AH68=0,NA(),-'Drilling Spec'!$C$29*0.3)</f>
        <v>#N/A</v>
      </c>
      <c r="AW68" t="e">
        <f>IF(AI68=0,NA(),-'Drilling Spec'!$C$29*0.3)</f>
        <v>#N/A</v>
      </c>
      <c r="AX68" s="29">
        <f t="shared" si="32"/>
        <v>4.9082926829268239</v>
      </c>
      <c r="AY68" s="29">
        <f t="shared" si="33"/>
        <v>42.629578369148568</v>
      </c>
      <c r="AZ68" s="29">
        <f t="shared" ref="AZ68:AZ112" si="37">AG68</f>
        <v>0</v>
      </c>
    </row>
    <row r="69" spans="1:52" x14ac:dyDescent="0.35">
      <c r="A69" s="28">
        <f t="shared" ref="A69:A84" si="38">A68+1</f>
        <v>46039</v>
      </c>
      <c r="B69" t="str">
        <f t="shared" si="20"/>
        <v>Sat</v>
      </c>
      <c r="C69" s="10"/>
      <c r="D69" s="10"/>
      <c r="E69" s="4">
        <f t="shared" si="21"/>
        <v>0</v>
      </c>
      <c r="F69" s="4">
        <f t="shared" si="22"/>
        <v>792</v>
      </c>
      <c r="G69" s="4">
        <f t="shared" si="23"/>
        <v>0</v>
      </c>
      <c r="H69" s="15">
        <f>(SQRT(4*I68*I68*V*V + 'Drilling Spec'!$C$42*I68 + W*('Drilling Spec'!$C$43 + 2*l*V*(s*W + 2*V*G69/(1+e)) + 'Drilling Spec'!$C$44)) - 'Drilling Spec'!$C$45)/(2*V)</f>
        <v>709.67645900268099</v>
      </c>
      <c r="I69" s="23">
        <f>IF(AND(OR(I68=0,I68=""),F69=0),IF(F70=0,"",'Drilling Spec'!$C$26),H69)</f>
        <v>709.67645900268099</v>
      </c>
      <c r="J69" s="16">
        <f>MAX(0,I69-'Drilling Spec'!$C$30)</f>
        <v>629.67645900268099</v>
      </c>
      <c r="K69" s="18">
        <f>IFERROR(J69/'Drilling Spec'!$C$31,0)</f>
        <v>41.978430600178733</v>
      </c>
      <c r="L69" s="21">
        <f t="shared" si="24"/>
        <v>0</v>
      </c>
      <c r="M69" s="4">
        <f t="shared" si="34"/>
        <v>132</v>
      </c>
      <c r="N69" s="21">
        <f t="shared" si="25"/>
        <v>0</v>
      </c>
      <c r="O69" s="18">
        <f>(SQRT(4*O68*O68*vB*vB + 'Drilling Spec'!$C$48*O68 + WB*('Drilling Spec'!$C$49 + 2*lB*vB*(sB*WB + 2*vB*N69/(1+eB)) + 'Drilling Spec'!$C$50)) - 'Drilling Spec'!$C$51)/(2*vB)</f>
        <v>723.46681615545504</v>
      </c>
      <c r="P69" s="18">
        <f>IFERROR(((S69-'Drilling Spec'!$C$30)/'Drilling Spec'!$C$31)*'Drilling Spec'!$C$32,0)</f>
        <v>38.608008969327301</v>
      </c>
      <c r="Q69" s="18">
        <f t="shared" si="35"/>
        <v>0</v>
      </c>
      <c r="R69" s="18"/>
      <c r="S69" s="26">
        <f>IF(AND(OR(T68=0,T68=""),M69=0),IF(M70=0,"",'Drilling Spec'!$C$30),O69)</f>
        <v>723.46681615545504</v>
      </c>
      <c r="U69" s="15">
        <f>E69*'Drilling Spec'!$C$22 + L69*'Drilling Spec'!$C$23</f>
        <v>0</v>
      </c>
      <c r="V69" s="15">
        <f t="shared" si="36"/>
        <v>19.091707317073169</v>
      </c>
      <c r="W69" s="15">
        <f t="shared" si="26"/>
        <v>4.9082926829268239</v>
      </c>
      <c r="X69" s="10"/>
      <c r="Y69" s="30">
        <f>IF(W69&lt;U70,'Drilling Spec'!$C$35,0)</f>
        <v>0</v>
      </c>
      <c r="AA69" s="4">
        <f t="shared" ref="AA69:AA73" si="39">AA68+AC68+AB69</f>
        <v>46</v>
      </c>
      <c r="AB69" s="10"/>
      <c r="AC69" s="30">
        <f>IF('04-07-25-Scen5-WorstCargoJIT'!K70&gt;'04-07-25-Scen5-WorstCargoJIT'!AA69,'Drilling Spec'!$C$36,)</f>
        <v>0</v>
      </c>
      <c r="AE69" s="18">
        <f>(I69-'Drilling Spec'!$C$26)/'Drilling Spec'!$C$38</f>
        <v>106.61274316711349</v>
      </c>
      <c r="AF69" s="18">
        <f t="shared" si="27"/>
        <v>0</v>
      </c>
      <c r="AG69" s="34">
        <f t="shared" si="28"/>
        <v>0</v>
      </c>
      <c r="AH69" s="10"/>
      <c r="AI69" s="26">
        <f>IF(C69="Camp Closed",AG69,IF(AG69&lt;'Drilling Spec'!$C$39,,'Drilling Spec'!$C$39))</f>
        <v>0</v>
      </c>
      <c r="AL69" s="16">
        <f t="shared" si="29"/>
        <v>-709.67645900268099</v>
      </c>
      <c r="AM69" s="16">
        <f t="shared" si="30"/>
        <v>-723.46681615545504</v>
      </c>
      <c r="AN69">
        <f>-'Drilling Spec'!$C$29</f>
        <v>-720</v>
      </c>
      <c r="AO69">
        <f>-'Drilling Spec'!$C$27</f>
        <v>-624</v>
      </c>
      <c r="AP69">
        <f>-'Drilling Spec'!$C$28</f>
        <v>-688</v>
      </c>
      <c r="AQ69" t="e">
        <f t="shared" si="31"/>
        <v>#N/A</v>
      </c>
      <c r="AR69" t="e">
        <f>IF(X69=0,NA(),-'Drilling Spec'!$C$29*0.1)</f>
        <v>#N/A</v>
      </c>
      <c r="AS69" t="e">
        <f>IF(Y69=0,NA(),-'Drilling Spec'!$C$29*0.1)</f>
        <v>#N/A</v>
      </c>
      <c r="AT69" t="e">
        <f>IF(AB69=0,NA(),-'Drilling Spec'!$C$29*0.2)</f>
        <v>#N/A</v>
      </c>
      <c r="AU69" t="e">
        <f>IF(AC69=0,NA(),-'Drilling Spec'!$C$29*0.2)</f>
        <v>#N/A</v>
      </c>
      <c r="AV69" t="e">
        <f>IF(AH69=0,NA(),-'Drilling Spec'!$C$29*0.3)</f>
        <v>#N/A</v>
      </c>
      <c r="AW69" t="e">
        <f>IF(AI69=0,NA(),-'Drilling Spec'!$C$29*0.3)</f>
        <v>#N/A</v>
      </c>
      <c r="AX69" s="29">
        <f t="shared" si="32"/>
        <v>4.9082926829268239</v>
      </c>
      <c r="AY69" s="29">
        <f t="shared" si="33"/>
        <v>42.629578369148568</v>
      </c>
      <c r="AZ69" s="29">
        <f t="shared" si="37"/>
        <v>0</v>
      </c>
    </row>
    <row r="70" spans="1:52" x14ac:dyDescent="0.35">
      <c r="A70" s="28">
        <f t="shared" si="38"/>
        <v>46040</v>
      </c>
      <c r="B70" t="str">
        <f t="shared" si="20"/>
        <v>Sun</v>
      </c>
      <c r="C70" s="10"/>
      <c r="D70" s="10"/>
      <c r="E70" s="4">
        <f t="shared" si="21"/>
        <v>0</v>
      </c>
      <c r="F70" s="4">
        <f t="shared" si="22"/>
        <v>792</v>
      </c>
      <c r="G70" s="4">
        <f t="shared" si="23"/>
        <v>0</v>
      </c>
      <c r="H70" s="15">
        <f>(SQRT(4*I69*I69*V*V + 'Drilling Spec'!$C$42*I69 + W*('Drilling Spec'!$C$43 + 2*l*V*(s*W + 2*V*G70/(1+e)) + 'Drilling Spec'!$C$44)) - 'Drilling Spec'!$C$45)/(2*V)</f>
        <v>709.67645900268099</v>
      </c>
      <c r="I70" s="23">
        <f>IF(AND(OR(I69=0,I69=""),F70=0),IF(F71=0,"",'Drilling Spec'!$C$26),H70)</f>
        <v>709.67645900268099</v>
      </c>
      <c r="J70" s="16">
        <f>MAX(0,I70-'Drilling Spec'!$C$30)</f>
        <v>629.67645900268099</v>
      </c>
      <c r="K70" s="18">
        <f>IFERROR(J70/'Drilling Spec'!$C$31,0)</f>
        <v>41.978430600178733</v>
      </c>
      <c r="L70" s="21">
        <f t="shared" si="24"/>
        <v>0</v>
      </c>
      <c r="M70" s="4">
        <f t="shared" si="34"/>
        <v>132</v>
      </c>
      <c r="N70" s="21">
        <f t="shared" si="25"/>
        <v>0</v>
      </c>
      <c r="O70" s="18">
        <f>(SQRT(4*O69*O69*vB*vB + 'Drilling Spec'!$C$48*O69 + WB*('Drilling Spec'!$C$49 + 2*lB*vB*(sB*WB + 2*vB*N70/(1+eB)) + 'Drilling Spec'!$C$50)) - 'Drilling Spec'!$C$51)/(2*vB)</f>
        <v>723.46681615545504</v>
      </c>
      <c r="P70" s="18">
        <f>IFERROR(((S70-'Drilling Spec'!$C$30)/'Drilling Spec'!$C$31)*'Drilling Spec'!$C$32,0)</f>
        <v>38.608008969327301</v>
      </c>
      <c r="Q70" s="18">
        <f t="shared" si="35"/>
        <v>0</v>
      </c>
      <c r="R70" s="18"/>
      <c r="S70" s="26">
        <f>IF(AND(OR(T69=0,T69=""),M70=0),IF(M71=0,"",'Drilling Spec'!$C$30),O70)</f>
        <v>723.46681615545504</v>
      </c>
      <c r="U70" s="15">
        <f>E70*'Drilling Spec'!$C$22 + L70*'Drilling Spec'!$C$23</f>
        <v>0</v>
      </c>
      <c r="V70" s="15">
        <f t="shared" si="36"/>
        <v>19.091707317073169</v>
      </c>
      <c r="W70" s="15">
        <f t="shared" si="26"/>
        <v>4.9082926829268239</v>
      </c>
      <c r="X70" s="10"/>
      <c r="Y70" s="30">
        <f>IF(W70&lt;U71,'Drilling Spec'!$C$35,0)</f>
        <v>0</v>
      </c>
      <c r="AA70" s="4">
        <f t="shared" si="39"/>
        <v>46</v>
      </c>
      <c r="AB70" s="10"/>
      <c r="AC70" s="30">
        <f>IF('04-07-25-Scen5-WorstCargoJIT'!K71&gt;'04-07-25-Scen5-WorstCargoJIT'!AA70,'Drilling Spec'!$C$36,)</f>
        <v>0</v>
      </c>
      <c r="AE70" s="18">
        <f>(I70-'Drilling Spec'!$C$26)/'Drilling Spec'!$C$38</f>
        <v>106.61274316711349</v>
      </c>
      <c r="AF70" s="18">
        <f t="shared" si="27"/>
        <v>0</v>
      </c>
      <c r="AG70" s="34">
        <f t="shared" si="28"/>
        <v>0</v>
      </c>
      <c r="AH70" s="10"/>
      <c r="AI70" s="26">
        <f>IF(C70="Camp Closed",AG70,IF(AG70&lt;'Drilling Spec'!$C$39,,'Drilling Spec'!$C$39))</f>
        <v>0</v>
      </c>
      <c r="AL70" s="16">
        <f t="shared" si="29"/>
        <v>-709.67645900268099</v>
      </c>
      <c r="AM70" s="16">
        <f t="shared" si="30"/>
        <v>-723.46681615545504</v>
      </c>
      <c r="AN70">
        <f>-'Drilling Spec'!$C$29</f>
        <v>-720</v>
      </c>
      <c r="AO70">
        <f>-'Drilling Spec'!$C$27</f>
        <v>-624</v>
      </c>
      <c r="AP70">
        <f>-'Drilling Spec'!$C$28</f>
        <v>-688</v>
      </c>
      <c r="AQ70" t="e">
        <f t="shared" si="31"/>
        <v>#N/A</v>
      </c>
      <c r="AR70" t="e">
        <f>IF(X70=0,NA(),-'Drilling Spec'!$C$29*0.1)</f>
        <v>#N/A</v>
      </c>
      <c r="AS70" t="e">
        <f>IF(Y70=0,NA(),-'Drilling Spec'!$C$29*0.1)</f>
        <v>#N/A</v>
      </c>
      <c r="AT70" t="e">
        <f>IF(AB70=0,NA(),-'Drilling Spec'!$C$29*0.2)</f>
        <v>#N/A</v>
      </c>
      <c r="AU70" t="e">
        <f>IF(AC70=0,NA(),-'Drilling Spec'!$C$29*0.2)</f>
        <v>#N/A</v>
      </c>
      <c r="AV70" t="e">
        <f>IF(AH70=0,NA(),-'Drilling Spec'!$C$29*0.3)</f>
        <v>#N/A</v>
      </c>
      <c r="AW70" t="e">
        <f>IF(AI70=0,NA(),-'Drilling Spec'!$C$29*0.3)</f>
        <v>#N/A</v>
      </c>
      <c r="AX70" s="29">
        <f t="shared" si="32"/>
        <v>4.9082926829268239</v>
      </c>
      <c r="AY70" s="29">
        <f t="shared" si="33"/>
        <v>42.629578369148568</v>
      </c>
      <c r="AZ70" s="29">
        <f t="shared" si="37"/>
        <v>0</v>
      </c>
    </row>
    <row r="71" spans="1:52" x14ac:dyDescent="0.35">
      <c r="A71" s="28">
        <f t="shared" si="38"/>
        <v>46041</v>
      </c>
      <c r="B71" t="str">
        <f t="shared" si="20"/>
        <v>Mon</v>
      </c>
      <c r="C71" s="10"/>
      <c r="D71" s="10"/>
      <c r="E71" s="4">
        <f t="shared" si="21"/>
        <v>0</v>
      </c>
      <c r="F71" s="4">
        <f t="shared" si="22"/>
        <v>792</v>
      </c>
      <c r="G71" s="4">
        <f t="shared" si="23"/>
        <v>0</v>
      </c>
      <c r="H71" s="15">
        <f>(SQRT(4*I70*I70*V*V + 'Drilling Spec'!$C$42*I70 + W*('Drilling Spec'!$C$43 + 2*l*V*(s*W + 2*V*G71/(1+e)) + 'Drilling Spec'!$C$44)) - 'Drilling Spec'!$C$45)/(2*V)</f>
        <v>709.67645900268099</v>
      </c>
      <c r="I71" s="23">
        <f>IF(AND(OR(I70=0,I70=""),F71=0),IF(F72=0,"",'Drilling Spec'!$C$26),H71)</f>
        <v>709.67645900268099</v>
      </c>
      <c r="J71" s="16">
        <f>MAX(0,I71-'Drilling Spec'!$C$30)</f>
        <v>629.67645900268099</v>
      </c>
      <c r="K71" s="18">
        <f>IFERROR(J71/'Drilling Spec'!$C$31,0)</f>
        <v>41.978430600178733</v>
      </c>
      <c r="L71" s="21">
        <f t="shared" si="24"/>
        <v>0</v>
      </c>
      <c r="M71" s="4">
        <f t="shared" si="34"/>
        <v>132</v>
      </c>
      <c r="N71" s="21">
        <f t="shared" si="25"/>
        <v>0</v>
      </c>
      <c r="O71" s="18">
        <f>(SQRT(4*O70*O70*vB*vB + 'Drilling Spec'!$C$48*O70 + WB*('Drilling Spec'!$C$49 + 2*lB*vB*(sB*WB + 2*vB*N71/(1+eB)) + 'Drilling Spec'!$C$50)) - 'Drilling Spec'!$C$51)/(2*vB)</f>
        <v>723.46681615545504</v>
      </c>
      <c r="P71" s="18">
        <f>IFERROR(((S71-'Drilling Spec'!$C$30)/'Drilling Spec'!$C$31)*'Drilling Spec'!$C$32,0)</f>
        <v>38.608008969327301</v>
      </c>
      <c r="Q71" s="18">
        <f t="shared" si="35"/>
        <v>0</v>
      </c>
      <c r="R71" s="18"/>
      <c r="S71" s="26">
        <f>IF(AND(OR(T70=0,T70=""),M71=0),IF(M72=0,"",'Drilling Spec'!$C$30),O71)</f>
        <v>723.46681615545504</v>
      </c>
      <c r="U71" s="15">
        <f>E71*'Drilling Spec'!$C$22 + L71*'Drilling Spec'!$C$23</f>
        <v>0</v>
      </c>
      <c r="V71" s="15">
        <f t="shared" si="36"/>
        <v>19.091707317073169</v>
      </c>
      <c r="W71" s="15">
        <f t="shared" si="26"/>
        <v>4.9082926829268239</v>
      </c>
      <c r="X71" s="10"/>
      <c r="Y71" s="30">
        <f>IF(W71&lt;U72,'Drilling Spec'!$C$35,0)</f>
        <v>0</v>
      </c>
      <c r="AA71" s="4">
        <f t="shared" si="39"/>
        <v>46</v>
      </c>
      <c r="AB71" s="10"/>
      <c r="AC71" s="30">
        <f>IF('04-07-25-Scen5-WorstCargoJIT'!K72&gt;'04-07-25-Scen5-WorstCargoJIT'!AA71,'Drilling Spec'!$C$36,)</f>
        <v>0</v>
      </c>
      <c r="AE71" s="18">
        <f>(I71-'Drilling Spec'!$C$26)/'Drilling Spec'!$C$38</f>
        <v>106.61274316711349</v>
      </c>
      <c r="AF71" s="18">
        <f t="shared" si="27"/>
        <v>0</v>
      </c>
      <c r="AG71" s="34">
        <f t="shared" si="28"/>
        <v>0</v>
      </c>
      <c r="AH71" s="10"/>
      <c r="AI71" s="26">
        <f>IF(C71="Camp Closed",AG71,IF(AG71&lt;'Drilling Spec'!$C$39,,'Drilling Spec'!$C$39))</f>
        <v>0</v>
      </c>
      <c r="AL71" s="16">
        <f t="shared" si="29"/>
        <v>-709.67645900268099</v>
      </c>
      <c r="AM71" s="16">
        <f t="shared" si="30"/>
        <v>-723.46681615545504</v>
      </c>
      <c r="AN71">
        <f>-'Drilling Spec'!$C$29</f>
        <v>-720</v>
      </c>
      <c r="AO71">
        <f>-'Drilling Spec'!$C$27</f>
        <v>-624</v>
      </c>
      <c r="AP71">
        <f>-'Drilling Spec'!$C$28</f>
        <v>-688</v>
      </c>
      <c r="AQ71" t="e">
        <f t="shared" si="31"/>
        <v>#N/A</v>
      </c>
      <c r="AR71" t="e">
        <f>IF(X71=0,NA(),-'Drilling Spec'!$C$29*0.1)</f>
        <v>#N/A</v>
      </c>
      <c r="AS71" t="e">
        <f>IF(Y71=0,NA(),-'Drilling Spec'!$C$29*0.1)</f>
        <v>#N/A</v>
      </c>
      <c r="AT71" t="e">
        <f>IF(AB71=0,NA(),-'Drilling Spec'!$C$29*0.2)</f>
        <v>#N/A</v>
      </c>
      <c r="AU71" t="e">
        <f>IF(AC71=0,NA(),-'Drilling Spec'!$C$29*0.2)</f>
        <v>#N/A</v>
      </c>
      <c r="AV71" t="e">
        <f>IF(AH71=0,NA(),-'Drilling Spec'!$C$29*0.3)</f>
        <v>#N/A</v>
      </c>
      <c r="AW71" t="e">
        <f>IF(AI71=0,NA(),-'Drilling Spec'!$C$29*0.3)</f>
        <v>#N/A</v>
      </c>
      <c r="AX71" s="29">
        <f t="shared" si="32"/>
        <v>4.9082926829268239</v>
      </c>
      <c r="AY71" s="29">
        <f t="shared" si="33"/>
        <v>42.629578369148568</v>
      </c>
      <c r="AZ71" s="29">
        <f t="shared" si="37"/>
        <v>0</v>
      </c>
    </row>
    <row r="72" spans="1:52" x14ac:dyDescent="0.35">
      <c r="A72" s="28">
        <f t="shared" si="38"/>
        <v>46042</v>
      </c>
      <c r="B72" t="str">
        <f t="shared" si="20"/>
        <v>Tue</v>
      </c>
      <c r="C72" s="10"/>
      <c r="D72" s="10"/>
      <c r="E72" s="4">
        <f t="shared" si="21"/>
        <v>0</v>
      </c>
      <c r="F72" s="4">
        <f t="shared" si="22"/>
        <v>792</v>
      </c>
      <c r="G72" s="4">
        <f t="shared" si="23"/>
        <v>0</v>
      </c>
      <c r="H72" s="15">
        <f>(SQRT(4*I71*I71*V*V + 'Drilling Spec'!$C$42*I71 + W*('Drilling Spec'!$C$43 + 2*l*V*(s*W + 2*V*G72/(1+e)) + 'Drilling Spec'!$C$44)) - 'Drilling Spec'!$C$45)/(2*V)</f>
        <v>709.67645900268099</v>
      </c>
      <c r="I72" s="23">
        <f>IF(AND(OR(I71=0,I71=""),F72=0),IF(F73=0,"",'Drilling Spec'!$C$26),H72)</f>
        <v>709.67645900268099</v>
      </c>
      <c r="J72" s="16">
        <f>MAX(0,I72-'Drilling Spec'!$C$30)</f>
        <v>629.67645900268099</v>
      </c>
      <c r="K72" s="18">
        <f>IFERROR(J72/'Drilling Spec'!$C$31,0)</f>
        <v>41.978430600178733</v>
      </c>
      <c r="L72" s="21">
        <f t="shared" si="24"/>
        <v>0</v>
      </c>
      <c r="M72" s="4">
        <f t="shared" si="34"/>
        <v>132</v>
      </c>
      <c r="N72" s="21">
        <f t="shared" si="25"/>
        <v>0</v>
      </c>
      <c r="O72" s="18">
        <f>(SQRT(4*O71*O71*vB*vB + 'Drilling Spec'!$C$48*O71 + WB*('Drilling Spec'!$C$49 + 2*lB*vB*(sB*WB + 2*vB*N72/(1+eB)) + 'Drilling Spec'!$C$50)) - 'Drilling Spec'!$C$51)/(2*vB)</f>
        <v>723.46681615545504</v>
      </c>
      <c r="P72" s="18">
        <f>IFERROR(((S72-'Drilling Spec'!$C$30)/'Drilling Spec'!$C$31)*'Drilling Spec'!$C$32,0)</f>
        <v>38.608008969327301</v>
      </c>
      <c r="Q72" s="18">
        <f t="shared" si="35"/>
        <v>0</v>
      </c>
      <c r="R72" s="18"/>
      <c r="S72" s="26">
        <f>IF(AND(OR(T71=0,T71=""),M72=0),IF(M73=0,"",'Drilling Spec'!$C$30),O72)</f>
        <v>723.46681615545504</v>
      </c>
      <c r="U72" s="15">
        <f>E72*'Drilling Spec'!$C$22 + L72*'Drilling Spec'!$C$23</f>
        <v>0</v>
      </c>
      <c r="V72" s="15">
        <f t="shared" si="36"/>
        <v>19.091707317073169</v>
      </c>
      <c r="W72" s="15">
        <f t="shared" si="26"/>
        <v>4.9082926829268239</v>
      </c>
      <c r="X72" s="10"/>
      <c r="Y72" s="30">
        <f>IF(W72&lt;U73,'Drilling Spec'!$C$35,0)</f>
        <v>0</v>
      </c>
      <c r="AA72" s="4">
        <f t="shared" si="39"/>
        <v>46</v>
      </c>
      <c r="AB72" s="10"/>
      <c r="AC72" s="30">
        <f>IF('04-07-25-Scen5-WorstCargoJIT'!K73&gt;'04-07-25-Scen5-WorstCargoJIT'!AA72,'Drilling Spec'!$C$36,)</f>
        <v>0</v>
      </c>
      <c r="AE72" s="18">
        <f>(I72-'Drilling Spec'!$C$26)/'Drilling Spec'!$C$38</f>
        <v>106.61274316711349</v>
      </c>
      <c r="AF72" s="18">
        <f t="shared" si="27"/>
        <v>0</v>
      </c>
      <c r="AG72" s="34">
        <f t="shared" si="28"/>
        <v>0</v>
      </c>
      <c r="AH72" s="10"/>
      <c r="AI72" s="26">
        <f>IF(C72="Camp Closed",AG72,IF(AG72&lt;'Drilling Spec'!$C$39,,'Drilling Spec'!$C$39))</f>
        <v>0</v>
      </c>
      <c r="AL72" s="16">
        <f t="shared" si="29"/>
        <v>-709.67645900268099</v>
      </c>
      <c r="AM72" s="16">
        <f t="shared" si="30"/>
        <v>-723.46681615545504</v>
      </c>
      <c r="AN72">
        <f>-'Drilling Spec'!$C$29</f>
        <v>-720</v>
      </c>
      <c r="AO72">
        <f>-'Drilling Spec'!$C$27</f>
        <v>-624</v>
      </c>
      <c r="AP72">
        <f>-'Drilling Spec'!$C$28</f>
        <v>-688</v>
      </c>
      <c r="AQ72" t="e">
        <f t="shared" si="31"/>
        <v>#N/A</v>
      </c>
      <c r="AR72" t="e">
        <f>IF(X72=0,NA(),-'Drilling Spec'!$C$29*0.1)</f>
        <v>#N/A</v>
      </c>
      <c r="AS72" t="e">
        <f>IF(Y72=0,NA(),-'Drilling Spec'!$C$29*0.1)</f>
        <v>#N/A</v>
      </c>
      <c r="AT72" t="e">
        <f>IF(AB72=0,NA(),-'Drilling Spec'!$C$29*0.2)</f>
        <v>#N/A</v>
      </c>
      <c r="AU72" t="e">
        <f>IF(AC72=0,NA(),-'Drilling Spec'!$C$29*0.2)</f>
        <v>#N/A</v>
      </c>
      <c r="AV72" t="e">
        <f>IF(AH72=0,NA(),-'Drilling Spec'!$C$29*0.3)</f>
        <v>#N/A</v>
      </c>
      <c r="AW72" t="e">
        <f>IF(AI72=0,NA(),-'Drilling Spec'!$C$29*0.3)</f>
        <v>#N/A</v>
      </c>
      <c r="AX72" s="29">
        <f t="shared" si="32"/>
        <v>4.9082926829268239</v>
      </c>
      <c r="AY72" s="29">
        <f t="shared" si="33"/>
        <v>42.629578369148568</v>
      </c>
      <c r="AZ72" s="29">
        <f t="shared" si="37"/>
        <v>0</v>
      </c>
    </row>
    <row r="73" spans="1:52" x14ac:dyDescent="0.35">
      <c r="A73" s="28">
        <f t="shared" si="38"/>
        <v>46043</v>
      </c>
      <c r="B73" t="str">
        <f t="shared" si="20"/>
        <v>Wed</v>
      </c>
      <c r="C73" s="10"/>
      <c r="D73" s="10"/>
      <c r="E73" s="4">
        <f t="shared" si="21"/>
        <v>0</v>
      </c>
      <c r="F73" s="4">
        <f t="shared" si="22"/>
        <v>792</v>
      </c>
      <c r="G73" s="4">
        <f t="shared" si="23"/>
        <v>0</v>
      </c>
      <c r="H73" s="15">
        <f>(SQRT(4*I72*I72*V*V + 'Drilling Spec'!$C$42*I72 + W*('Drilling Spec'!$C$43 + 2*l*V*(s*W + 2*V*G73/(1+e)) + 'Drilling Spec'!$C$44)) - 'Drilling Spec'!$C$45)/(2*V)</f>
        <v>709.67645900268099</v>
      </c>
      <c r="I73" s="23">
        <f>IF(AND(OR(I72=0,I72=""),F73=0),IF(F74=0,"",'Drilling Spec'!$C$26),H73)</f>
        <v>709.67645900268099</v>
      </c>
      <c r="J73" s="16">
        <f>MAX(0,I73-'Drilling Spec'!$C$30)</f>
        <v>629.67645900268099</v>
      </c>
      <c r="K73" s="18">
        <f>IFERROR(J73/'Drilling Spec'!$C$31,0)</f>
        <v>41.978430600178733</v>
      </c>
      <c r="L73" s="21">
        <f t="shared" si="24"/>
        <v>0</v>
      </c>
      <c r="M73" s="4">
        <f t="shared" si="34"/>
        <v>132</v>
      </c>
      <c r="N73" s="21">
        <f t="shared" si="25"/>
        <v>0</v>
      </c>
      <c r="O73" s="18">
        <f>(SQRT(4*O72*O72*vB*vB + 'Drilling Spec'!$C$48*O72 + WB*('Drilling Spec'!$C$49 + 2*lB*vB*(sB*WB + 2*vB*N73/(1+eB)) + 'Drilling Spec'!$C$50)) - 'Drilling Spec'!$C$51)/(2*vB)</f>
        <v>723.46681615545504</v>
      </c>
      <c r="P73" s="18">
        <f>IFERROR(((S73-'Drilling Spec'!$C$30)/'Drilling Spec'!$C$31)*'Drilling Spec'!$C$32,0)</f>
        <v>38.608008969327301</v>
      </c>
      <c r="Q73" s="18">
        <f t="shared" si="35"/>
        <v>0</v>
      </c>
      <c r="R73" s="18"/>
      <c r="S73" s="26">
        <f>IF(AND(OR(T72=0,T72=""),M73=0),IF(M74=0,"",'Drilling Spec'!$C$30),O73)</f>
        <v>723.46681615545504</v>
      </c>
      <c r="U73" s="15">
        <f>E73*'Drilling Spec'!$C$22 + L73*'Drilling Spec'!$C$23</f>
        <v>0</v>
      </c>
      <c r="V73" s="15">
        <f t="shared" si="36"/>
        <v>19.091707317073169</v>
      </c>
      <c r="W73" s="15">
        <f t="shared" si="26"/>
        <v>4.9082926829268239</v>
      </c>
      <c r="X73" s="10"/>
      <c r="Y73" s="30">
        <f>IF(W73&lt;U74,'Drilling Spec'!$C$35,0)</f>
        <v>0</v>
      </c>
      <c r="AA73" s="4">
        <f t="shared" si="39"/>
        <v>46</v>
      </c>
      <c r="AB73" s="10"/>
      <c r="AC73" s="30">
        <f>IF('04-07-25-Scen5-WorstCargoJIT'!K74&gt;'04-07-25-Scen5-WorstCargoJIT'!AA73,'Drilling Spec'!$C$36,)</f>
        <v>0</v>
      </c>
      <c r="AE73" s="18">
        <f>(I73-'Drilling Spec'!$C$26)/'Drilling Spec'!$C$38</f>
        <v>106.61274316711349</v>
      </c>
      <c r="AF73" s="18">
        <f t="shared" si="27"/>
        <v>0</v>
      </c>
      <c r="AG73" s="34">
        <f t="shared" si="28"/>
        <v>0</v>
      </c>
      <c r="AH73" s="10"/>
      <c r="AI73" s="26">
        <f>IF(C73="Camp Closed",AG73,IF(AG73&lt;'Drilling Spec'!$C$39,,'Drilling Spec'!$C$39))</f>
        <v>0</v>
      </c>
      <c r="AL73" s="16">
        <f t="shared" si="29"/>
        <v>-709.67645900268099</v>
      </c>
      <c r="AM73" s="16">
        <f t="shared" si="30"/>
        <v>-723.46681615545504</v>
      </c>
      <c r="AN73">
        <f>-'Drilling Spec'!$C$29</f>
        <v>-720</v>
      </c>
      <c r="AO73">
        <f>-'Drilling Spec'!$C$27</f>
        <v>-624</v>
      </c>
      <c r="AP73">
        <f>-'Drilling Spec'!$C$28</f>
        <v>-688</v>
      </c>
      <c r="AQ73" t="e">
        <f t="shared" si="31"/>
        <v>#N/A</v>
      </c>
      <c r="AR73" t="e">
        <f>IF(X73=0,NA(),-'Drilling Spec'!$C$29*0.1)</f>
        <v>#N/A</v>
      </c>
      <c r="AS73" t="e">
        <f>IF(Y73=0,NA(),-'Drilling Spec'!$C$29*0.1)</f>
        <v>#N/A</v>
      </c>
      <c r="AT73" t="e">
        <f>IF(AB73=0,NA(),-'Drilling Spec'!$C$29*0.2)</f>
        <v>#N/A</v>
      </c>
      <c r="AU73" t="e">
        <f>IF(AC73=0,NA(),-'Drilling Spec'!$C$29*0.2)</f>
        <v>#N/A</v>
      </c>
      <c r="AV73" t="e">
        <f>IF(AH73=0,NA(),-'Drilling Spec'!$C$29*0.3)</f>
        <v>#N/A</v>
      </c>
      <c r="AW73" t="e">
        <f>IF(AI73=0,NA(),-'Drilling Spec'!$C$29*0.3)</f>
        <v>#N/A</v>
      </c>
      <c r="AX73" s="29">
        <f t="shared" si="32"/>
        <v>4.9082926829268239</v>
      </c>
      <c r="AY73" s="29">
        <f t="shared" si="33"/>
        <v>42.629578369148568</v>
      </c>
      <c r="AZ73" s="29">
        <f t="shared" si="37"/>
        <v>0</v>
      </c>
    </row>
    <row r="74" spans="1:52" x14ac:dyDescent="0.35">
      <c r="A74" s="28">
        <f t="shared" si="38"/>
        <v>46044</v>
      </c>
      <c r="B74" t="str">
        <f t="shared" si="20"/>
        <v>Thu</v>
      </c>
      <c r="C74" s="10"/>
      <c r="D74" s="10"/>
      <c r="E74" s="4">
        <f t="shared" si="21"/>
        <v>0</v>
      </c>
      <c r="F74" s="4">
        <f t="shared" si="22"/>
        <v>792</v>
      </c>
      <c r="G74" s="4">
        <f t="shared" si="23"/>
        <v>0</v>
      </c>
      <c r="H74" s="15">
        <f>(SQRT(4*I73*I73*V*V + 'Drilling Spec'!$C$42*I73 + W*('Drilling Spec'!$C$43 + 2*l*V*(s*W + 2*V*G74/(1+e)) + 'Drilling Spec'!$C$44)) - 'Drilling Spec'!$C$45)/(2*V)</f>
        <v>709.67645900268099</v>
      </c>
      <c r="I74" s="23">
        <f>IF(AND(OR(I73=0,I73=""),F74=0),IF(F75=0,"",'Drilling Spec'!$C$26),H74)</f>
        <v>709.67645900268099</v>
      </c>
      <c r="J74" s="16">
        <f>MAX(0,I74-'Drilling Spec'!$C$30)</f>
        <v>629.67645900268099</v>
      </c>
      <c r="K74" s="18">
        <f>IFERROR(J74/'Drilling Spec'!$C$31,0)</f>
        <v>41.978430600178733</v>
      </c>
      <c r="L74" s="21">
        <f t="shared" si="24"/>
        <v>0</v>
      </c>
      <c r="M74" s="4">
        <f t="shared" si="34"/>
        <v>132</v>
      </c>
      <c r="N74" s="21">
        <f t="shared" si="25"/>
        <v>0</v>
      </c>
      <c r="O74" s="18">
        <f>(SQRT(4*O73*O73*vB*vB + 'Drilling Spec'!$C$48*O73 + WB*('Drilling Spec'!$C$49 + 2*lB*vB*(sB*WB + 2*vB*N74/(1+eB)) + 'Drilling Spec'!$C$50)) - 'Drilling Spec'!$C$51)/(2*vB)</f>
        <v>723.46681615545504</v>
      </c>
      <c r="P74" s="18">
        <f>IFERROR(((S74-'Drilling Spec'!$C$30)/'Drilling Spec'!$C$31)*'Drilling Spec'!$C$32,0)</f>
        <v>38.608008969327301</v>
      </c>
      <c r="Q74" s="18">
        <f t="shared" si="35"/>
        <v>0</v>
      </c>
      <c r="R74" s="18"/>
      <c r="S74" s="26">
        <f>IF(AND(OR(T73=0,T73=""),M74=0),IF(M75=0,"",'Drilling Spec'!$C$30),O74)</f>
        <v>723.46681615545504</v>
      </c>
      <c r="U74" s="15">
        <f>E74*'Drilling Spec'!$C$22 + L74*'Drilling Spec'!$C$23</f>
        <v>0</v>
      </c>
      <c r="V74" s="15">
        <f t="shared" si="36"/>
        <v>19.091707317073169</v>
      </c>
      <c r="W74" s="15">
        <f t="shared" si="26"/>
        <v>4.9082926829268239</v>
      </c>
      <c r="X74" s="10"/>
      <c r="Y74" s="30">
        <f>IF(W74&lt;U75,'Drilling Spec'!$C$35,0)</f>
        <v>0</v>
      </c>
      <c r="AA74" s="4">
        <f>AA73+AC73+AB74</f>
        <v>46</v>
      </c>
      <c r="AB74" s="10"/>
      <c r="AC74" s="30">
        <f>IF('04-07-25-Scen5-WorstCargoJIT'!K75&gt;'04-07-25-Scen5-WorstCargoJIT'!AA74,'Drilling Spec'!$C$36,)</f>
        <v>0</v>
      </c>
      <c r="AE74" s="18">
        <f>(I74-'Drilling Spec'!$C$26)/'Drilling Spec'!$C$38</f>
        <v>106.61274316711349</v>
      </c>
      <c r="AF74" s="18">
        <f t="shared" si="27"/>
        <v>0</v>
      </c>
      <c r="AG74" s="34">
        <f t="shared" si="28"/>
        <v>0</v>
      </c>
      <c r="AH74" s="10"/>
      <c r="AI74" s="26">
        <f>IF(C74="Camp Closed",AG74,IF(AG74&lt;'Drilling Spec'!$C$39,,'Drilling Spec'!$C$39))</f>
        <v>0</v>
      </c>
      <c r="AL74" s="16">
        <f t="shared" si="29"/>
        <v>-709.67645900268099</v>
      </c>
      <c r="AM74" s="16">
        <f t="shared" si="30"/>
        <v>-723.46681615545504</v>
      </c>
      <c r="AN74">
        <f>-'Drilling Spec'!$C$29</f>
        <v>-720</v>
      </c>
      <c r="AO74">
        <f>-'Drilling Spec'!$C$27</f>
        <v>-624</v>
      </c>
      <c r="AP74">
        <f>-'Drilling Spec'!$C$28</f>
        <v>-688</v>
      </c>
      <c r="AQ74" t="e">
        <f t="shared" si="31"/>
        <v>#N/A</v>
      </c>
      <c r="AR74" t="e">
        <f>IF(X74=0,NA(),-'Drilling Spec'!$C$29*0.1)</f>
        <v>#N/A</v>
      </c>
      <c r="AS74" t="e">
        <f>IF(Y74=0,NA(),-'Drilling Spec'!$C$29*0.1)</f>
        <v>#N/A</v>
      </c>
      <c r="AT74" t="e">
        <f>IF(AB74=0,NA(),-'Drilling Spec'!$C$29*0.2)</f>
        <v>#N/A</v>
      </c>
      <c r="AU74" t="e">
        <f>IF(AC74=0,NA(),-'Drilling Spec'!$C$29*0.2)</f>
        <v>#N/A</v>
      </c>
      <c r="AV74" t="e">
        <f>IF(AH74=0,NA(),-'Drilling Spec'!$C$29*0.3)</f>
        <v>#N/A</v>
      </c>
      <c r="AW74" t="e">
        <f>IF(AI74=0,NA(),-'Drilling Spec'!$C$29*0.3)</f>
        <v>#N/A</v>
      </c>
      <c r="AX74" s="29">
        <f t="shared" si="32"/>
        <v>4.9082926829268239</v>
      </c>
      <c r="AY74" s="29">
        <f t="shared" si="33"/>
        <v>42.629578369148568</v>
      </c>
      <c r="AZ74" s="29">
        <f t="shared" si="37"/>
        <v>0</v>
      </c>
    </row>
    <row r="75" spans="1:52" x14ac:dyDescent="0.35">
      <c r="A75" s="28">
        <f t="shared" si="38"/>
        <v>46045</v>
      </c>
      <c r="B75" t="str">
        <f t="shared" si="20"/>
        <v>Fri</v>
      </c>
      <c r="C75" s="10"/>
      <c r="D75" s="10"/>
      <c r="E75" s="4">
        <f t="shared" si="21"/>
        <v>0</v>
      </c>
      <c r="F75" s="4">
        <f t="shared" si="22"/>
        <v>792</v>
      </c>
      <c r="G75" s="4">
        <f t="shared" si="23"/>
        <v>0</v>
      </c>
      <c r="H75" s="15">
        <f>(SQRT(4*I74*I74*V*V + 'Drilling Spec'!$C$42*I74 + W*('Drilling Spec'!$C$43 + 2*l*V*(s*W + 2*V*G75/(1+e)) + 'Drilling Spec'!$C$44)) - 'Drilling Spec'!$C$45)/(2*V)</f>
        <v>709.67645900268099</v>
      </c>
      <c r="I75" s="23">
        <f>IF(AND(OR(I74=0,I74=""),F75=0),IF(F76=0,"",'Drilling Spec'!$C$26),H75)</f>
        <v>709.67645900268099</v>
      </c>
      <c r="J75" s="16">
        <f>MAX(0,I75-'Drilling Spec'!$C$30)</f>
        <v>629.67645900268099</v>
      </c>
      <c r="K75" s="18">
        <f>IFERROR(J75/'Drilling Spec'!$C$31,0)</f>
        <v>41.978430600178733</v>
      </c>
      <c r="L75" s="21">
        <f t="shared" si="24"/>
        <v>0</v>
      </c>
      <c r="M75" s="4">
        <f t="shared" si="34"/>
        <v>132</v>
      </c>
      <c r="N75" s="21">
        <f t="shared" si="25"/>
        <v>0</v>
      </c>
      <c r="O75" s="18">
        <f>(SQRT(4*O74*O74*vB*vB + 'Drilling Spec'!$C$48*O74 + WB*('Drilling Spec'!$C$49 + 2*lB*vB*(sB*WB + 2*vB*N75/(1+eB)) + 'Drilling Spec'!$C$50)) - 'Drilling Spec'!$C$51)/(2*vB)</f>
        <v>723.46681615545504</v>
      </c>
      <c r="P75" s="18">
        <f>IFERROR(((S75-'Drilling Spec'!$C$30)/'Drilling Spec'!$C$31)*'Drilling Spec'!$C$32,0)</f>
        <v>38.608008969327301</v>
      </c>
      <c r="Q75" s="18">
        <f t="shared" si="35"/>
        <v>0</v>
      </c>
      <c r="R75" s="18"/>
      <c r="S75" s="26">
        <f>IF(AND(OR(T74=0,T74=""),M75=0),IF(M76=0,"",'Drilling Spec'!$C$30),O75)</f>
        <v>723.46681615545504</v>
      </c>
      <c r="U75" s="15">
        <f>E75*'Drilling Spec'!$C$22 + L75*'Drilling Spec'!$C$23</f>
        <v>0</v>
      </c>
      <c r="V75" s="15">
        <f t="shared" si="36"/>
        <v>19.091707317073169</v>
      </c>
      <c r="W75" s="15">
        <f t="shared" si="26"/>
        <v>4.9082926829268239</v>
      </c>
      <c r="X75" s="10"/>
      <c r="Y75" s="30">
        <f>IF(W75&lt;U76,'Drilling Spec'!$C$35,0)</f>
        <v>0</v>
      </c>
      <c r="AA75" s="4">
        <f t="shared" ref="AA75:AA112" si="40">AA74+AC74+AB75</f>
        <v>46</v>
      </c>
      <c r="AB75" s="10"/>
      <c r="AC75" s="30">
        <f>IF('04-07-25-Scen5-WorstCargoJIT'!K76&gt;'04-07-25-Scen5-WorstCargoJIT'!AA75,'Drilling Spec'!$C$36,)</f>
        <v>0</v>
      </c>
      <c r="AE75" s="18">
        <f>(I75-'Drilling Spec'!$C$26)/'Drilling Spec'!$C$38</f>
        <v>106.61274316711349</v>
      </c>
      <c r="AF75" s="18">
        <f t="shared" si="27"/>
        <v>0</v>
      </c>
      <c r="AG75" s="34">
        <f t="shared" si="28"/>
        <v>0</v>
      </c>
      <c r="AH75" s="10"/>
      <c r="AI75" s="26">
        <f>IF(C75="Camp Closed",AG75,IF(AG75&lt;'Drilling Spec'!$C$39,,'Drilling Spec'!$C$39))</f>
        <v>0</v>
      </c>
      <c r="AL75" s="16">
        <f t="shared" si="29"/>
        <v>-709.67645900268099</v>
      </c>
      <c r="AM75" s="16">
        <f t="shared" si="30"/>
        <v>-723.46681615545504</v>
      </c>
      <c r="AN75">
        <f>-'Drilling Spec'!$C$29</f>
        <v>-720</v>
      </c>
      <c r="AO75">
        <f>-'Drilling Spec'!$C$27</f>
        <v>-624</v>
      </c>
      <c r="AP75">
        <f>-'Drilling Spec'!$C$28</f>
        <v>-688</v>
      </c>
      <c r="AQ75" t="e">
        <f t="shared" si="31"/>
        <v>#N/A</v>
      </c>
      <c r="AR75" t="e">
        <f>IF(X75=0,NA(),-'Drilling Spec'!$C$29*0.1)</f>
        <v>#N/A</v>
      </c>
      <c r="AS75" t="e">
        <f>IF(Y75=0,NA(),-'Drilling Spec'!$C$29*0.1)</f>
        <v>#N/A</v>
      </c>
      <c r="AT75" t="e">
        <f>IF(AB75=0,NA(),-'Drilling Spec'!$C$29*0.2)</f>
        <v>#N/A</v>
      </c>
      <c r="AU75" t="e">
        <f>IF(AC75=0,NA(),-'Drilling Spec'!$C$29*0.2)</f>
        <v>#N/A</v>
      </c>
      <c r="AV75" t="e">
        <f>IF(AH75=0,NA(),-'Drilling Spec'!$C$29*0.3)</f>
        <v>#N/A</v>
      </c>
      <c r="AW75" t="e">
        <f>IF(AI75=0,NA(),-'Drilling Spec'!$C$29*0.3)</f>
        <v>#N/A</v>
      </c>
      <c r="AX75" s="29">
        <f t="shared" si="32"/>
        <v>4.9082926829268239</v>
      </c>
      <c r="AY75" s="29">
        <f t="shared" si="33"/>
        <v>42.629578369148568</v>
      </c>
      <c r="AZ75" s="29">
        <f t="shared" si="37"/>
        <v>0</v>
      </c>
    </row>
    <row r="76" spans="1:52" x14ac:dyDescent="0.35">
      <c r="A76" s="28">
        <f t="shared" si="38"/>
        <v>46046</v>
      </c>
      <c r="B76" t="str">
        <f t="shared" si="20"/>
        <v>Sat</v>
      </c>
      <c r="C76" s="10"/>
      <c r="D76" s="10"/>
      <c r="E76" s="4">
        <f t="shared" si="21"/>
        <v>0</v>
      </c>
      <c r="F76" s="4">
        <f t="shared" si="22"/>
        <v>792</v>
      </c>
      <c r="G76" s="4">
        <f t="shared" si="23"/>
        <v>0</v>
      </c>
      <c r="H76" s="15">
        <f>(SQRT(4*I75*I75*V*V + 'Drilling Spec'!$C$42*I75 + W*('Drilling Spec'!$C$43 + 2*l*V*(s*W + 2*V*G76/(1+e)) + 'Drilling Spec'!$C$44)) - 'Drilling Spec'!$C$45)/(2*V)</f>
        <v>709.67645900268099</v>
      </c>
      <c r="I76" s="23">
        <f>IF(AND(OR(I75=0,I75=""),F76=0),IF(F77=0,"",'Drilling Spec'!$C$26),H76)</f>
        <v>709.67645900268099</v>
      </c>
      <c r="J76" s="16">
        <f>MAX(0,I76-'Drilling Spec'!$C$30)</f>
        <v>629.67645900268099</v>
      </c>
      <c r="K76" s="18">
        <f>IFERROR(J76/'Drilling Spec'!$C$31,0)</f>
        <v>41.978430600178733</v>
      </c>
      <c r="L76" s="21">
        <f t="shared" si="24"/>
        <v>0</v>
      </c>
      <c r="M76" s="4">
        <f t="shared" si="34"/>
        <v>132</v>
      </c>
      <c r="N76" s="21">
        <f t="shared" si="25"/>
        <v>0</v>
      </c>
      <c r="O76" s="18">
        <f>(SQRT(4*O75*O75*vB*vB + 'Drilling Spec'!$C$48*O75 + WB*('Drilling Spec'!$C$49 + 2*lB*vB*(sB*WB + 2*vB*N76/(1+eB)) + 'Drilling Spec'!$C$50)) - 'Drilling Spec'!$C$51)/(2*vB)</f>
        <v>723.46681615545504</v>
      </c>
      <c r="P76" s="18">
        <f>IFERROR(((S76-'Drilling Spec'!$C$30)/'Drilling Spec'!$C$31)*'Drilling Spec'!$C$32,0)</f>
        <v>38.608008969327301</v>
      </c>
      <c r="Q76" s="18">
        <f t="shared" si="35"/>
        <v>0</v>
      </c>
      <c r="R76" s="18"/>
      <c r="S76" s="26">
        <f>IF(AND(OR(T75=0,T75=""),M76=0),IF(M77=0,"",'Drilling Spec'!$C$30),O76)</f>
        <v>723.46681615545504</v>
      </c>
      <c r="U76" s="15">
        <f>E76*'Drilling Spec'!$C$22 + L76*'Drilling Spec'!$C$23</f>
        <v>0</v>
      </c>
      <c r="V76" s="15">
        <f t="shared" si="36"/>
        <v>19.091707317073169</v>
      </c>
      <c r="W76" s="15">
        <f t="shared" si="26"/>
        <v>4.9082926829268239</v>
      </c>
      <c r="X76" s="10"/>
      <c r="Y76" s="30">
        <f>IF(W76&lt;U77,'Drilling Spec'!$C$35,0)</f>
        <v>0</v>
      </c>
      <c r="AA76" s="4">
        <f t="shared" si="40"/>
        <v>46</v>
      </c>
      <c r="AB76" s="10"/>
      <c r="AC76" s="30">
        <f>IF('04-07-25-Scen5-WorstCargoJIT'!K77&gt;'04-07-25-Scen5-WorstCargoJIT'!AA76,'Drilling Spec'!$C$36,)</f>
        <v>0</v>
      </c>
      <c r="AE76" s="18">
        <f>(I76-'Drilling Spec'!$C$26)/'Drilling Spec'!$C$38</f>
        <v>106.61274316711349</v>
      </c>
      <c r="AF76" s="18">
        <f t="shared" si="27"/>
        <v>0</v>
      </c>
      <c r="AG76" s="34">
        <f t="shared" si="28"/>
        <v>0</v>
      </c>
      <c r="AH76" s="10"/>
      <c r="AI76" s="26">
        <f>IF(C76="Camp Closed",AG76,IF(AG76&lt;'Drilling Spec'!$C$39,,'Drilling Spec'!$C$39))</f>
        <v>0</v>
      </c>
      <c r="AL76" s="16">
        <f t="shared" si="29"/>
        <v>-709.67645900268099</v>
      </c>
      <c r="AM76" s="16">
        <f t="shared" si="30"/>
        <v>-723.46681615545504</v>
      </c>
      <c r="AN76">
        <f>-'Drilling Spec'!$C$29</f>
        <v>-720</v>
      </c>
      <c r="AO76">
        <f>-'Drilling Spec'!$C$27</f>
        <v>-624</v>
      </c>
      <c r="AP76">
        <f>-'Drilling Spec'!$C$28</f>
        <v>-688</v>
      </c>
      <c r="AQ76" t="e">
        <f t="shared" si="31"/>
        <v>#N/A</v>
      </c>
      <c r="AR76" t="e">
        <f>IF(X76=0,NA(),-'Drilling Spec'!$C$29*0.1)</f>
        <v>#N/A</v>
      </c>
      <c r="AS76" t="e">
        <f>IF(Y76=0,NA(),-'Drilling Spec'!$C$29*0.1)</f>
        <v>#N/A</v>
      </c>
      <c r="AT76" t="e">
        <f>IF(AB76=0,NA(),-'Drilling Spec'!$C$29*0.2)</f>
        <v>#N/A</v>
      </c>
      <c r="AU76" t="e">
        <f>IF(AC76=0,NA(),-'Drilling Spec'!$C$29*0.2)</f>
        <v>#N/A</v>
      </c>
      <c r="AV76" t="e">
        <f>IF(AH76=0,NA(),-'Drilling Spec'!$C$29*0.3)</f>
        <v>#N/A</v>
      </c>
      <c r="AW76" t="e">
        <f>IF(AI76=0,NA(),-'Drilling Spec'!$C$29*0.3)</f>
        <v>#N/A</v>
      </c>
      <c r="AX76" s="29">
        <f t="shared" si="32"/>
        <v>4.9082926829268239</v>
      </c>
      <c r="AY76" s="29">
        <f t="shared" si="33"/>
        <v>42.629578369148568</v>
      </c>
      <c r="AZ76" s="29">
        <f t="shared" si="37"/>
        <v>0</v>
      </c>
    </row>
    <row r="77" spans="1:52" x14ac:dyDescent="0.35">
      <c r="A77" s="28">
        <f t="shared" si="38"/>
        <v>46047</v>
      </c>
      <c r="B77" t="str">
        <f t="shared" si="20"/>
        <v>Sun</v>
      </c>
      <c r="C77" s="10"/>
      <c r="D77" s="10"/>
      <c r="E77" s="4">
        <f t="shared" si="21"/>
        <v>0</v>
      </c>
      <c r="F77" s="4">
        <f t="shared" si="22"/>
        <v>792</v>
      </c>
      <c r="G77" s="4">
        <f t="shared" si="23"/>
        <v>0</v>
      </c>
      <c r="H77" s="15">
        <f>(SQRT(4*I76*I76*V*V + 'Drilling Spec'!$C$42*I76 + W*('Drilling Spec'!$C$43 + 2*l*V*(s*W + 2*V*G77/(1+e)) + 'Drilling Spec'!$C$44)) - 'Drilling Spec'!$C$45)/(2*V)</f>
        <v>709.67645900268099</v>
      </c>
      <c r="I77" s="23">
        <f>IF(AND(OR(I76=0,I76=""),F77=0),IF(F78=0,"",'Drilling Spec'!$C$26),H77)</f>
        <v>709.67645900268099</v>
      </c>
      <c r="J77" s="16">
        <f>MAX(0,I77-'Drilling Spec'!$C$30)</f>
        <v>629.67645900268099</v>
      </c>
      <c r="K77" s="18">
        <f>IFERROR(J77/'Drilling Spec'!$C$31,0)</f>
        <v>41.978430600178733</v>
      </c>
      <c r="L77" s="21">
        <f t="shared" si="24"/>
        <v>0</v>
      </c>
      <c r="M77" s="4">
        <f t="shared" si="34"/>
        <v>132</v>
      </c>
      <c r="N77" s="21">
        <f t="shared" si="25"/>
        <v>0</v>
      </c>
      <c r="O77" s="18">
        <f>(SQRT(4*O76*O76*vB*vB + 'Drilling Spec'!$C$48*O76 + WB*('Drilling Spec'!$C$49 + 2*lB*vB*(sB*WB + 2*vB*N77/(1+eB)) + 'Drilling Spec'!$C$50)) - 'Drilling Spec'!$C$51)/(2*vB)</f>
        <v>723.46681615545504</v>
      </c>
      <c r="P77" s="18">
        <f>IFERROR(((S77-'Drilling Spec'!$C$30)/'Drilling Spec'!$C$31)*'Drilling Spec'!$C$32,0)</f>
        <v>38.608008969327301</v>
      </c>
      <c r="Q77" s="18">
        <f t="shared" si="35"/>
        <v>0</v>
      </c>
      <c r="R77" s="18"/>
      <c r="S77" s="26">
        <f>IF(AND(OR(T76=0,T76=""),M77=0),IF(M78=0,"",'Drilling Spec'!$C$30),O77)</f>
        <v>723.46681615545504</v>
      </c>
      <c r="U77" s="15">
        <f>E77*'Drilling Spec'!$C$22 + L77*'Drilling Spec'!$C$23</f>
        <v>0</v>
      </c>
      <c r="V77" s="15">
        <f t="shared" si="36"/>
        <v>19.091707317073169</v>
      </c>
      <c r="W77" s="15">
        <f t="shared" si="26"/>
        <v>4.9082926829268239</v>
      </c>
      <c r="X77" s="10"/>
      <c r="Y77" s="30">
        <f>IF(W77&lt;U78,'Drilling Spec'!$C$35,0)</f>
        <v>0</v>
      </c>
      <c r="AA77" s="4">
        <f t="shared" si="40"/>
        <v>46</v>
      </c>
      <c r="AB77" s="10"/>
      <c r="AC77" s="30">
        <f>IF('04-07-25-Scen5-WorstCargoJIT'!K78&gt;'04-07-25-Scen5-WorstCargoJIT'!AA77,'Drilling Spec'!$C$36,)</f>
        <v>0</v>
      </c>
      <c r="AE77" s="18">
        <f>(I77-'Drilling Spec'!$C$26)/'Drilling Spec'!$C$38</f>
        <v>106.61274316711349</v>
      </c>
      <c r="AF77" s="18">
        <f t="shared" si="27"/>
        <v>0</v>
      </c>
      <c r="AG77" s="34">
        <f t="shared" si="28"/>
        <v>0</v>
      </c>
      <c r="AH77" s="10"/>
      <c r="AI77" s="26">
        <f>IF(C77="Camp Closed",AG77,IF(AG77&lt;'Drilling Spec'!$C$39,,'Drilling Spec'!$C$39))</f>
        <v>0</v>
      </c>
      <c r="AL77" s="16">
        <f t="shared" si="29"/>
        <v>-709.67645900268099</v>
      </c>
      <c r="AM77" s="16">
        <f t="shared" si="30"/>
        <v>-723.46681615545504</v>
      </c>
      <c r="AN77">
        <f>-'Drilling Spec'!$C$29</f>
        <v>-720</v>
      </c>
      <c r="AO77">
        <f>-'Drilling Spec'!$C$27</f>
        <v>-624</v>
      </c>
      <c r="AP77">
        <f>-'Drilling Spec'!$C$28</f>
        <v>-688</v>
      </c>
      <c r="AQ77" t="e">
        <f t="shared" si="31"/>
        <v>#N/A</v>
      </c>
      <c r="AR77" t="e">
        <f>IF(X77=0,NA(),-'Drilling Spec'!$C$29*0.1)</f>
        <v>#N/A</v>
      </c>
      <c r="AS77" t="e">
        <f>IF(Y77=0,NA(),-'Drilling Spec'!$C$29*0.1)</f>
        <v>#N/A</v>
      </c>
      <c r="AT77" t="e">
        <f>IF(AB77=0,NA(),-'Drilling Spec'!$C$29*0.2)</f>
        <v>#N/A</v>
      </c>
      <c r="AU77" t="e">
        <f>IF(AC77=0,NA(),-'Drilling Spec'!$C$29*0.2)</f>
        <v>#N/A</v>
      </c>
      <c r="AV77" t="e">
        <f>IF(AH77=0,NA(),-'Drilling Spec'!$C$29*0.3)</f>
        <v>#N/A</v>
      </c>
      <c r="AW77" t="e">
        <f>IF(AI77=0,NA(),-'Drilling Spec'!$C$29*0.3)</f>
        <v>#N/A</v>
      </c>
      <c r="AX77" s="29">
        <f t="shared" si="32"/>
        <v>4.9082926829268239</v>
      </c>
      <c r="AY77" s="29">
        <f t="shared" si="33"/>
        <v>42.629578369148568</v>
      </c>
      <c r="AZ77" s="29">
        <f t="shared" si="37"/>
        <v>0</v>
      </c>
    </row>
    <row r="78" spans="1:52" x14ac:dyDescent="0.35">
      <c r="A78" s="28">
        <f t="shared" si="38"/>
        <v>46048</v>
      </c>
      <c r="B78" t="str">
        <f t="shared" si="20"/>
        <v>Mon</v>
      </c>
      <c r="C78" s="10"/>
      <c r="D78" s="10"/>
      <c r="E78" s="4">
        <f t="shared" si="21"/>
        <v>0</v>
      </c>
      <c r="F78" s="4">
        <f t="shared" si="22"/>
        <v>792</v>
      </c>
      <c r="G78" s="4">
        <f t="shared" si="23"/>
        <v>0</v>
      </c>
      <c r="H78" s="15">
        <f>(SQRT(4*I77*I77*V*V + 'Drilling Spec'!$C$42*I77 + W*('Drilling Spec'!$C$43 + 2*l*V*(s*W + 2*V*G78/(1+e)) + 'Drilling Spec'!$C$44)) - 'Drilling Spec'!$C$45)/(2*V)</f>
        <v>709.67645900268099</v>
      </c>
      <c r="I78" s="23">
        <f>IF(AND(OR(I77=0,I77=""),F78=0),IF(F79=0,"",'Drilling Spec'!$C$26),H78)</f>
        <v>709.67645900268099</v>
      </c>
      <c r="J78" s="16">
        <f>MAX(0,I78-'Drilling Spec'!$C$30)</f>
        <v>629.67645900268099</v>
      </c>
      <c r="K78" s="18">
        <f>IFERROR(J78/'Drilling Spec'!$C$31,0)</f>
        <v>41.978430600178733</v>
      </c>
      <c r="L78" s="21">
        <f t="shared" si="24"/>
        <v>0</v>
      </c>
      <c r="M78" s="4">
        <f t="shared" si="34"/>
        <v>132</v>
      </c>
      <c r="N78" s="21">
        <f t="shared" si="25"/>
        <v>0</v>
      </c>
      <c r="O78" s="18">
        <f>(SQRT(4*O77*O77*vB*vB + 'Drilling Spec'!$C$48*O77 + WB*('Drilling Spec'!$C$49 + 2*lB*vB*(sB*WB + 2*vB*N78/(1+eB)) + 'Drilling Spec'!$C$50)) - 'Drilling Spec'!$C$51)/(2*vB)</f>
        <v>723.46681615545504</v>
      </c>
      <c r="P78" s="18">
        <f>IFERROR(((S78-'Drilling Spec'!$C$30)/'Drilling Spec'!$C$31)*'Drilling Spec'!$C$32,0)</f>
        <v>38.608008969327301</v>
      </c>
      <c r="Q78" s="18">
        <f t="shared" si="35"/>
        <v>0</v>
      </c>
      <c r="R78" s="18"/>
      <c r="S78" s="26">
        <f>IF(AND(OR(T77=0,T77=""),M78=0),IF(M79=0,"",'Drilling Spec'!$C$30),O78)</f>
        <v>723.46681615545504</v>
      </c>
      <c r="U78" s="15">
        <f>E78*'Drilling Spec'!$C$22 + L78*'Drilling Spec'!$C$23</f>
        <v>0</v>
      </c>
      <c r="V78" s="15">
        <f t="shared" si="36"/>
        <v>19.091707317073169</v>
      </c>
      <c r="W78" s="15">
        <f t="shared" si="26"/>
        <v>4.9082926829268239</v>
      </c>
      <c r="X78" s="10"/>
      <c r="Y78" s="30">
        <f>IF(W78&lt;U79,'Drilling Spec'!$C$35,0)</f>
        <v>0</v>
      </c>
      <c r="AA78" s="4">
        <f t="shared" si="40"/>
        <v>46</v>
      </c>
      <c r="AB78" s="10"/>
      <c r="AC78" s="30">
        <f>IF('04-07-25-Scen5-WorstCargoJIT'!K79&gt;'04-07-25-Scen5-WorstCargoJIT'!AA78,'Drilling Spec'!$C$36,)</f>
        <v>0</v>
      </c>
      <c r="AE78" s="18">
        <f>(I78-'Drilling Spec'!$C$26)/'Drilling Spec'!$C$38</f>
        <v>106.61274316711349</v>
      </c>
      <c r="AF78" s="18">
        <f t="shared" si="27"/>
        <v>0</v>
      </c>
      <c r="AG78" s="34">
        <f t="shared" si="28"/>
        <v>0</v>
      </c>
      <c r="AH78" s="10"/>
      <c r="AI78" s="26">
        <f>IF(C78="Camp Closed",AG78,IF(AG78&lt;'Drilling Spec'!$C$39,,'Drilling Spec'!$C$39))</f>
        <v>0</v>
      </c>
      <c r="AL78" s="16">
        <f t="shared" si="29"/>
        <v>-709.67645900268099</v>
      </c>
      <c r="AM78" s="16">
        <f t="shared" si="30"/>
        <v>-723.46681615545504</v>
      </c>
      <c r="AN78">
        <f>-'Drilling Spec'!$C$29</f>
        <v>-720</v>
      </c>
      <c r="AO78">
        <f>-'Drilling Spec'!$C$27</f>
        <v>-624</v>
      </c>
      <c r="AP78">
        <f>-'Drilling Spec'!$C$28</f>
        <v>-688</v>
      </c>
      <c r="AQ78" t="e">
        <f t="shared" si="31"/>
        <v>#N/A</v>
      </c>
      <c r="AR78" t="e">
        <f>IF(X78=0,NA(),-'Drilling Spec'!$C$29*0.1)</f>
        <v>#N/A</v>
      </c>
      <c r="AS78" t="e">
        <f>IF(Y78=0,NA(),-'Drilling Spec'!$C$29*0.1)</f>
        <v>#N/A</v>
      </c>
      <c r="AT78" t="e">
        <f>IF(AB78=0,NA(),-'Drilling Spec'!$C$29*0.2)</f>
        <v>#N/A</v>
      </c>
      <c r="AU78" t="e">
        <f>IF(AC78=0,NA(),-'Drilling Spec'!$C$29*0.2)</f>
        <v>#N/A</v>
      </c>
      <c r="AV78" t="e">
        <f>IF(AH78=0,NA(),-'Drilling Spec'!$C$29*0.3)</f>
        <v>#N/A</v>
      </c>
      <c r="AW78" t="e">
        <f>IF(AI78=0,NA(),-'Drilling Spec'!$C$29*0.3)</f>
        <v>#N/A</v>
      </c>
      <c r="AX78" s="29">
        <f t="shared" si="32"/>
        <v>4.9082926829268239</v>
      </c>
      <c r="AY78" s="29">
        <f t="shared" si="33"/>
        <v>42.629578369148568</v>
      </c>
      <c r="AZ78" s="29">
        <f t="shared" si="37"/>
        <v>0</v>
      </c>
    </row>
    <row r="79" spans="1:52" x14ac:dyDescent="0.35">
      <c r="A79" s="28">
        <f t="shared" si="38"/>
        <v>46049</v>
      </c>
      <c r="B79" t="str">
        <f t="shared" si="20"/>
        <v>Tue</v>
      </c>
      <c r="C79" s="10"/>
      <c r="D79" s="10"/>
      <c r="E79" s="4">
        <f t="shared" si="21"/>
        <v>0</v>
      </c>
      <c r="F79" s="4">
        <f t="shared" si="22"/>
        <v>792</v>
      </c>
      <c r="G79" s="4">
        <f t="shared" si="23"/>
        <v>0</v>
      </c>
      <c r="H79" s="15">
        <f>(SQRT(4*I78*I78*V*V + 'Drilling Spec'!$C$42*I78 + W*('Drilling Spec'!$C$43 + 2*l*V*(s*W + 2*V*G79/(1+e)) + 'Drilling Spec'!$C$44)) - 'Drilling Spec'!$C$45)/(2*V)</f>
        <v>709.67645900268099</v>
      </c>
      <c r="I79" s="23">
        <f>IF(AND(OR(I78=0,I78=""),F79=0),IF(F80=0,"",'Drilling Spec'!$C$26),H79)</f>
        <v>709.67645900268099</v>
      </c>
      <c r="J79" s="16">
        <f>MAX(0,I79-'Drilling Spec'!$C$30)</f>
        <v>629.67645900268099</v>
      </c>
      <c r="K79" s="18">
        <f>IFERROR(J79/'Drilling Spec'!$C$31,0)</f>
        <v>41.978430600178733</v>
      </c>
      <c r="L79" s="21">
        <f t="shared" si="24"/>
        <v>0</v>
      </c>
      <c r="M79" s="4">
        <f t="shared" si="34"/>
        <v>132</v>
      </c>
      <c r="N79" s="21">
        <f t="shared" si="25"/>
        <v>0</v>
      </c>
      <c r="O79" s="18">
        <f>(SQRT(4*O78*O78*vB*vB + 'Drilling Spec'!$C$48*O78 + WB*('Drilling Spec'!$C$49 + 2*lB*vB*(sB*WB + 2*vB*N79/(1+eB)) + 'Drilling Spec'!$C$50)) - 'Drilling Spec'!$C$51)/(2*vB)</f>
        <v>723.46681615545504</v>
      </c>
      <c r="P79" s="18">
        <f>IFERROR(((S79-'Drilling Spec'!$C$30)/'Drilling Spec'!$C$31)*'Drilling Spec'!$C$32,0)</f>
        <v>38.608008969327301</v>
      </c>
      <c r="Q79" s="18">
        <f t="shared" si="35"/>
        <v>0</v>
      </c>
      <c r="R79" s="18"/>
      <c r="S79" s="26">
        <f>IF(AND(OR(T78=0,T78=""),M79=0),IF(M80=0,"",'Drilling Spec'!$C$30),O79)</f>
        <v>723.46681615545504</v>
      </c>
      <c r="U79" s="15">
        <f>E79*'Drilling Spec'!$C$22 + L79*'Drilling Spec'!$C$23</f>
        <v>0</v>
      </c>
      <c r="V79" s="15">
        <f t="shared" si="36"/>
        <v>19.091707317073169</v>
      </c>
      <c r="W79" s="15">
        <f t="shared" si="26"/>
        <v>4.9082926829268239</v>
      </c>
      <c r="X79" s="10"/>
      <c r="Y79" s="30">
        <f>IF(W79&lt;U80,'Drilling Spec'!$C$35,0)</f>
        <v>0</v>
      </c>
      <c r="AA79" s="4">
        <f t="shared" si="40"/>
        <v>46</v>
      </c>
      <c r="AB79" s="10"/>
      <c r="AC79" s="30">
        <f>IF('04-07-25-Scen5-WorstCargoJIT'!K80&gt;'04-07-25-Scen5-WorstCargoJIT'!AA79,'Drilling Spec'!$C$36,)</f>
        <v>0</v>
      </c>
      <c r="AE79" s="18">
        <f>(I79-'Drilling Spec'!$C$26)/'Drilling Spec'!$C$38</f>
        <v>106.61274316711349</v>
      </c>
      <c r="AF79" s="18">
        <f t="shared" si="27"/>
        <v>0</v>
      </c>
      <c r="AG79" s="34">
        <f t="shared" si="28"/>
        <v>0</v>
      </c>
      <c r="AH79" s="10"/>
      <c r="AI79" s="26">
        <f>IF(C79="Camp Closed",AG79,IF(AG79&lt;'Drilling Spec'!$C$39,,'Drilling Spec'!$C$39))</f>
        <v>0</v>
      </c>
      <c r="AL79" s="16">
        <f t="shared" si="29"/>
        <v>-709.67645900268099</v>
      </c>
      <c r="AM79" s="16">
        <f t="shared" si="30"/>
        <v>-723.46681615545504</v>
      </c>
      <c r="AN79">
        <f>-'Drilling Spec'!$C$29</f>
        <v>-720</v>
      </c>
      <c r="AO79">
        <f>-'Drilling Spec'!$C$27</f>
        <v>-624</v>
      </c>
      <c r="AP79">
        <f>-'Drilling Spec'!$C$28</f>
        <v>-688</v>
      </c>
      <c r="AQ79" t="e">
        <f t="shared" si="31"/>
        <v>#N/A</v>
      </c>
      <c r="AR79" t="e">
        <f>IF(X79=0,NA(),-'Drilling Spec'!$C$29*0.1)</f>
        <v>#N/A</v>
      </c>
      <c r="AS79" t="e">
        <f>IF(Y79=0,NA(),-'Drilling Spec'!$C$29*0.1)</f>
        <v>#N/A</v>
      </c>
      <c r="AT79" t="e">
        <f>IF(AB79=0,NA(),-'Drilling Spec'!$C$29*0.2)</f>
        <v>#N/A</v>
      </c>
      <c r="AU79" t="e">
        <f>IF(AC79=0,NA(),-'Drilling Spec'!$C$29*0.2)</f>
        <v>#N/A</v>
      </c>
      <c r="AV79" t="e">
        <f>IF(AH79=0,NA(),-'Drilling Spec'!$C$29*0.3)</f>
        <v>#N/A</v>
      </c>
      <c r="AW79" t="e">
        <f>IF(AI79=0,NA(),-'Drilling Spec'!$C$29*0.3)</f>
        <v>#N/A</v>
      </c>
      <c r="AX79" s="29">
        <f t="shared" si="32"/>
        <v>4.9082926829268239</v>
      </c>
      <c r="AY79" s="29">
        <f t="shared" si="33"/>
        <v>42.629578369148568</v>
      </c>
      <c r="AZ79" s="29">
        <f t="shared" si="37"/>
        <v>0</v>
      </c>
    </row>
    <row r="80" spans="1:52" x14ac:dyDescent="0.35">
      <c r="A80" s="28">
        <f t="shared" si="38"/>
        <v>46050</v>
      </c>
      <c r="B80" t="str">
        <f t="shared" si="20"/>
        <v>Wed</v>
      </c>
      <c r="C80" s="10"/>
      <c r="D80" s="10"/>
      <c r="E80" s="4">
        <f t="shared" si="21"/>
        <v>0</v>
      </c>
      <c r="F80" s="4">
        <f t="shared" si="22"/>
        <v>792</v>
      </c>
      <c r="G80" s="4">
        <f t="shared" si="23"/>
        <v>0</v>
      </c>
      <c r="H80" s="15">
        <f>(SQRT(4*I79*I79*V*V + 'Drilling Spec'!$C$42*I79 + W*('Drilling Spec'!$C$43 + 2*l*V*(s*W + 2*V*G80/(1+e)) + 'Drilling Spec'!$C$44)) - 'Drilling Spec'!$C$45)/(2*V)</f>
        <v>709.67645900268099</v>
      </c>
      <c r="I80" s="23">
        <f>IF(AND(OR(I79=0,I79=""),F80=0),IF(F81=0,"",'Drilling Spec'!$C$26),H80)</f>
        <v>709.67645900268099</v>
      </c>
      <c r="J80" s="16">
        <f>MAX(0,I80-'Drilling Spec'!$C$30)</f>
        <v>629.67645900268099</v>
      </c>
      <c r="K80" s="18">
        <f>IFERROR(J80/'Drilling Spec'!$C$31,0)</f>
        <v>41.978430600178733</v>
      </c>
      <c r="L80" s="21">
        <f t="shared" si="24"/>
        <v>0</v>
      </c>
      <c r="M80" s="4">
        <f t="shared" si="34"/>
        <v>132</v>
      </c>
      <c r="N80" s="21">
        <f t="shared" si="25"/>
        <v>0</v>
      </c>
      <c r="O80" s="18">
        <f>(SQRT(4*O79*O79*vB*vB + 'Drilling Spec'!$C$48*O79 + WB*('Drilling Spec'!$C$49 + 2*lB*vB*(sB*WB + 2*vB*N80/(1+eB)) + 'Drilling Spec'!$C$50)) - 'Drilling Spec'!$C$51)/(2*vB)</f>
        <v>723.46681615545504</v>
      </c>
      <c r="P80" s="18">
        <f>IFERROR(((S80-'Drilling Spec'!$C$30)/'Drilling Spec'!$C$31)*'Drilling Spec'!$C$32,0)</f>
        <v>38.608008969327301</v>
      </c>
      <c r="Q80" s="18">
        <f t="shared" si="35"/>
        <v>0</v>
      </c>
      <c r="R80" s="18"/>
      <c r="S80" s="26">
        <f>IF(AND(OR(T79=0,T79=""),M80=0),IF(M81=0,"",'Drilling Spec'!$C$30),O80)</f>
        <v>723.46681615545504</v>
      </c>
      <c r="U80" s="15">
        <f>E80*'Drilling Spec'!$C$22 + L80*'Drilling Spec'!$C$23</f>
        <v>0</v>
      </c>
      <c r="V80" s="15">
        <f t="shared" si="36"/>
        <v>19.091707317073169</v>
      </c>
      <c r="W80" s="15">
        <f t="shared" si="26"/>
        <v>4.9082926829268239</v>
      </c>
      <c r="X80" s="10"/>
      <c r="Y80" s="30">
        <f>IF(W80&lt;U81,'Drilling Spec'!$C$35,0)</f>
        <v>0</v>
      </c>
      <c r="AA80" s="4">
        <f t="shared" si="40"/>
        <v>46</v>
      </c>
      <c r="AB80" s="10"/>
      <c r="AC80" s="30">
        <f>IF('04-07-25-Scen5-WorstCargoJIT'!K81&gt;'04-07-25-Scen5-WorstCargoJIT'!AA80,'Drilling Spec'!$C$36,)</f>
        <v>0</v>
      </c>
      <c r="AE80" s="18">
        <f>(I80-'Drilling Spec'!$C$26)/'Drilling Spec'!$C$38</f>
        <v>106.61274316711349</v>
      </c>
      <c r="AF80" s="18">
        <f t="shared" si="27"/>
        <v>0</v>
      </c>
      <c r="AG80" s="34">
        <f t="shared" si="28"/>
        <v>0</v>
      </c>
      <c r="AH80" s="10"/>
      <c r="AI80" s="26">
        <f>IF(C80="Camp Closed",AG80,IF(AG80&lt;'Drilling Spec'!$C$39,,'Drilling Spec'!$C$39))</f>
        <v>0</v>
      </c>
      <c r="AL80" s="16">
        <f t="shared" si="29"/>
        <v>-709.67645900268099</v>
      </c>
      <c r="AM80" s="16">
        <f t="shared" si="30"/>
        <v>-723.46681615545504</v>
      </c>
      <c r="AN80">
        <f>-'Drilling Spec'!$C$29</f>
        <v>-720</v>
      </c>
      <c r="AO80">
        <f>-'Drilling Spec'!$C$27</f>
        <v>-624</v>
      </c>
      <c r="AP80">
        <f>-'Drilling Spec'!$C$28</f>
        <v>-688</v>
      </c>
      <c r="AQ80" t="e">
        <f t="shared" si="31"/>
        <v>#N/A</v>
      </c>
      <c r="AR80" t="e">
        <f>IF(X80=0,NA(),-'Drilling Spec'!$C$29*0.1)</f>
        <v>#N/A</v>
      </c>
      <c r="AS80" t="e">
        <f>IF(Y80=0,NA(),-'Drilling Spec'!$C$29*0.1)</f>
        <v>#N/A</v>
      </c>
      <c r="AT80" t="e">
        <f>IF(AB80=0,NA(),-'Drilling Spec'!$C$29*0.2)</f>
        <v>#N/A</v>
      </c>
      <c r="AU80" t="e">
        <f>IF(AC80=0,NA(),-'Drilling Spec'!$C$29*0.2)</f>
        <v>#N/A</v>
      </c>
      <c r="AV80" t="e">
        <f>IF(AH80=0,NA(),-'Drilling Spec'!$C$29*0.3)</f>
        <v>#N/A</v>
      </c>
      <c r="AW80" t="e">
        <f>IF(AI80=0,NA(),-'Drilling Spec'!$C$29*0.3)</f>
        <v>#N/A</v>
      </c>
      <c r="AX80" s="29">
        <f t="shared" si="32"/>
        <v>4.9082926829268239</v>
      </c>
      <c r="AY80" s="29">
        <f t="shared" si="33"/>
        <v>42.629578369148568</v>
      </c>
      <c r="AZ80" s="29">
        <f t="shared" si="37"/>
        <v>0</v>
      </c>
    </row>
    <row r="81" spans="1:52" x14ac:dyDescent="0.35">
      <c r="A81" s="28">
        <f t="shared" si="38"/>
        <v>46051</v>
      </c>
      <c r="B81" t="str">
        <f t="shared" si="20"/>
        <v>Thu</v>
      </c>
      <c r="C81" s="10"/>
      <c r="D81" s="10"/>
      <c r="E81" s="4">
        <f t="shared" si="21"/>
        <v>0</v>
      </c>
      <c r="F81" s="4">
        <f t="shared" si="22"/>
        <v>792</v>
      </c>
      <c r="G81" s="4">
        <f t="shared" si="23"/>
        <v>0</v>
      </c>
      <c r="H81" s="15">
        <f>(SQRT(4*I80*I80*V*V + 'Drilling Spec'!$C$42*I80 + W*('Drilling Spec'!$C$43 + 2*l*V*(s*W + 2*V*G81/(1+e)) + 'Drilling Spec'!$C$44)) - 'Drilling Spec'!$C$45)/(2*V)</f>
        <v>709.67645900268099</v>
      </c>
      <c r="I81" s="23">
        <f>IF(AND(OR(I80=0,I80=""),F81=0),IF(F82=0,"",'Drilling Spec'!$C$26),H81)</f>
        <v>709.67645900268099</v>
      </c>
      <c r="J81" s="16">
        <f>MAX(0,I81-'Drilling Spec'!$C$30)</f>
        <v>629.67645900268099</v>
      </c>
      <c r="K81" s="18">
        <f>IFERROR(J81/'Drilling Spec'!$C$31,0)</f>
        <v>41.978430600178733</v>
      </c>
      <c r="L81" s="21">
        <f t="shared" si="24"/>
        <v>0</v>
      </c>
      <c r="M81" s="4">
        <f t="shared" si="34"/>
        <v>132</v>
      </c>
      <c r="N81" s="21">
        <f t="shared" si="25"/>
        <v>0</v>
      </c>
      <c r="O81" s="18">
        <f>(SQRT(4*O80*O80*vB*vB + 'Drilling Spec'!$C$48*O80 + WB*('Drilling Spec'!$C$49 + 2*lB*vB*(sB*WB + 2*vB*N81/(1+eB)) + 'Drilling Spec'!$C$50)) - 'Drilling Spec'!$C$51)/(2*vB)</f>
        <v>723.46681615545504</v>
      </c>
      <c r="P81" s="18">
        <f>IFERROR(((S81-'Drilling Spec'!$C$30)/'Drilling Spec'!$C$31)*'Drilling Spec'!$C$32,0)</f>
        <v>38.608008969327301</v>
      </c>
      <c r="Q81" s="18">
        <f t="shared" si="35"/>
        <v>0</v>
      </c>
      <c r="R81" s="18"/>
      <c r="S81" s="26">
        <f>IF(AND(OR(T80=0,T80=""),M81=0),IF(M82=0,"",'Drilling Spec'!$C$30),O81)</f>
        <v>723.46681615545504</v>
      </c>
      <c r="U81" s="15">
        <f>E81*'Drilling Spec'!$C$22 + L81*'Drilling Spec'!$C$23</f>
        <v>0</v>
      </c>
      <c r="V81" s="15">
        <f t="shared" si="36"/>
        <v>19.091707317073169</v>
      </c>
      <c r="W81" s="15">
        <f t="shared" si="26"/>
        <v>4.9082926829268239</v>
      </c>
      <c r="X81" s="10"/>
      <c r="Y81" s="30">
        <f>IF(W81&lt;U82,'Drilling Spec'!$C$35,0)</f>
        <v>0</v>
      </c>
      <c r="AA81" s="4">
        <f t="shared" si="40"/>
        <v>46</v>
      </c>
      <c r="AB81" s="10"/>
      <c r="AC81" s="30">
        <f>IF('04-07-25-Scen5-WorstCargoJIT'!K82&gt;'04-07-25-Scen5-WorstCargoJIT'!AA81,'Drilling Spec'!$C$36,)</f>
        <v>0</v>
      </c>
      <c r="AE81" s="18">
        <f>(I81-'Drilling Spec'!$C$26)/'Drilling Spec'!$C$38</f>
        <v>106.61274316711349</v>
      </c>
      <c r="AF81" s="18">
        <f t="shared" si="27"/>
        <v>0</v>
      </c>
      <c r="AG81" s="34">
        <f t="shared" si="28"/>
        <v>0</v>
      </c>
      <c r="AH81" s="10"/>
      <c r="AI81" s="26">
        <f>IF(C81="Camp Closed",AG81,IF(AG81&lt;'Drilling Spec'!$C$39,,'Drilling Spec'!$C$39))</f>
        <v>0</v>
      </c>
      <c r="AL81" s="16">
        <f t="shared" si="29"/>
        <v>-709.67645900268099</v>
      </c>
      <c r="AM81" s="16">
        <f t="shared" si="30"/>
        <v>-723.46681615545504</v>
      </c>
      <c r="AN81">
        <f>-'Drilling Spec'!$C$29</f>
        <v>-720</v>
      </c>
      <c r="AO81">
        <f>-'Drilling Spec'!$C$27</f>
        <v>-624</v>
      </c>
      <c r="AP81">
        <f>-'Drilling Spec'!$C$28</f>
        <v>-688</v>
      </c>
      <c r="AQ81" t="e">
        <f t="shared" si="31"/>
        <v>#N/A</v>
      </c>
      <c r="AR81" t="e">
        <f>IF(X81=0,NA(),-'Drilling Spec'!$C$29*0.1)</f>
        <v>#N/A</v>
      </c>
      <c r="AS81" t="e">
        <f>IF(Y81=0,NA(),-'Drilling Spec'!$C$29*0.1)</f>
        <v>#N/A</v>
      </c>
      <c r="AT81" t="e">
        <f>IF(AB81=0,NA(),-'Drilling Spec'!$C$29*0.2)</f>
        <v>#N/A</v>
      </c>
      <c r="AU81" t="e">
        <f>IF(AC81=0,NA(),-'Drilling Spec'!$C$29*0.2)</f>
        <v>#N/A</v>
      </c>
      <c r="AV81" t="e">
        <f>IF(AH81=0,NA(),-'Drilling Spec'!$C$29*0.3)</f>
        <v>#N/A</v>
      </c>
      <c r="AW81" t="e">
        <f>IF(AI81=0,NA(),-'Drilling Spec'!$C$29*0.3)</f>
        <v>#N/A</v>
      </c>
      <c r="AX81" s="29">
        <f t="shared" si="32"/>
        <v>4.9082926829268239</v>
      </c>
      <c r="AY81" s="29">
        <f t="shared" si="33"/>
        <v>42.629578369148568</v>
      </c>
      <c r="AZ81" s="29">
        <f t="shared" si="37"/>
        <v>0</v>
      </c>
    </row>
    <row r="82" spans="1:52" x14ac:dyDescent="0.35">
      <c r="A82" s="28">
        <f t="shared" si="38"/>
        <v>46052</v>
      </c>
      <c r="B82" t="str">
        <f t="shared" si="20"/>
        <v>Fri</v>
      </c>
      <c r="C82" s="10"/>
      <c r="D82" s="10"/>
      <c r="E82" s="4">
        <f t="shared" si="21"/>
        <v>0</v>
      </c>
      <c r="F82" s="4">
        <f t="shared" si="22"/>
        <v>792</v>
      </c>
      <c r="G82" s="4">
        <f t="shared" si="23"/>
        <v>0</v>
      </c>
      <c r="H82" s="15">
        <f>(SQRT(4*I81*I81*V*V + 'Drilling Spec'!$C$42*I81 + W*('Drilling Spec'!$C$43 + 2*l*V*(s*W + 2*V*G82/(1+e)) + 'Drilling Spec'!$C$44)) - 'Drilling Spec'!$C$45)/(2*V)</f>
        <v>709.67645900268099</v>
      </c>
      <c r="I82" s="23">
        <f>IF(AND(OR(I81=0,I81=""),F82=0),IF(F83=0,"",'Drilling Spec'!$C$26),H82)</f>
        <v>709.67645900268099</v>
      </c>
      <c r="J82" s="16">
        <f>MAX(0,I82-'Drilling Spec'!$C$30)</f>
        <v>629.67645900268099</v>
      </c>
      <c r="K82" s="18">
        <f>IFERROR(J82/'Drilling Spec'!$C$31,0)</f>
        <v>41.978430600178733</v>
      </c>
      <c r="L82" s="21">
        <f t="shared" si="24"/>
        <v>0</v>
      </c>
      <c r="M82" s="4">
        <f t="shared" si="34"/>
        <v>132</v>
      </c>
      <c r="N82" s="21">
        <f t="shared" si="25"/>
        <v>0</v>
      </c>
      <c r="O82" s="18">
        <f>(SQRT(4*O81*O81*vB*vB + 'Drilling Spec'!$C$48*O81 + WB*('Drilling Spec'!$C$49 + 2*lB*vB*(sB*WB + 2*vB*N82/(1+eB)) + 'Drilling Spec'!$C$50)) - 'Drilling Spec'!$C$51)/(2*vB)</f>
        <v>723.46681615545504</v>
      </c>
      <c r="P82" s="18">
        <f>IFERROR(((S82-'Drilling Spec'!$C$30)/'Drilling Spec'!$C$31)*'Drilling Spec'!$C$32,0)</f>
        <v>38.608008969327301</v>
      </c>
      <c r="Q82" s="18">
        <f t="shared" si="35"/>
        <v>0</v>
      </c>
      <c r="R82" s="18"/>
      <c r="S82" s="26">
        <f>IF(AND(OR(T81=0,T81=""),M82=0),IF(M83=0,"",'Drilling Spec'!$C$30),O82)</f>
        <v>723.46681615545504</v>
      </c>
      <c r="U82" s="15">
        <f>E82*'Drilling Spec'!$C$22 + L82*'Drilling Spec'!$C$23</f>
        <v>0</v>
      </c>
      <c r="V82" s="15">
        <f t="shared" si="36"/>
        <v>19.091707317073169</v>
      </c>
      <c r="W82" s="15">
        <f t="shared" si="26"/>
        <v>4.9082926829268239</v>
      </c>
      <c r="X82" s="10"/>
      <c r="Y82" s="30">
        <f>IF(W82&lt;U83,'Drilling Spec'!$C$35,0)</f>
        <v>0</v>
      </c>
      <c r="AA82" s="4">
        <f t="shared" si="40"/>
        <v>46</v>
      </c>
      <c r="AB82" s="10"/>
      <c r="AC82" s="30">
        <f>IF('04-07-25-Scen5-WorstCargoJIT'!K83&gt;'04-07-25-Scen5-WorstCargoJIT'!AA82,'Drilling Spec'!$C$36,)</f>
        <v>0</v>
      </c>
      <c r="AE82" s="18">
        <f>(I82-'Drilling Spec'!$C$26)/'Drilling Spec'!$C$38</f>
        <v>106.61274316711349</v>
      </c>
      <c r="AF82" s="18">
        <f t="shared" si="27"/>
        <v>0</v>
      </c>
      <c r="AG82" s="34">
        <f t="shared" si="28"/>
        <v>0</v>
      </c>
      <c r="AH82" s="10"/>
      <c r="AI82" s="26">
        <f>IF(C82="Camp Closed",AG82,IF(AG82&lt;'Drilling Spec'!$C$39,,'Drilling Spec'!$C$39))</f>
        <v>0</v>
      </c>
      <c r="AL82" s="16">
        <f t="shared" si="29"/>
        <v>-709.67645900268099</v>
      </c>
      <c r="AM82" s="16">
        <f t="shared" si="30"/>
        <v>-723.46681615545504</v>
      </c>
      <c r="AN82">
        <f>-'Drilling Spec'!$C$29</f>
        <v>-720</v>
      </c>
      <c r="AO82">
        <f>-'Drilling Spec'!$C$27</f>
        <v>-624</v>
      </c>
      <c r="AP82">
        <f>-'Drilling Spec'!$C$28</f>
        <v>-688</v>
      </c>
      <c r="AQ82" t="e">
        <f t="shared" si="31"/>
        <v>#N/A</v>
      </c>
      <c r="AR82" t="e">
        <f>IF(X82=0,NA(),-'Drilling Spec'!$C$29*0.1)</f>
        <v>#N/A</v>
      </c>
      <c r="AS82" t="e">
        <f>IF(Y82=0,NA(),-'Drilling Spec'!$C$29*0.1)</f>
        <v>#N/A</v>
      </c>
      <c r="AT82" t="e">
        <f>IF(AB82=0,NA(),-'Drilling Spec'!$C$29*0.2)</f>
        <v>#N/A</v>
      </c>
      <c r="AU82" t="e">
        <f>IF(AC82=0,NA(),-'Drilling Spec'!$C$29*0.2)</f>
        <v>#N/A</v>
      </c>
      <c r="AV82" t="e">
        <f>IF(AH82=0,NA(),-'Drilling Spec'!$C$29*0.3)</f>
        <v>#N/A</v>
      </c>
      <c r="AW82" t="e">
        <f>IF(AI82=0,NA(),-'Drilling Spec'!$C$29*0.3)</f>
        <v>#N/A</v>
      </c>
      <c r="AX82" s="29">
        <f t="shared" si="32"/>
        <v>4.9082926829268239</v>
      </c>
      <c r="AY82" s="29">
        <f t="shared" si="33"/>
        <v>42.629578369148568</v>
      </c>
      <c r="AZ82" s="29">
        <f t="shared" si="37"/>
        <v>0</v>
      </c>
    </row>
    <row r="83" spans="1:52" x14ac:dyDescent="0.35">
      <c r="A83" s="28">
        <f t="shared" si="38"/>
        <v>46053</v>
      </c>
      <c r="B83" t="str">
        <f t="shared" si="20"/>
        <v>Sat</v>
      </c>
      <c r="C83" s="10"/>
      <c r="D83" s="10"/>
      <c r="E83" s="4">
        <f t="shared" si="21"/>
        <v>0</v>
      </c>
      <c r="F83" s="4">
        <f t="shared" si="22"/>
        <v>792</v>
      </c>
      <c r="G83" s="4">
        <f t="shared" si="23"/>
        <v>0</v>
      </c>
      <c r="H83" s="15">
        <f>(SQRT(4*I82*I82*V*V + 'Drilling Spec'!$C$42*I82 + W*('Drilling Spec'!$C$43 + 2*l*V*(s*W + 2*V*G83/(1+e)) + 'Drilling Spec'!$C$44)) - 'Drilling Spec'!$C$45)/(2*V)</f>
        <v>709.67645900268099</v>
      </c>
      <c r="I83" s="23">
        <f>IF(AND(OR(I82=0,I82=""),F83=0),IF(F84=0,"",'Drilling Spec'!$C$26),H83)</f>
        <v>709.67645900268099</v>
      </c>
      <c r="J83" s="16">
        <f>MAX(0,I83-'Drilling Spec'!$C$30)</f>
        <v>629.67645900268099</v>
      </c>
      <c r="K83" s="18">
        <f>IFERROR(J83/'Drilling Spec'!$C$31,0)</f>
        <v>41.978430600178733</v>
      </c>
      <c r="L83" s="21">
        <f t="shared" si="24"/>
        <v>0</v>
      </c>
      <c r="M83" s="4">
        <f t="shared" si="34"/>
        <v>132</v>
      </c>
      <c r="N83" s="21">
        <f t="shared" si="25"/>
        <v>0</v>
      </c>
      <c r="O83" s="18">
        <f>(SQRT(4*O82*O82*vB*vB + 'Drilling Spec'!$C$48*O82 + WB*('Drilling Spec'!$C$49 + 2*lB*vB*(sB*WB + 2*vB*N83/(1+eB)) + 'Drilling Spec'!$C$50)) - 'Drilling Spec'!$C$51)/(2*vB)</f>
        <v>723.46681615545504</v>
      </c>
      <c r="P83" s="18">
        <f>IFERROR(((S83-'Drilling Spec'!$C$30)/'Drilling Spec'!$C$31)*'Drilling Spec'!$C$32,0)</f>
        <v>38.608008969327301</v>
      </c>
      <c r="Q83" s="18">
        <f t="shared" si="35"/>
        <v>0</v>
      </c>
      <c r="R83" s="18"/>
      <c r="S83" s="26">
        <f>IF(AND(OR(T82=0,T82=""),M83=0),IF(M84=0,"",'Drilling Spec'!$C$30),O83)</f>
        <v>723.46681615545504</v>
      </c>
      <c r="U83" s="15">
        <f>E83*'Drilling Spec'!$C$22 + L83*'Drilling Spec'!$C$23</f>
        <v>0</v>
      </c>
      <c r="V83" s="15">
        <f t="shared" si="36"/>
        <v>19.091707317073169</v>
      </c>
      <c r="W83" s="15">
        <f t="shared" si="26"/>
        <v>4.9082926829268239</v>
      </c>
      <c r="X83" s="10"/>
      <c r="Y83" s="30">
        <f>IF(W83&lt;U84,'Drilling Spec'!$C$35,0)</f>
        <v>0</v>
      </c>
      <c r="AA83" s="4">
        <f t="shared" si="40"/>
        <v>46</v>
      </c>
      <c r="AB83" s="10"/>
      <c r="AC83" s="30">
        <f>IF('04-07-25-Scen5-WorstCargoJIT'!K84&gt;'04-07-25-Scen5-WorstCargoJIT'!AA83,'Drilling Spec'!$C$36,)</f>
        <v>0</v>
      </c>
      <c r="AE83" s="18">
        <f>(I83-'Drilling Spec'!$C$26)/'Drilling Spec'!$C$38</f>
        <v>106.61274316711349</v>
      </c>
      <c r="AF83" s="18">
        <f t="shared" si="27"/>
        <v>0</v>
      </c>
      <c r="AG83" s="34">
        <f t="shared" si="28"/>
        <v>0</v>
      </c>
      <c r="AH83" s="10"/>
      <c r="AI83" s="26">
        <f>IF(C83="Camp Closed",AG83,IF(AG83&lt;'Drilling Spec'!$C$39,,'Drilling Spec'!$C$39))</f>
        <v>0</v>
      </c>
      <c r="AL83" s="16">
        <f t="shared" si="29"/>
        <v>-709.67645900268099</v>
      </c>
      <c r="AM83" s="16">
        <f t="shared" si="30"/>
        <v>-723.46681615545504</v>
      </c>
      <c r="AN83">
        <f>-'Drilling Spec'!$C$29</f>
        <v>-720</v>
      </c>
      <c r="AO83">
        <f>-'Drilling Spec'!$C$27</f>
        <v>-624</v>
      </c>
      <c r="AP83">
        <f>-'Drilling Spec'!$C$28</f>
        <v>-688</v>
      </c>
      <c r="AQ83" t="e">
        <f t="shared" si="31"/>
        <v>#N/A</v>
      </c>
      <c r="AR83" t="e">
        <f>IF(X83=0,NA(),-'Drilling Spec'!$C$29*0.1)</f>
        <v>#N/A</v>
      </c>
      <c r="AS83" t="e">
        <f>IF(Y83=0,NA(),-'Drilling Spec'!$C$29*0.1)</f>
        <v>#N/A</v>
      </c>
      <c r="AT83" t="e">
        <f>IF(AB83=0,NA(),-'Drilling Spec'!$C$29*0.2)</f>
        <v>#N/A</v>
      </c>
      <c r="AU83" t="e">
        <f>IF(AC83=0,NA(),-'Drilling Spec'!$C$29*0.2)</f>
        <v>#N/A</v>
      </c>
      <c r="AV83" t="e">
        <f>IF(AH83=0,NA(),-'Drilling Spec'!$C$29*0.3)</f>
        <v>#N/A</v>
      </c>
      <c r="AW83" t="e">
        <f>IF(AI83=0,NA(),-'Drilling Spec'!$C$29*0.3)</f>
        <v>#N/A</v>
      </c>
      <c r="AX83" s="29">
        <f t="shared" si="32"/>
        <v>4.9082926829268239</v>
      </c>
      <c r="AY83" s="29">
        <f t="shared" si="33"/>
        <v>42.629578369148568</v>
      </c>
      <c r="AZ83" s="29">
        <f t="shared" si="37"/>
        <v>0</v>
      </c>
    </row>
    <row r="84" spans="1:52" x14ac:dyDescent="0.35">
      <c r="A84" s="28">
        <f t="shared" si="38"/>
        <v>46054</v>
      </c>
      <c r="B84" t="str">
        <f t="shared" si="20"/>
        <v>Sun</v>
      </c>
      <c r="C84" s="10"/>
      <c r="D84" s="10"/>
      <c r="E84" s="4">
        <f t="shared" si="21"/>
        <v>0</v>
      </c>
      <c r="F84" s="4">
        <f t="shared" si="22"/>
        <v>792</v>
      </c>
      <c r="G84" s="4">
        <f t="shared" si="23"/>
        <v>0</v>
      </c>
      <c r="H84" s="15">
        <f>(SQRT(4*I83*I83*V*V + 'Drilling Spec'!$C$42*I83 + W*('Drilling Spec'!$C$43 + 2*l*V*(s*W + 2*V*G84/(1+e)) + 'Drilling Spec'!$C$44)) - 'Drilling Spec'!$C$45)/(2*V)</f>
        <v>709.67645900268099</v>
      </c>
      <c r="I84" s="23">
        <f>IF(AND(OR(I83=0,I83=""),F84=0),IF(F85=0,"",'Drilling Spec'!$C$26),H84)</f>
        <v>709.67645900268099</v>
      </c>
      <c r="J84" s="16">
        <f>MAX(0,I84-'Drilling Spec'!$C$30)</f>
        <v>629.67645900268099</v>
      </c>
      <c r="K84" s="18">
        <f>IFERROR(J84/'Drilling Spec'!$C$31,0)</f>
        <v>41.978430600178733</v>
      </c>
      <c r="L84" s="21">
        <f t="shared" si="24"/>
        <v>0</v>
      </c>
      <c r="M84" s="4">
        <f t="shared" si="34"/>
        <v>132</v>
      </c>
      <c r="N84" s="21">
        <f t="shared" si="25"/>
        <v>0</v>
      </c>
      <c r="O84" s="18">
        <f>(SQRT(4*O83*O83*vB*vB + 'Drilling Spec'!$C$48*O83 + WB*('Drilling Spec'!$C$49 + 2*lB*vB*(sB*WB + 2*vB*N84/(1+eB)) + 'Drilling Spec'!$C$50)) - 'Drilling Spec'!$C$51)/(2*vB)</f>
        <v>723.46681615545504</v>
      </c>
      <c r="P84" s="18">
        <f>IFERROR(((S84-'Drilling Spec'!$C$30)/'Drilling Spec'!$C$31)*'Drilling Spec'!$C$32,0)</f>
        <v>38.608008969327301</v>
      </c>
      <c r="Q84" s="18">
        <f t="shared" si="35"/>
        <v>0</v>
      </c>
      <c r="R84" s="18"/>
      <c r="S84" s="26">
        <f>IF(AND(OR(T83=0,T83=""),M84=0),IF(M85=0,"",'Drilling Spec'!$C$30),O84)</f>
        <v>723.46681615545504</v>
      </c>
      <c r="U84" s="15">
        <f>E84*'Drilling Spec'!$C$22 + L84*'Drilling Spec'!$C$23</f>
        <v>0</v>
      </c>
      <c r="V84" s="15">
        <f t="shared" si="36"/>
        <v>19.091707317073169</v>
      </c>
      <c r="W84" s="15">
        <f t="shared" si="26"/>
        <v>4.9082926829268239</v>
      </c>
      <c r="X84" s="10"/>
      <c r="Y84" s="30">
        <f>IF(W84&lt;U85,'Drilling Spec'!$C$35,0)</f>
        <v>0</v>
      </c>
      <c r="AA84" s="4">
        <f t="shared" si="40"/>
        <v>46</v>
      </c>
      <c r="AB84" s="10"/>
      <c r="AC84" s="30">
        <f>IF('04-07-25-Scen5-WorstCargoJIT'!K85&gt;'04-07-25-Scen5-WorstCargoJIT'!AA84,'Drilling Spec'!$C$36,)</f>
        <v>0</v>
      </c>
      <c r="AE84" s="18">
        <f>(I84-'Drilling Spec'!$C$26)/'Drilling Spec'!$C$38</f>
        <v>106.61274316711349</v>
      </c>
      <c r="AF84" s="18">
        <f t="shared" si="27"/>
        <v>0</v>
      </c>
      <c r="AG84" s="34">
        <f t="shared" si="28"/>
        <v>0</v>
      </c>
      <c r="AH84" s="10"/>
      <c r="AI84" s="26">
        <f>IF(C84="Camp Closed",AG84,IF(AG84&lt;'Drilling Spec'!$C$39,,'Drilling Spec'!$C$39))</f>
        <v>0</v>
      </c>
      <c r="AL84" s="16">
        <f t="shared" si="29"/>
        <v>-709.67645900268099</v>
      </c>
      <c r="AM84" s="16">
        <f t="shared" si="30"/>
        <v>-723.46681615545504</v>
      </c>
      <c r="AN84">
        <f>-'Drilling Spec'!$C$29</f>
        <v>-720</v>
      </c>
      <c r="AO84">
        <f>-'Drilling Spec'!$C$27</f>
        <v>-624</v>
      </c>
      <c r="AP84">
        <f>-'Drilling Spec'!$C$28</f>
        <v>-688</v>
      </c>
      <c r="AQ84" t="e">
        <f t="shared" si="31"/>
        <v>#N/A</v>
      </c>
      <c r="AR84" t="e">
        <f>IF(X84=0,NA(),-'Drilling Spec'!$C$29*0.1)</f>
        <v>#N/A</v>
      </c>
      <c r="AS84" t="e">
        <f>IF(Y84=0,NA(),-'Drilling Spec'!$C$29*0.1)</f>
        <v>#N/A</v>
      </c>
      <c r="AT84" t="e">
        <f>IF(AB84=0,NA(),-'Drilling Spec'!$C$29*0.2)</f>
        <v>#N/A</v>
      </c>
      <c r="AU84" t="e">
        <f>IF(AC84=0,NA(),-'Drilling Spec'!$C$29*0.2)</f>
        <v>#N/A</v>
      </c>
      <c r="AV84" t="e">
        <f>IF(AH84=0,NA(),-'Drilling Spec'!$C$29*0.3)</f>
        <v>#N/A</v>
      </c>
      <c r="AW84" t="e">
        <f>IF(AI84=0,NA(),-'Drilling Spec'!$C$29*0.3)</f>
        <v>#N/A</v>
      </c>
      <c r="AX84" s="29">
        <f t="shared" si="32"/>
        <v>4.9082926829268239</v>
      </c>
      <c r="AY84" s="29">
        <f t="shared" si="33"/>
        <v>42.629578369148568</v>
      </c>
      <c r="AZ84" s="29">
        <f t="shared" si="37"/>
        <v>0</v>
      </c>
    </row>
    <row r="85" spans="1:52" x14ac:dyDescent="0.35">
      <c r="A85" s="28">
        <f>A84+1</f>
        <v>46055</v>
      </c>
      <c r="B85" t="str">
        <f t="shared" si="20"/>
        <v>Mon</v>
      </c>
      <c r="C85" s="10"/>
      <c r="D85" s="10"/>
      <c r="E85" s="4">
        <f t="shared" si="21"/>
        <v>0</v>
      </c>
      <c r="F85" s="4">
        <f t="shared" si="22"/>
        <v>792</v>
      </c>
      <c r="G85" s="4">
        <f t="shared" si="23"/>
        <v>0</v>
      </c>
      <c r="H85" s="15">
        <f>(SQRT(4*I84*I84*V*V + 'Drilling Spec'!$C$42*I84 + W*('Drilling Spec'!$C$43 + 2*l*V*(s*W + 2*V*G85/(1+e)) + 'Drilling Spec'!$C$44)) - 'Drilling Spec'!$C$45)/(2*V)</f>
        <v>709.67645900268099</v>
      </c>
      <c r="I85" s="23">
        <f>IF(AND(OR(I84=0,I84=""),F85=0),IF(F86=0,"",'Drilling Spec'!$C$26),H85)</f>
        <v>709.67645900268099</v>
      </c>
      <c r="J85" s="16">
        <f>MAX(0,I85-'Drilling Spec'!$C$30)</f>
        <v>629.67645900268099</v>
      </c>
      <c r="K85" s="18">
        <f>IFERROR(J85/'Drilling Spec'!$C$31,0)</f>
        <v>41.978430600178733</v>
      </c>
      <c r="L85" s="21">
        <f t="shared" si="24"/>
        <v>0</v>
      </c>
      <c r="M85" s="4">
        <f t="shared" si="34"/>
        <v>132</v>
      </c>
      <c r="N85" s="21">
        <f t="shared" si="25"/>
        <v>0</v>
      </c>
      <c r="O85" s="18">
        <f>(SQRT(4*O84*O84*vB*vB + 'Drilling Spec'!$C$48*O84 + WB*('Drilling Spec'!$C$49 + 2*lB*vB*(sB*WB + 2*vB*N85/(1+eB)) + 'Drilling Spec'!$C$50)) - 'Drilling Spec'!$C$51)/(2*vB)</f>
        <v>723.46681615545504</v>
      </c>
      <c r="P85" s="18">
        <f>IFERROR(((S85-'Drilling Spec'!$C$30)/'Drilling Spec'!$C$31)*'Drilling Spec'!$C$32,0)</f>
        <v>38.608008969327301</v>
      </c>
      <c r="Q85" s="18">
        <f t="shared" si="35"/>
        <v>0</v>
      </c>
      <c r="R85" s="18"/>
      <c r="S85" s="26">
        <f>IF(AND(OR(T84=0,T84=""),M85=0),IF(M86=0,"",'Drilling Spec'!$C$30),O85)</f>
        <v>723.46681615545504</v>
      </c>
      <c r="U85" s="15">
        <f>E85*'Drilling Spec'!$C$22 + L85*'Drilling Spec'!$C$23</f>
        <v>0</v>
      </c>
      <c r="V85" s="15">
        <f t="shared" si="36"/>
        <v>19.091707317073169</v>
      </c>
      <c r="W85" s="15">
        <f t="shared" si="26"/>
        <v>4.9082926829268239</v>
      </c>
      <c r="X85" s="10"/>
      <c r="Y85" s="30">
        <f>IF(W85&lt;U86,'Drilling Spec'!$C$35,0)</f>
        <v>0</v>
      </c>
      <c r="AA85" s="4">
        <f t="shared" si="40"/>
        <v>46</v>
      </c>
      <c r="AB85" s="10"/>
      <c r="AC85" s="30">
        <f>IF('04-07-25-Scen5-WorstCargoJIT'!K86&gt;'04-07-25-Scen5-WorstCargoJIT'!AA85,'Drilling Spec'!$C$36,)</f>
        <v>0</v>
      </c>
      <c r="AE85" s="18">
        <f>(I85-'Drilling Spec'!$C$26)/'Drilling Spec'!$C$38</f>
        <v>106.61274316711349</v>
      </c>
      <c r="AF85" s="18">
        <f t="shared" si="27"/>
        <v>0</v>
      </c>
      <c r="AG85" s="34">
        <f t="shared" si="28"/>
        <v>0</v>
      </c>
      <c r="AH85" s="10"/>
      <c r="AI85" s="26">
        <f>IF(C85="Camp Closed",AG85,IF(AG85&lt;'Drilling Spec'!$C$39,,'Drilling Spec'!$C$39))</f>
        <v>0</v>
      </c>
      <c r="AL85" s="16">
        <f t="shared" si="29"/>
        <v>-709.67645900268099</v>
      </c>
      <c r="AM85" s="16">
        <f t="shared" si="30"/>
        <v>-723.46681615545504</v>
      </c>
      <c r="AN85">
        <f>-'Drilling Spec'!$C$29</f>
        <v>-720</v>
      </c>
      <c r="AO85">
        <f>-'Drilling Spec'!$C$27</f>
        <v>-624</v>
      </c>
      <c r="AP85">
        <f>-'Drilling Spec'!$C$28</f>
        <v>-688</v>
      </c>
      <c r="AQ85" t="e">
        <f t="shared" si="31"/>
        <v>#N/A</v>
      </c>
      <c r="AR85" t="e">
        <f>IF(X85=0,NA(),-'Drilling Spec'!$C$29*0.1)</f>
        <v>#N/A</v>
      </c>
      <c r="AS85" t="e">
        <f>IF(Y85=0,NA(),-'Drilling Spec'!$C$29*0.1)</f>
        <v>#N/A</v>
      </c>
      <c r="AT85" t="e">
        <f>IF(AB85=0,NA(),-'Drilling Spec'!$C$29*0.2)</f>
        <v>#N/A</v>
      </c>
      <c r="AU85" t="e">
        <f>IF(AC85=0,NA(),-'Drilling Spec'!$C$29*0.2)</f>
        <v>#N/A</v>
      </c>
      <c r="AV85" t="e">
        <f>IF(AH85=0,NA(),-'Drilling Spec'!$C$29*0.3)</f>
        <v>#N/A</v>
      </c>
      <c r="AW85" t="e">
        <f>IF(AI85=0,NA(),-'Drilling Spec'!$C$29*0.3)</f>
        <v>#N/A</v>
      </c>
      <c r="AX85" s="29">
        <f t="shared" si="32"/>
        <v>4.9082926829268239</v>
      </c>
      <c r="AY85" s="29">
        <f t="shared" si="33"/>
        <v>42.629578369148568</v>
      </c>
      <c r="AZ85" s="29">
        <f t="shared" si="37"/>
        <v>0</v>
      </c>
    </row>
    <row r="86" spans="1:52" x14ac:dyDescent="0.35">
      <c r="A86" s="28">
        <f t="shared" ref="A86" si="41">A85+1</f>
        <v>46056</v>
      </c>
      <c r="B86" t="str">
        <f t="shared" si="20"/>
        <v>Tue</v>
      </c>
      <c r="C86" s="10"/>
      <c r="D86" s="10"/>
      <c r="E86" s="4">
        <f t="shared" si="21"/>
        <v>0</v>
      </c>
      <c r="F86" s="4">
        <f t="shared" si="22"/>
        <v>792</v>
      </c>
      <c r="G86" s="4">
        <f t="shared" si="23"/>
        <v>0</v>
      </c>
      <c r="H86" s="15">
        <f>(SQRT(4*I85*I85*V*V + 'Drilling Spec'!$C$42*I85 + W*('Drilling Spec'!$C$43 + 2*l*V*(s*W + 2*V*G86/(1+e)) + 'Drilling Spec'!$C$44)) - 'Drilling Spec'!$C$45)/(2*V)</f>
        <v>709.67645900268099</v>
      </c>
      <c r="I86" s="23">
        <f>IF(AND(OR(I85=0,I85=""),F86=0),IF(F87=0,"",'Drilling Spec'!$C$26),H86)</f>
        <v>709.67645900268099</v>
      </c>
      <c r="J86" s="16">
        <f>MAX(0,I86-'Drilling Spec'!$C$30)</f>
        <v>629.67645900268099</v>
      </c>
      <c r="K86" s="18">
        <f>IFERROR(J86/'Drilling Spec'!$C$31,0)</f>
        <v>41.978430600178733</v>
      </c>
      <c r="L86" s="21">
        <f t="shared" si="24"/>
        <v>0</v>
      </c>
      <c r="M86" s="4">
        <f t="shared" si="34"/>
        <v>132</v>
      </c>
      <c r="N86" s="21">
        <f t="shared" si="25"/>
        <v>0</v>
      </c>
      <c r="O86" s="18">
        <f>(SQRT(4*O85*O85*vB*vB + 'Drilling Spec'!$C$48*O85 + WB*('Drilling Spec'!$C$49 + 2*lB*vB*(sB*WB + 2*vB*N86/(1+eB)) + 'Drilling Spec'!$C$50)) - 'Drilling Spec'!$C$51)/(2*vB)</f>
        <v>723.46681615545504</v>
      </c>
      <c r="P86" s="18">
        <f>IFERROR(((S86-'Drilling Spec'!$C$30)/'Drilling Spec'!$C$31)*'Drilling Spec'!$C$32,0)</f>
        <v>38.608008969327301</v>
      </c>
      <c r="Q86" s="18">
        <f t="shared" si="35"/>
        <v>0</v>
      </c>
      <c r="R86" s="18"/>
      <c r="S86" s="26">
        <f>IF(AND(OR(T85=0,T85=""),M86=0),IF(M87=0,"",'Drilling Spec'!$C$30),O86)</f>
        <v>723.46681615545504</v>
      </c>
      <c r="U86" s="15">
        <f>E86*'Drilling Spec'!$C$22 + L86*'Drilling Spec'!$C$23</f>
        <v>0</v>
      </c>
      <c r="V86" s="15">
        <f t="shared" si="36"/>
        <v>19.091707317073169</v>
      </c>
      <c r="W86" s="15">
        <f t="shared" si="26"/>
        <v>4.9082926829268239</v>
      </c>
      <c r="X86" s="10"/>
      <c r="Y86" s="30">
        <f>IF(W86&lt;U87,'Drilling Spec'!$C$35,0)</f>
        <v>0</v>
      </c>
      <c r="AA86" s="4">
        <f t="shared" si="40"/>
        <v>46</v>
      </c>
      <c r="AB86" s="10"/>
      <c r="AC86" s="30">
        <f>IF('04-07-25-Scen5-WorstCargoJIT'!K87&gt;'04-07-25-Scen5-WorstCargoJIT'!AA86,'Drilling Spec'!$C$36,)</f>
        <v>0</v>
      </c>
      <c r="AE86" s="18">
        <f>(I86-'Drilling Spec'!$C$26)/'Drilling Spec'!$C$38</f>
        <v>106.61274316711349</v>
      </c>
      <c r="AF86" s="18">
        <f t="shared" si="27"/>
        <v>0</v>
      </c>
      <c r="AG86" s="34">
        <f t="shared" si="28"/>
        <v>0</v>
      </c>
      <c r="AH86" s="10"/>
      <c r="AI86" s="26">
        <f>IF(C86="Camp Closed",AG86,IF(AG86&lt;'Drilling Spec'!$C$39,,'Drilling Spec'!$C$39))</f>
        <v>0</v>
      </c>
      <c r="AL86" s="16">
        <f t="shared" si="29"/>
        <v>-709.67645900268099</v>
      </c>
      <c r="AM86" s="16">
        <f t="shared" si="30"/>
        <v>-723.46681615545504</v>
      </c>
      <c r="AN86">
        <f>-'Drilling Spec'!$C$29</f>
        <v>-720</v>
      </c>
      <c r="AO86">
        <f>-'Drilling Spec'!$C$27</f>
        <v>-624</v>
      </c>
      <c r="AP86">
        <f>-'Drilling Spec'!$C$28</f>
        <v>-688</v>
      </c>
      <c r="AQ86" t="e">
        <f t="shared" si="31"/>
        <v>#N/A</v>
      </c>
      <c r="AR86" t="e">
        <f>IF(X86=0,NA(),-'Drilling Spec'!$C$29*0.1)</f>
        <v>#N/A</v>
      </c>
      <c r="AS86" t="e">
        <f>IF(Y86=0,NA(),-'Drilling Spec'!$C$29*0.1)</f>
        <v>#N/A</v>
      </c>
      <c r="AT86" t="e">
        <f>IF(AB86=0,NA(),-'Drilling Spec'!$C$29*0.2)</f>
        <v>#N/A</v>
      </c>
      <c r="AU86" t="e">
        <f>IF(AC86=0,NA(),-'Drilling Spec'!$C$29*0.2)</f>
        <v>#N/A</v>
      </c>
      <c r="AV86" t="e">
        <f>IF(AH86=0,NA(),-'Drilling Spec'!$C$29*0.3)</f>
        <v>#N/A</v>
      </c>
      <c r="AW86" t="e">
        <f>IF(AI86=0,NA(),-'Drilling Spec'!$C$29*0.3)</f>
        <v>#N/A</v>
      </c>
      <c r="AX86" s="29">
        <f t="shared" si="32"/>
        <v>4.9082926829268239</v>
      </c>
      <c r="AY86" s="29">
        <f t="shared" si="33"/>
        <v>42.629578369148568</v>
      </c>
      <c r="AZ86" s="29">
        <f t="shared" si="37"/>
        <v>0</v>
      </c>
    </row>
    <row r="87" spans="1:52" x14ac:dyDescent="0.35">
      <c r="A87" s="28">
        <f>A86+1</f>
        <v>46057</v>
      </c>
      <c r="B87" t="str">
        <f t="shared" si="20"/>
        <v>Wed</v>
      </c>
      <c r="C87" s="10"/>
      <c r="D87" s="10"/>
      <c r="E87" s="4">
        <f t="shared" si="21"/>
        <v>0</v>
      </c>
      <c r="F87" s="4">
        <f t="shared" si="22"/>
        <v>792</v>
      </c>
      <c r="G87" s="4">
        <f t="shared" si="23"/>
        <v>0</v>
      </c>
      <c r="H87" s="15">
        <f>(SQRT(4*I86*I86*V*V + 'Drilling Spec'!$C$42*I86 + W*('Drilling Spec'!$C$43 + 2*l*V*(s*W + 2*V*G87/(1+e)) + 'Drilling Spec'!$C$44)) - 'Drilling Spec'!$C$45)/(2*V)</f>
        <v>709.67645900268099</v>
      </c>
      <c r="I87" s="23">
        <f>IF(AND(OR(I86=0,I86=""),F87=0),IF(F88=0,"",'Drilling Spec'!$C$26),H87)</f>
        <v>709.67645900268099</v>
      </c>
      <c r="J87" s="16">
        <f>MAX(0,I87-'Drilling Spec'!$C$30)</f>
        <v>629.67645900268099</v>
      </c>
      <c r="K87" s="18">
        <f>IFERROR(J87/'Drilling Spec'!$C$31,0)</f>
        <v>41.978430600178733</v>
      </c>
      <c r="L87" s="21">
        <f t="shared" si="24"/>
        <v>0</v>
      </c>
      <c r="M87" s="4">
        <f t="shared" si="34"/>
        <v>132</v>
      </c>
      <c r="N87" s="21">
        <f t="shared" si="25"/>
        <v>0</v>
      </c>
      <c r="O87" s="18">
        <f>(SQRT(4*O86*O86*vB*vB + 'Drilling Spec'!$C$48*O86 + WB*('Drilling Spec'!$C$49 + 2*lB*vB*(sB*WB + 2*vB*N87/(1+eB)) + 'Drilling Spec'!$C$50)) - 'Drilling Spec'!$C$51)/(2*vB)</f>
        <v>723.46681615545504</v>
      </c>
      <c r="P87" s="18">
        <f>IFERROR(((S87-'Drilling Spec'!$C$30)/'Drilling Spec'!$C$31)*'Drilling Spec'!$C$32,0)</f>
        <v>38.608008969327301</v>
      </c>
      <c r="Q87" s="18">
        <f t="shared" si="35"/>
        <v>0</v>
      </c>
      <c r="R87" s="18"/>
      <c r="S87" s="26">
        <f>IF(AND(OR(T86=0,T86=""),M87=0),IF(M88=0,"",'Drilling Spec'!$C$30),O87)</f>
        <v>723.46681615545504</v>
      </c>
      <c r="U87" s="15">
        <f>E87*'Drilling Spec'!$C$22 + L87*'Drilling Spec'!$C$23</f>
        <v>0</v>
      </c>
      <c r="V87" s="15">
        <f t="shared" si="36"/>
        <v>19.091707317073169</v>
      </c>
      <c r="W87" s="15">
        <f t="shared" si="26"/>
        <v>4.9082926829268239</v>
      </c>
      <c r="X87" s="10"/>
      <c r="Y87" s="30">
        <f>IF(W87&lt;U88,'Drilling Spec'!$C$35,0)</f>
        <v>0</v>
      </c>
      <c r="AA87" s="4">
        <f t="shared" si="40"/>
        <v>46</v>
      </c>
      <c r="AB87" s="10"/>
      <c r="AC87" s="30">
        <f>IF('04-07-25-Scen5-WorstCargoJIT'!K88&gt;'04-07-25-Scen5-WorstCargoJIT'!AA87,'Drilling Spec'!$C$36,)</f>
        <v>0</v>
      </c>
      <c r="AE87" s="18">
        <f>(I87-'Drilling Spec'!$C$26)/'Drilling Spec'!$C$38</f>
        <v>106.61274316711349</v>
      </c>
      <c r="AF87" s="18">
        <f t="shared" si="27"/>
        <v>0</v>
      </c>
      <c r="AG87" s="34">
        <f t="shared" si="28"/>
        <v>0</v>
      </c>
      <c r="AH87" s="10"/>
      <c r="AI87" s="26">
        <f>IF(C87="Camp Closed",AG87,IF(AG87&lt;'Drilling Spec'!$C$39,,'Drilling Spec'!$C$39))</f>
        <v>0</v>
      </c>
      <c r="AL87" s="16">
        <f t="shared" si="29"/>
        <v>-709.67645900268099</v>
      </c>
      <c r="AM87" s="16">
        <f t="shared" si="30"/>
        <v>-723.46681615545504</v>
      </c>
      <c r="AN87">
        <f>-'Drilling Spec'!$C$29</f>
        <v>-720</v>
      </c>
      <c r="AO87">
        <f>-'Drilling Spec'!$C$27</f>
        <v>-624</v>
      </c>
      <c r="AP87">
        <f>-'Drilling Spec'!$C$28</f>
        <v>-688</v>
      </c>
      <c r="AQ87" t="e">
        <f t="shared" si="31"/>
        <v>#N/A</v>
      </c>
      <c r="AR87" t="e">
        <f>IF(X87=0,NA(),-'Drilling Spec'!$C$29*0.1)</f>
        <v>#N/A</v>
      </c>
      <c r="AS87" t="e">
        <f>IF(Y87=0,NA(),-'Drilling Spec'!$C$29*0.1)</f>
        <v>#N/A</v>
      </c>
      <c r="AT87" t="e">
        <f>IF(AB87=0,NA(),-'Drilling Spec'!$C$29*0.2)</f>
        <v>#N/A</v>
      </c>
      <c r="AU87" t="e">
        <f>IF(AC87=0,NA(),-'Drilling Spec'!$C$29*0.2)</f>
        <v>#N/A</v>
      </c>
      <c r="AV87" t="e">
        <f>IF(AH87=0,NA(),-'Drilling Spec'!$C$29*0.3)</f>
        <v>#N/A</v>
      </c>
      <c r="AW87" t="e">
        <f>IF(AI87=0,NA(),-'Drilling Spec'!$C$29*0.3)</f>
        <v>#N/A</v>
      </c>
      <c r="AX87" s="29">
        <f t="shared" si="32"/>
        <v>4.9082926829268239</v>
      </c>
      <c r="AY87" s="29">
        <f t="shared" si="33"/>
        <v>42.629578369148568</v>
      </c>
      <c r="AZ87" s="29">
        <f t="shared" si="37"/>
        <v>0</v>
      </c>
    </row>
    <row r="88" spans="1:52" x14ac:dyDescent="0.35">
      <c r="A88" s="28">
        <f t="shared" ref="A88:A112" si="42">A87+1</f>
        <v>46058</v>
      </c>
      <c r="B88" t="str">
        <f t="shared" si="20"/>
        <v>Thu</v>
      </c>
      <c r="C88" s="10"/>
      <c r="D88" s="10"/>
      <c r="E88" s="4">
        <f t="shared" si="21"/>
        <v>0</v>
      </c>
      <c r="F88" s="4">
        <f t="shared" si="22"/>
        <v>792</v>
      </c>
      <c r="G88" s="4">
        <f t="shared" si="23"/>
        <v>0</v>
      </c>
      <c r="H88" s="15">
        <f>(SQRT(4*I87*I87*V*V + 'Drilling Spec'!$C$42*I87 + W*('Drilling Spec'!$C$43 + 2*l*V*(s*W + 2*V*G88/(1+e)) + 'Drilling Spec'!$C$44)) - 'Drilling Spec'!$C$45)/(2*V)</f>
        <v>709.67645900268099</v>
      </c>
      <c r="I88" s="23">
        <f>IF(AND(OR(I87=0,I87=""),F88=0),IF(F89=0,"",'Drilling Spec'!$C$26),H88)</f>
        <v>709.67645900268099</v>
      </c>
      <c r="J88" s="16">
        <f>MAX(0,I88-'Drilling Spec'!$C$30)</f>
        <v>629.67645900268099</v>
      </c>
      <c r="K88" s="18">
        <f>IFERROR(J88/'Drilling Spec'!$C$31,0)</f>
        <v>41.978430600178733</v>
      </c>
      <c r="L88" s="21">
        <f t="shared" si="24"/>
        <v>0</v>
      </c>
      <c r="M88" s="4">
        <f t="shared" si="34"/>
        <v>132</v>
      </c>
      <c r="N88" s="21">
        <f t="shared" si="25"/>
        <v>0</v>
      </c>
      <c r="O88" s="18">
        <f>(SQRT(4*O87*O87*vB*vB + 'Drilling Spec'!$C$48*O87 + WB*('Drilling Spec'!$C$49 + 2*lB*vB*(sB*WB + 2*vB*N88/(1+eB)) + 'Drilling Spec'!$C$50)) - 'Drilling Spec'!$C$51)/(2*vB)</f>
        <v>723.46681615545504</v>
      </c>
      <c r="P88" s="18">
        <f>IFERROR(((S88-'Drilling Spec'!$C$30)/'Drilling Spec'!$C$31)*'Drilling Spec'!$C$32,0)</f>
        <v>38.608008969327301</v>
      </c>
      <c r="Q88" s="18">
        <f t="shared" si="35"/>
        <v>0</v>
      </c>
      <c r="R88" s="18"/>
      <c r="S88" s="26">
        <f>IF(AND(OR(T87=0,T87=""),M88=0),IF(M89=0,"",'Drilling Spec'!$C$30),O88)</f>
        <v>723.46681615545504</v>
      </c>
      <c r="U88" s="15">
        <f>E88*'Drilling Spec'!$C$22 + L88*'Drilling Spec'!$C$23</f>
        <v>0</v>
      </c>
      <c r="V88" s="15">
        <f t="shared" si="36"/>
        <v>19.091707317073169</v>
      </c>
      <c r="W88" s="15">
        <f t="shared" si="26"/>
        <v>4.9082926829268239</v>
      </c>
      <c r="X88" s="10"/>
      <c r="Y88" s="30">
        <f>IF(W88&lt;U89,'Drilling Spec'!$C$35,0)</f>
        <v>0</v>
      </c>
      <c r="AA88" s="4">
        <f t="shared" si="40"/>
        <v>46</v>
      </c>
      <c r="AB88" s="10"/>
      <c r="AC88" s="30">
        <f>IF('04-07-25-Scen5-WorstCargoJIT'!K89&gt;'04-07-25-Scen5-WorstCargoJIT'!AA88,'Drilling Spec'!$C$36,)</f>
        <v>0</v>
      </c>
      <c r="AE88" s="18">
        <f>(I88-'Drilling Spec'!$C$26)/'Drilling Spec'!$C$38</f>
        <v>106.61274316711349</v>
      </c>
      <c r="AF88" s="18">
        <f t="shared" si="27"/>
        <v>0</v>
      </c>
      <c r="AG88" s="34">
        <f t="shared" si="28"/>
        <v>0</v>
      </c>
      <c r="AH88" s="10"/>
      <c r="AI88" s="26">
        <f>IF(C88="Camp Closed",AG88,IF(AG88&lt;'Drilling Spec'!$C$39,,'Drilling Spec'!$C$39))</f>
        <v>0</v>
      </c>
      <c r="AL88" s="16">
        <f t="shared" si="29"/>
        <v>-709.67645900268099</v>
      </c>
      <c r="AM88" s="16">
        <f t="shared" si="30"/>
        <v>-723.46681615545504</v>
      </c>
      <c r="AN88">
        <f>-'Drilling Spec'!$C$29</f>
        <v>-720</v>
      </c>
      <c r="AO88">
        <f>-'Drilling Spec'!$C$27</f>
        <v>-624</v>
      </c>
      <c r="AP88">
        <f>-'Drilling Spec'!$C$28</f>
        <v>-688</v>
      </c>
      <c r="AQ88" t="e">
        <f t="shared" si="31"/>
        <v>#N/A</v>
      </c>
      <c r="AR88" t="e">
        <f>IF(X88=0,NA(),-'Drilling Spec'!$C$29*0.1)</f>
        <v>#N/A</v>
      </c>
      <c r="AS88" t="e">
        <f>IF(Y88=0,NA(),-'Drilling Spec'!$C$29*0.1)</f>
        <v>#N/A</v>
      </c>
      <c r="AT88" t="e">
        <f>IF(AB88=0,NA(),-'Drilling Spec'!$C$29*0.2)</f>
        <v>#N/A</v>
      </c>
      <c r="AU88" t="e">
        <f>IF(AC88=0,NA(),-'Drilling Spec'!$C$29*0.2)</f>
        <v>#N/A</v>
      </c>
      <c r="AV88" t="e">
        <f>IF(AH88=0,NA(),-'Drilling Spec'!$C$29*0.3)</f>
        <v>#N/A</v>
      </c>
      <c r="AW88" t="e">
        <f>IF(AI88=0,NA(),-'Drilling Spec'!$C$29*0.3)</f>
        <v>#N/A</v>
      </c>
      <c r="AX88" s="29">
        <f t="shared" si="32"/>
        <v>4.9082926829268239</v>
      </c>
      <c r="AY88" s="29">
        <f t="shared" si="33"/>
        <v>42.629578369148568</v>
      </c>
      <c r="AZ88" s="29">
        <f t="shared" si="37"/>
        <v>0</v>
      </c>
    </row>
    <row r="89" spans="1:52" x14ac:dyDescent="0.35">
      <c r="A89" s="28">
        <f t="shared" si="42"/>
        <v>46059</v>
      </c>
      <c r="B89" t="str">
        <f t="shared" si="20"/>
        <v>Fri</v>
      </c>
      <c r="C89" s="10"/>
      <c r="D89" s="10"/>
      <c r="E89" s="4">
        <f t="shared" si="21"/>
        <v>0</v>
      </c>
      <c r="F89" s="4">
        <f t="shared" si="22"/>
        <v>792</v>
      </c>
      <c r="G89" s="4">
        <f t="shared" si="23"/>
        <v>0</v>
      </c>
      <c r="H89" s="15">
        <f>(SQRT(4*I88*I88*V*V + 'Drilling Spec'!$C$42*I88 + W*('Drilling Spec'!$C$43 + 2*l*V*(s*W + 2*V*G89/(1+e)) + 'Drilling Spec'!$C$44)) - 'Drilling Spec'!$C$45)/(2*V)</f>
        <v>709.67645900268099</v>
      </c>
      <c r="I89" s="23">
        <f>IF(AND(OR(I88=0,I88=""),F89=0),IF(F90=0,"",'Drilling Spec'!$C$26),H89)</f>
        <v>709.67645900268099</v>
      </c>
      <c r="J89" s="16">
        <f>MAX(0,I89-'Drilling Spec'!$C$30)</f>
        <v>629.67645900268099</v>
      </c>
      <c r="K89" s="18">
        <f>IFERROR(J89/'Drilling Spec'!$C$31,0)</f>
        <v>41.978430600178733</v>
      </c>
      <c r="L89" s="21">
        <f t="shared" si="24"/>
        <v>0</v>
      </c>
      <c r="M89" s="4">
        <f t="shared" si="34"/>
        <v>132</v>
      </c>
      <c r="N89" s="21">
        <f t="shared" si="25"/>
        <v>0</v>
      </c>
      <c r="O89" s="18">
        <f>(SQRT(4*O88*O88*vB*vB + 'Drilling Spec'!$C$48*O88 + WB*('Drilling Spec'!$C$49 + 2*lB*vB*(sB*WB + 2*vB*N89/(1+eB)) + 'Drilling Spec'!$C$50)) - 'Drilling Spec'!$C$51)/(2*vB)</f>
        <v>723.46681615545504</v>
      </c>
      <c r="P89" s="18">
        <f>IFERROR(((S89-'Drilling Spec'!$C$30)/'Drilling Spec'!$C$31)*'Drilling Spec'!$C$32,0)</f>
        <v>38.608008969327301</v>
      </c>
      <c r="Q89" s="18">
        <f t="shared" si="35"/>
        <v>0</v>
      </c>
      <c r="R89" s="18"/>
      <c r="S89" s="26">
        <f>IF(AND(OR(T88=0,T88=""),M89=0),IF(M90=0,"",'Drilling Spec'!$C$30),O89)</f>
        <v>723.46681615545504</v>
      </c>
      <c r="U89" s="15">
        <f>E89*'Drilling Spec'!$C$22 + L89*'Drilling Spec'!$C$23</f>
        <v>0</v>
      </c>
      <c r="V89" s="15">
        <f t="shared" si="36"/>
        <v>19.091707317073169</v>
      </c>
      <c r="W89" s="15">
        <f t="shared" si="26"/>
        <v>4.9082926829268239</v>
      </c>
      <c r="X89" s="10"/>
      <c r="Y89" s="30">
        <f>IF(W89&lt;U90,'Drilling Spec'!$C$35,0)</f>
        <v>0</v>
      </c>
      <c r="AA89" s="4">
        <f t="shared" si="40"/>
        <v>46</v>
      </c>
      <c r="AB89" s="10"/>
      <c r="AC89" s="30">
        <f>IF('04-07-25-Scen5-WorstCargoJIT'!K90&gt;'04-07-25-Scen5-WorstCargoJIT'!AA89,'Drilling Spec'!$C$36,)</f>
        <v>0</v>
      </c>
      <c r="AE89" s="18">
        <f>(I89-'Drilling Spec'!$C$26)/'Drilling Spec'!$C$38</f>
        <v>106.61274316711349</v>
      </c>
      <c r="AF89" s="18">
        <f t="shared" si="27"/>
        <v>0</v>
      </c>
      <c r="AG89" s="34">
        <f t="shared" si="28"/>
        <v>0</v>
      </c>
      <c r="AH89" s="10"/>
      <c r="AI89" s="26">
        <f>IF(C89="Camp Closed",AG89,IF(AG89&lt;'Drilling Spec'!$C$39,,'Drilling Spec'!$C$39))</f>
        <v>0</v>
      </c>
      <c r="AL89" s="16">
        <f t="shared" si="29"/>
        <v>-709.67645900268099</v>
      </c>
      <c r="AM89" s="16">
        <f t="shared" si="30"/>
        <v>-723.46681615545504</v>
      </c>
      <c r="AN89">
        <f>-'Drilling Spec'!$C$29</f>
        <v>-720</v>
      </c>
      <c r="AO89">
        <f>-'Drilling Spec'!$C$27</f>
        <v>-624</v>
      </c>
      <c r="AP89">
        <f>-'Drilling Spec'!$C$28</f>
        <v>-688</v>
      </c>
      <c r="AQ89" t="e">
        <f t="shared" si="31"/>
        <v>#N/A</v>
      </c>
      <c r="AR89" t="e">
        <f>IF(X89=0,NA(),-'Drilling Spec'!$C$29*0.1)</f>
        <v>#N/A</v>
      </c>
      <c r="AS89" t="e">
        <f>IF(Y89=0,NA(),-'Drilling Spec'!$C$29*0.1)</f>
        <v>#N/A</v>
      </c>
      <c r="AT89" t="e">
        <f>IF(AB89=0,NA(),-'Drilling Spec'!$C$29*0.2)</f>
        <v>#N/A</v>
      </c>
      <c r="AU89" t="e">
        <f>IF(AC89=0,NA(),-'Drilling Spec'!$C$29*0.2)</f>
        <v>#N/A</v>
      </c>
      <c r="AV89" t="e">
        <f>IF(AH89=0,NA(),-'Drilling Spec'!$C$29*0.3)</f>
        <v>#N/A</v>
      </c>
      <c r="AW89" t="e">
        <f>IF(AI89=0,NA(),-'Drilling Spec'!$C$29*0.3)</f>
        <v>#N/A</v>
      </c>
      <c r="AX89" s="29">
        <f t="shared" si="32"/>
        <v>4.9082926829268239</v>
      </c>
      <c r="AY89" s="29">
        <f t="shared" si="33"/>
        <v>42.629578369148568</v>
      </c>
      <c r="AZ89" s="29">
        <f t="shared" si="37"/>
        <v>0</v>
      </c>
    </row>
    <row r="90" spans="1:52" x14ac:dyDescent="0.35">
      <c r="A90" s="28">
        <f t="shared" si="42"/>
        <v>46060</v>
      </c>
      <c r="B90" t="str">
        <f t="shared" si="20"/>
        <v>Sat</v>
      </c>
      <c r="C90" s="10"/>
      <c r="D90" s="10"/>
      <c r="E90" s="4">
        <f t="shared" si="21"/>
        <v>0</v>
      </c>
      <c r="F90" s="4">
        <f t="shared" si="22"/>
        <v>792</v>
      </c>
      <c r="G90" s="4">
        <f t="shared" si="23"/>
        <v>0</v>
      </c>
      <c r="H90" s="15">
        <f>(SQRT(4*I89*I89*V*V + 'Drilling Spec'!$C$42*I89 + W*('Drilling Spec'!$C$43 + 2*l*V*(s*W + 2*V*G90/(1+e)) + 'Drilling Spec'!$C$44)) - 'Drilling Spec'!$C$45)/(2*V)</f>
        <v>709.67645900268099</v>
      </c>
      <c r="I90" s="23">
        <f>IF(AND(OR(I89=0,I89=""),F90=0),IF(F91=0,"",'Drilling Spec'!$C$26),H90)</f>
        <v>709.67645900268099</v>
      </c>
      <c r="J90" s="16">
        <f>MAX(0,I90-'Drilling Spec'!$C$30)</f>
        <v>629.67645900268099</v>
      </c>
      <c r="K90" s="18">
        <f>IFERROR(J90/'Drilling Spec'!$C$31,0)</f>
        <v>41.978430600178733</v>
      </c>
      <c r="L90" s="21">
        <f t="shared" si="24"/>
        <v>0</v>
      </c>
      <c r="M90" s="4">
        <f t="shared" si="34"/>
        <v>132</v>
      </c>
      <c r="N90" s="21">
        <f t="shared" si="25"/>
        <v>0</v>
      </c>
      <c r="O90" s="18">
        <f>(SQRT(4*O89*O89*vB*vB + 'Drilling Spec'!$C$48*O89 + WB*('Drilling Spec'!$C$49 + 2*lB*vB*(sB*WB + 2*vB*N90/(1+eB)) + 'Drilling Spec'!$C$50)) - 'Drilling Spec'!$C$51)/(2*vB)</f>
        <v>723.46681615545504</v>
      </c>
      <c r="P90" s="18">
        <f>IFERROR(((S90-'Drilling Spec'!$C$30)/'Drilling Spec'!$C$31)*'Drilling Spec'!$C$32,0)</f>
        <v>38.608008969327301</v>
      </c>
      <c r="Q90" s="18">
        <f t="shared" si="35"/>
        <v>0</v>
      </c>
      <c r="R90" s="18"/>
      <c r="S90" s="26">
        <f>IF(AND(OR(T89=0,T89=""),M90=0),IF(M91=0,"",'Drilling Spec'!$C$30),O90)</f>
        <v>723.46681615545504</v>
      </c>
      <c r="U90" s="15">
        <f>E90*'Drilling Spec'!$C$22 + L90*'Drilling Spec'!$C$23</f>
        <v>0</v>
      </c>
      <c r="V90" s="15">
        <f t="shared" si="36"/>
        <v>19.091707317073169</v>
      </c>
      <c r="W90" s="15">
        <f t="shared" si="26"/>
        <v>4.9082926829268239</v>
      </c>
      <c r="X90" s="10"/>
      <c r="Y90" s="30">
        <f>IF(W90&lt;U91,'Drilling Spec'!$C$35,0)</f>
        <v>0</v>
      </c>
      <c r="AA90" s="4">
        <f t="shared" si="40"/>
        <v>46</v>
      </c>
      <c r="AB90" s="10"/>
      <c r="AC90" s="30">
        <f>IF('04-07-25-Scen5-WorstCargoJIT'!K91&gt;'04-07-25-Scen5-WorstCargoJIT'!AA90,'Drilling Spec'!$C$36,)</f>
        <v>0</v>
      </c>
      <c r="AE90" s="18">
        <f>(I90-'Drilling Spec'!$C$26)/'Drilling Spec'!$C$38</f>
        <v>106.61274316711349</v>
      </c>
      <c r="AF90" s="18">
        <f t="shared" si="27"/>
        <v>0</v>
      </c>
      <c r="AG90" s="34">
        <f t="shared" si="28"/>
        <v>0</v>
      </c>
      <c r="AH90" s="10"/>
      <c r="AI90" s="26">
        <f>IF(C90="Camp Closed",AG90,IF(AG90&lt;'Drilling Spec'!$C$39,,'Drilling Spec'!$C$39))</f>
        <v>0</v>
      </c>
      <c r="AL90" s="16">
        <f t="shared" si="29"/>
        <v>-709.67645900268099</v>
      </c>
      <c r="AM90" s="16">
        <f t="shared" si="30"/>
        <v>-723.46681615545504</v>
      </c>
      <c r="AN90">
        <f>-'Drilling Spec'!$C$29</f>
        <v>-720</v>
      </c>
      <c r="AO90">
        <f>-'Drilling Spec'!$C$27</f>
        <v>-624</v>
      </c>
      <c r="AP90">
        <f>-'Drilling Spec'!$C$28</f>
        <v>-688</v>
      </c>
      <c r="AQ90" t="e">
        <f t="shared" si="31"/>
        <v>#N/A</v>
      </c>
      <c r="AR90" t="e">
        <f>IF(X90=0,NA(),-'Drilling Spec'!$C$29*0.1)</f>
        <v>#N/A</v>
      </c>
      <c r="AS90" t="e">
        <f>IF(Y90=0,NA(),-'Drilling Spec'!$C$29*0.1)</f>
        <v>#N/A</v>
      </c>
      <c r="AT90" t="e">
        <f>IF(AB90=0,NA(),-'Drilling Spec'!$C$29*0.2)</f>
        <v>#N/A</v>
      </c>
      <c r="AU90" t="e">
        <f>IF(AC90=0,NA(),-'Drilling Spec'!$C$29*0.2)</f>
        <v>#N/A</v>
      </c>
      <c r="AV90" t="e">
        <f>IF(AH90=0,NA(),-'Drilling Spec'!$C$29*0.3)</f>
        <v>#N/A</v>
      </c>
      <c r="AW90" t="e">
        <f>IF(AI90=0,NA(),-'Drilling Spec'!$C$29*0.3)</f>
        <v>#N/A</v>
      </c>
      <c r="AX90" s="29">
        <f t="shared" si="32"/>
        <v>4.9082926829268239</v>
      </c>
      <c r="AY90" s="29">
        <f t="shared" si="33"/>
        <v>42.629578369148568</v>
      </c>
      <c r="AZ90" s="29">
        <f t="shared" si="37"/>
        <v>0</v>
      </c>
    </row>
    <row r="91" spans="1:52" x14ac:dyDescent="0.35">
      <c r="A91" s="28">
        <f t="shared" si="42"/>
        <v>46061</v>
      </c>
      <c r="B91" t="str">
        <f t="shared" si="20"/>
        <v>Sun</v>
      </c>
      <c r="C91" s="10"/>
      <c r="D91" s="10"/>
      <c r="E91" s="4">
        <f t="shared" si="21"/>
        <v>0</v>
      </c>
      <c r="F91" s="4">
        <f t="shared" si="22"/>
        <v>792</v>
      </c>
      <c r="G91" s="4">
        <f t="shared" si="23"/>
        <v>0</v>
      </c>
      <c r="H91" s="15">
        <f>(SQRT(4*I90*I90*V*V + 'Drilling Spec'!$C$42*I90 + W*('Drilling Spec'!$C$43 + 2*l*V*(s*W + 2*V*G91/(1+e)) + 'Drilling Spec'!$C$44)) - 'Drilling Spec'!$C$45)/(2*V)</f>
        <v>709.67645900268099</v>
      </c>
      <c r="I91" s="23">
        <f>IF(AND(OR(I90=0,I90=""),F91=0),IF(F92=0,"",'Drilling Spec'!$C$26),H91)</f>
        <v>709.67645900268099</v>
      </c>
      <c r="J91" s="16">
        <f>MAX(0,I91-'Drilling Spec'!$C$30)</f>
        <v>629.67645900268099</v>
      </c>
      <c r="K91" s="18">
        <f>IFERROR(J91/'Drilling Spec'!$C$31,0)</f>
        <v>41.978430600178733</v>
      </c>
      <c r="L91" s="21">
        <f t="shared" si="24"/>
        <v>0</v>
      </c>
      <c r="M91" s="4">
        <f t="shared" si="34"/>
        <v>132</v>
      </c>
      <c r="N91" s="21">
        <f t="shared" si="25"/>
        <v>0</v>
      </c>
      <c r="O91" s="18">
        <f>(SQRT(4*O90*O90*vB*vB + 'Drilling Spec'!$C$48*O90 + WB*('Drilling Spec'!$C$49 + 2*lB*vB*(sB*WB + 2*vB*N91/(1+eB)) + 'Drilling Spec'!$C$50)) - 'Drilling Spec'!$C$51)/(2*vB)</f>
        <v>723.46681615545504</v>
      </c>
      <c r="P91" s="18">
        <f>IFERROR(((S91-'Drilling Spec'!$C$30)/'Drilling Spec'!$C$31)*'Drilling Spec'!$C$32,0)</f>
        <v>38.608008969327301</v>
      </c>
      <c r="Q91" s="18">
        <f t="shared" si="35"/>
        <v>0</v>
      </c>
      <c r="R91" s="18"/>
      <c r="S91" s="26">
        <f>IF(AND(OR(T90=0,T90=""),M91=0),IF(M92=0,"",'Drilling Spec'!$C$30),O91)</f>
        <v>723.46681615545504</v>
      </c>
      <c r="U91" s="15">
        <f>E91*'Drilling Spec'!$C$22 + L91*'Drilling Spec'!$C$23</f>
        <v>0</v>
      </c>
      <c r="V91" s="15">
        <f t="shared" si="36"/>
        <v>19.091707317073169</v>
      </c>
      <c r="W91" s="15">
        <f t="shared" si="26"/>
        <v>4.9082926829268239</v>
      </c>
      <c r="X91" s="10"/>
      <c r="Y91" s="30">
        <f>IF(W91&lt;U92,'Drilling Spec'!$C$35,0)</f>
        <v>0</v>
      </c>
      <c r="AA91" s="4">
        <f t="shared" si="40"/>
        <v>46</v>
      </c>
      <c r="AB91" s="10"/>
      <c r="AC91" s="30">
        <f>IF('04-07-25-Scen5-WorstCargoJIT'!K92&gt;'04-07-25-Scen5-WorstCargoJIT'!AA91,'Drilling Spec'!$C$36,)</f>
        <v>0</v>
      </c>
      <c r="AE91" s="18">
        <f>(I91-'Drilling Spec'!$C$26)/'Drilling Spec'!$C$38</f>
        <v>106.61274316711349</v>
      </c>
      <c r="AF91" s="18">
        <f t="shared" si="27"/>
        <v>0</v>
      </c>
      <c r="AG91" s="34">
        <f t="shared" si="28"/>
        <v>0</v>
      </c>
      <c r="AH91" s="10"/>
      <c r="AI91" s="26">
        <f>IF(C91="Camp Closed",AG91,IF(AG91&lt;'Drilling Spec'!$C$39,,'Drilling Spec'!$C$39))</f>
        <v>0</v>
      </c>
      <c r="AL91" s="16">
        <f t="shared" si="29"/>
        <v>-709.67645900268099</v>
      </c>
      <c r="AM91" s="16">
        <f t="shared" si="30"/>
        <v>-723.46681615545504</v>
      </c>
      <c r="AN91">
        <f>-'Drilling Spec'!$C$29</f>
        <v>-720</v>
      </c>
      <c r="AO91">
        <f>-'Drilling Spec'!$C$27</f>
        <v>-624</v>
      </c>
      <c r="AP91">
        <f>-'Drilling Spec'!$C$28</f>
        <v>-688</v>
      </c>
      <c r="AQ91" t="e">
        <f t="shared" si="31"/>
        <v>#N/A</v>
      </c>
      <c r="AR91" t="e">
        <f>IF(X91=0,NA(),-'Drilling Spec'!$C$29*0.1)</f>
        <v>#N/A</v>
      </c>
      <c r="AS91" t="e">
        <f>IF(Y91=0,NA(),-'Drilling Spec'!$C$29*0.1)</f>
        <v>#N/A</v>
      </c>
      <c r="AT91" t="e">
        <f>IF(AB91=0,NA(),-'Drilling Spec'!$C$29*0.2)</f>
        <v>#N/A</v>
      </c>
      <c r="AU91" t="e">
        <f>IF(AC91=0,NA(),-'Drilling Spec'!$C$29*0.2)</f>
        <v>#N/A</v>
      </c>
      <c r="AV91" t="e">
        <f>IF(AH91=0,NA(),-'Drilling Spec'!$C$29*0.3)</f>
        <v>#N/A</v>
      </c>
      <c r="AW91" t="e">
        <f>IF(AI91=0,NA(),-'Drilling Spec'!$C$29*0.3)</f>
        <v>#N/A</v>
      </c>
      <c r="AX91" s="29">
        <f t="shared" si="32"/>
        <v>4.9082926829268239</v>
      </c>
      <c r="AY91" s="29">
        <f t="shared" si="33"/>
        <v>42.629578369148568</v>
      </c>
      <c r="AZ91" s="29">
        <f t="shared" si="37"/>
        <v>0</v>
      </c>
    </row>
    <row r="92" spans="1:52" x14ac:dyDescent="0.35">
      <c r="A92" s="28">
        <f t="shared" si="42"/>
        <v>46062</v>
      </c>
      <c r="B92" t="str">
        <f t="shared" si="20"/>
        <v>Mon</v>
      </c>
      <c r="C92" s="10"/>
      <c r="D92" s="10"/>
      <c r="E92" s="4">
        <f t="shared" si="21"/>
        <v>0</v>
      </c>
      <c r="F92" s="4">
        <f t="shared" si="22"/>
        <v>792</v>
      </c>
      <c r="G92" s="4">
        <f t="shared" si="23"/>
        <v>0</v>
      </c>
      <c r="H92" s="15">
        <f>(SQRT(4*I91*I91*V*V + 'Drilling Spec'!$C$42*I91 + W*('Drilling Spec'!$C$43 + 2*l*V*(s*W + 2*V*G92/(1+e)) + 'Drilling Spec'!$C$44)) - 'Drilling Spec'!$C$45)/(2*V)</f>
        <v>709.67645900268099</v>
      </c>
      <c r="I92" s="23">
        <f>IF(AND(OR(I91=0,I91=""),F92=0),IF(F93=0,"",'Drilling Spec'!$C$26),H92)</f>
        <v>709.67645900268099</v>
      </c>
      <c r="J92" s="16">
        <f>MAX(0,I92-'Drilling Spec'!$C$30)</f>
        <v>629.67645900268099</v>
      </c>
      <c r="K92" s="18">
        <f>IFERROR(J92/'Drilling Spec'!$C$31,0)</f>
        <v>41.978430600178733</v>
      </c>
      <c r="L92" s="21">
        <f t="shared" si="24"/>
        <v>0</v>
      </c>
      <c r="M92" s="4">
        <f t="shared" si="34"/>
        <v>132</v>
      </c>
      <c r="N92" s="21">
        <f t="shared" si="25"/>
        <v>0</v>
      </c>
      <c r="O92" s="18">
        <f>(SQRT(4*O91*O91*vB*vB + 'Drilling Spec'!$C$48*O91 + WB*('Drilling Spec'!$C$49 + 2*lB*vB*(sB*WB + 2*vB*N92/(1+eB)) + 'Drilling Spec'!$C$50)) - 'Drilling Spec'!$C$51)/(2*vB)</f>
        <v>723.46681615545504</v>
      </c>
      <c r="P92" s="18">
        <f>IFERROR(((S92-'Drilling Spec'!$C$30)/'Drilling Spec'!$C$31)*'Drilling Spec'!$C$32,0)</f>
        <v>38.608008969327301</v>
      </c>
      <c r="Q92" s="18">
        <f t="shared" si="35"/>
        <v>0</v>
      </c>
      <c r="R92" s="18"/>
      <c r="S92" s="26">
        <f>IF(AND(OR(T91=0,T91=""),M92=0),IF(M93=0,"",'Drilling Spec'!$C$30),O92)</f>
        <v>723.46681615545504</v>
      </c>
      <c r="U92" s="15">
        <f>E92*'Drilling Spec'!$C$22 + L92*'Drilling Spec'!$C$23</f>
        <v>0</v>
      </c>
      <c r="V92" s="15">
        <f t="shared" si="36"/>
        <v>19.091707317073169</v>
      </c>
      <c r="W92" s="15">
        <f t="shared" si="26"/>
        <v>4.9082926829268239</v>
      </c>
      <c r="X92" s="10"/>
      <c r="Y92" s="30">
        <f>IF(W92&lt;U93,'Drilling Spec'!$C$35,0)</f>
        <v>0</v>
      </c>
      <c r="AA92" s="4">
        <f t="shared" si="40"/>
        <v>46</v>
      </c>
      <c r="AB92" s="10"/>
      <c r="AC92" s="30">
        <f>IF('04-07-25-Scen5-WorstCargoJIT'!K93&gt;'04-07-25-Scen5-WorstCargoJIT'!AA92,'Drilling Spec'!$C$36,)</f>
        <v>0</v>
      </c>
      <c r="AE92" s="18">
        <f>(I92-'Drilling Spec'!$C$26)/'Drilling Spec'!$C$38</f>
        <v>106.61274316711349</v>
      </c>
      <c r="AF92" s="18">
        <f t="shared" si="27"/>
        <v>0</v>
      </c>
      <c r="AG92" s="34">
        <f t="shared" si="28"/>
        <v>0</v>
      </c>
      <c r="AH92" s="10"/>
      <c r="AI92" s="26">
        <f>IF(C92="Camp Closed",AG92,IF(AG92&lt;'Drilling Spec'!$C$39,,'Drilling Spec'!$C$39))</f>
        <v>0</v>
      </c>
      <c r="AL92" s="16">
        <f t="shared" si="29"/>
        <v>-709.67645900268099</v>
      </c>
      <c r="AM92" s="16">
        <f t="shared" si="30"/>
        <v>-723.46681615545504</v>
      </c>
      <c r="AN92">
        <f>-'Drilling Spec'!$C$29</f>
        <v>-720</v>
      </c>
      <c r="AO92">
        <f>-'Drilling Spec'!$C$27</f>
        <v>-624</v>
      </c>
      <c r="AP92">
        <f>-'Drilling Spec'!$C$28</f>
        <v>-688</v>
      </c>
      <c r="AQ92" t="e">
        <f t="shared" si="31"/>
        <v>#N/A</v>
      </c>
      <c r="AR92" t="e">
        <f>IF(X92=0,NA(),-'Drilling Spec'!$C$29*0.1)</f>
        <v>#N/A</v>
      </c>
      <c r="AS92" t="e">
        <f>IF(Y92=0,NA(),-'Drilling Spec'!$C$29*0.1)</f>
        <v>#N/A</v>
      </c>
      <c r="AT92" t="e">
        <f>IF(AB92=0,NA(),-'Drilling Spec'!$C$29*0.2)</f>
        <v>#N/A</v>
      </c>
      <c r="AU92" t="e">
        <f>IF(AC92=0,NA(),-'Drilling Spec'!$C$29*0.2)</f>
        <v>#N/A</v>
      </c>
      <c r="AV92" t="e">
        <f>IF(AH92=0,NA(),-'Drilling Spec'!$C$29*0.3)</f>
        <v>#N/A</v>
      </c>
      <c r="AW92" t="e">
        <f>IF(AI92=0,NA(),-'Drilling Spec'!$C$29*0.3)</f>
        <v>#N/A</v>
      </c>
      <c r="AX92" s="29">
        <f t="shared" si="32"/>
        <v>4.9082926829268239</v>
      </c>
      <c r="AY92" s="29">
        <f t="shared" si="33"/>
        <v>42.629578369148568</v>
      </c>
      <c r="AZ92" s="29">
        <f t="shared" si="37"/>
        <v>0</v>
      </c>
    </row>
    <row r="93" spans="1:52" x14ac:dyDescent="0.35">
      <c r="A93" s="28">
        <f t="shared" si="42"/>
        <v>46063</v>
      </c>
      <c r="B93" t="str">
        <f t="shared" si="20"/>
        <v>Tue</v>
      </c>
      <c r="C93" s="10"/>
      <c r="D93" s="10"/>
      <c r="E93" s="4">
        <f t="shared" si="21"/>
        <v>0</v>
      </c>
      <c r="F93" s="4">
        <f t="shared" si="22"/>
        <v>792</v>
      </c>
      <c r="G93" s="4">
        <f t="shared" si="23"/>
        <v>0</v>
      </c>
      <c r="H93" s="15">
        <f>(SQRT(4*I92*I92*V*V + 'Drilling Spec'!$C$42*I92 + W*('Drilling Spec'!$C$43 + 2*l*V*(s*W + 2*V*G93/(1+e)) + 'Drilling Spec'!$C$44)) - 'Drilling Spec'!$C$45)/(2*V)</f>
        <v>709.67645900268099</v>
      </c>
      <c r="I93" s="23">
        <f>IF(AND(OR(I92=0,I92=""),F93=0),IF(F94=0,"",'Drilling Spec'!$C$26),H93)</f>
        <v>709.67645900268099</v>
      </c>
      <c r="J93" s="16">
        <f>MAX(0,I93-'Drilling Spec'!$C$30)</f>
        <v>629.67645900268099</v>
      </c>
      <c r="K93" s="18">
        <f>IFERROR(J93/'Drilling Spec'!$C$31,0)</f>
        <v>41.978430600178733</v>
      </c>
      <c r="L93" s="21">
        <f t="shared" si="24"/>
        <v>0</v>
      </c>
      <c r="M93" s="4">
        <f t="shared" si="34"/>
        <v>132</v>
      </c>
      <c r="N93" s="21">
        <f t="shared" si="25"/>
        <v>0</v>
      </c>
      <c r="O93" s="18">
        <f>(SQRT(4*O92*O92*vB*vB + 'Drilling Spec'!$C$48*O92 + WB*('Drilling Spec'!$C$49 + 2*lB*vB*(sB*WB + 2*vB*N93/(1+eB)) + 'Drilling Spec'!$C$50)) - 'Drilling Spec'!$C$51)/(2*vB)</f>
        <v>723.46681615545504</v>
      </c>
      <c r="P93" s="18">
        <f>IFERROR(((S93-'Drilling Spec'!$C$30)/'Drilling Spec'!$C$31)*'Drilling Spec'!$C$32,0)</f>
        <v>38.608008969327301</v>
      </c>
      <c r="Q93" s="18">
        <f t="shared" si="35"/>
        <v>0</v>
      </c>
      <c r="R93" s="18"/>
      <c r="S93" s="26">
        <f>IF(AND(OR(T92=0,T92=""),M93=0),IF(M94=0,"",'Drilling Spec'!$C$30),O93)</f>
        <v>723.46681615545504</v>
      </c>
      <c r="U93" s="15">
        <f>E93*'Drilling Spec'!$C$22 + L93*'Drilling Spec'!$C$23</f>
        <v>0</v>
      </c>
      <c r="V93" s="15">
        <f t="shared" si="36"/>
        <v>19.091707317073169</v>
      </c>
      <c r="W93" s="15">
        <f t="shared" si="26"/>
        <v>4.9082926829268239</v>
      </c>
      <c r="X93" s="10"/>
      <c r="Y93" s="30">
        <f>IF(W93&lt;U94,'Drilling Spec'!$C$35,0)</f>
        <v>0</v>
      </c>
      <c r="AA93" s="4">
        <f t="shared" si="40"/>
        <v>46</v>
      </c>
      <c r="AB93" s="10"/>
      <c r="AC93" s="30">
        <f>IF('04-07-25-Scen5-WorstCargoJIT'!K94&gt;'04-07-25-Scen5-WorstCargoJIT'!AA93,'Drilling Spec'!$C$36,)</f>
        <v>0</v>
      </c>
      <c r="AE93" s="18">
        <f>(I93-'Drilling Spec'!$C$26)/'Drilling Spec'!$C$38</f>
        <v>106.61274316711349</v>
      </c>
      <c r="AF93" s="18">
        <f t="shared" si="27"/>
        <v>0</v>
      </c>
      <c r="AG93" s="34">
        <f t="shared" si="28"/>
        <v>0</v>
      </c>
      <c r="AH93" s="10"/>
      <c r="AI93" s="26">
        <f>IF(C93="Camp Closed",AG93,IF(AG93&lt;'Drilling Spec'!$C$39,,'Drilling Spec'!$C$39))</f>
        <v>0</v>
      </c>
      <c r="AL93" s="16">
        <f t="shared" si="29"/>
        <v>-709.67645900268099</v>
      </c>
      <c r="AM93" s="16">
        <f t="shared" si="30"/>
        <v>-723.46681615545504</v>
      </c>
      <c r="AN93">
        <f>-'Drilling Spec'!$C$29</f>
        <v>-720</v>
      </c>
      <c r="AO93">
        <f>-'Drilling Spec'!$C$27</f>
        <v>-624</v>
      </c>
      <c r="AP93">
        <f>-'Drilling Spec'!$C$28</f>
        <v>-688</v>
      </c>
      <c r="AQ93" t="e">
        <f t="shared" si="31"/>
        <v>#N/A</v>
      </c>
      <c r="AR93" t="e">
        <f>IF(X93=0,NA(),-'Drilling Spec'!$C$29*0.1)</f>
        <v>#N/A</v>
      </c>
      <c r="AS93" t="e">
        <f>IF(Y93=0,NA(),-'Drilling Spec'!$C$29*0.1)</f>
        <v>#N/A</v>
      </c>
      <c r="AT93" t="e">
        <f>IF(AB93=0,NA(),-'Drilling Spec'!$C$29*0.2)</f>
        <v>#N/A</v>
      </c>
      <c r="AU93" t="e">
        <f>IF(AC93=0,NA(),-'Drilling Spec'!$C$29*0.2)</f>
        <v>#N/A</v>
      </c>
      <c r="AV93" t="e">
        <f>IF(AH93=0,NA(),-'Drilling Spec'!$C$29*0.3)</f>
        <v>#N/A</v>
      </c>
      <c r="AW93" t="e">
        <f>IF(AI93=0,NA(),-'Drilling Spec'!$C$29*0.3)</f>
        <v>#N/A</v>
      </c>
      <c r="AX93" s="29">
        <f t="shared" si="32"/>
        <v>4.9082926829268239</v>
      </c>
      <c r="AY93" s="29">
        <f t="shared" si="33"/>
        <v>42.629578369148568</v>
      </c>
      <c r="AZ93" s="29">
        <f t="shared" si="37"/>
        <v>0</v>
      </c>
    </row>
    <row r="94" spans="1:52" x14ac:dyDescent="0.35">
      <c r="A94" s="28">
        <f t="shared" si="42"/>
        <v>46064</v>
      </c>
      <c r="B94" t="str">
        <f t="shared" si="20"/>
        <v>Wed</v>
      </c>
      <c r="C94" s="10"/>
      <c r="D94" s="10"/>
      <c r="E94" s="4">
        <f t="shared" si="21"/>
        <v>0</v>
      </c>
      <c r="F94" s="4">
        <f t="shared" si="22"/>
        <v>792</v>
      </c>
      <c r="G94" s="4">
        <f t="shared" si="23"/>
        <v>0</v>
      </c>
      <c r="H94" s="15">
        <f>(SQRT(4*I93*I93*V*V + 'Drilling Spec'!$C$42*I93 + W*('Drilling Spec'!$C$43 + 2*l*V*(s*W + 2*V*G94/(1+e)) + 'Drilling Spec'!$C$44)) - 'Drilling Spec'!$C$45)/(2*V)</f>
        <v>709.67645900268099</v>
      </c>
      <c r="I94" s="23">
        <f>IF(AND(OR(I93=0,I93=""),F94=0),IF(F95=0,"",'Drilling Spec'!$C$26),H94)</f>
        <v>709.67645900268099</v>
      </c>
      <c r="J94" s="16">
        <f>MAX(0,I94-'Drilling Spec'!$C$30)</f>
        <v>629.67645900268099</v>
      </c>
      <c r="K94" s="18">
        <f>IFERROR(J94/'Drilling Spec'!$C$31,0)</f>
        <v>41.978430600178733</v>
      </c>
      <c r="L94" s="21">
        <f t="shared" si="24"/>
        <v>0</v>
      </c>
      <c r="M94" s="4">
        <f t="shared" si="34"/>
        <v>132</v>
      </c>
      <c r="N94" s="21">
        <f t="shared" si="25"/>
        <v>0</v>
      </c>
      <c r="O94" s="18">
        <f>(SQRT(4*O93*O93*vB*vB + 'Drilling Spec'!$C$48*O93 + WB*('Drilling Spec'!$C$49 + 2*lB*vB*(sB*WB + 2*vB*N94/(1+eB)) + 'Drilling Spec'!$C$50)) - 'Drilling Spec'!$C$51)/(2*vB)</f>
        <v>723.46681615545504</v>
      </c>
      <c r="P94" s="18">
        <f>IFERROR(((S94-'Drilling Spec'!$C$30)/'Drilling Spec'!$C$31)*'Drilling Spec'!$C$32,0)</f>
        <v>38.608008969327301</v>
      </c>
      <c r="Q94" s="18">
        <f t="shared" si="35"/>
        <v>0</v>
      </c>
      <c r="R94" s="18"/>
      <c r="S94" s="26">
        <f>IF(AND(OR(T93=0,T93=""),M94=0),IF(M95=0,"",'Drilling Spec'!$C$30),O94)</f>
        <v>723.46681615545504</v>
      </c>
      <c r="U94" s="15">
        <f>E94*'Drilling Spec'!$C$22 + L94*'Drilling Spec'!$C$23</f>
        <v>0</v>
      </c>
      <c r="V94" s="15">
        <f t="shared" si="36"/>
        <v>19.091707317073169</v>
      </c>
      <c r="W94" s="15">
        <f t="shared" si="26"/>
        <v>4.9082926829268239</v>
      </c>
      <c r="X94" s="10"/>
      <c r="Y94" s="30">
        <f>IF(W94&lt;U95,'Drilling Spec'!$C$35,0)</f>
        <v>0</v>
      </c>
      <c r="AA94" s="4">
        <f t="shared" si="40"/>
        <v>46</v>
      </c>
      <c r="AB94" s="10"/>
      <c r="AC94" s="30">
        <f>IF('04-07-25-Scen5-WorstCargoJIT'!K95&gt;'04-07-25-Scen5-WorstCargoJIT'!AA94,'Drilling Spec'!$C$36,)</f>
        <v>0</v>
      </c>
      <c r="AE94" s="18">
        <f>(I94-'Drilling Spec'!$C$26)/'Drilling Spec'!$C$38</f>
        <v>106.61274316711349</v>
      </c>
      <c r="AF94" s="18">
        <f t="shared" si="27"/>
        <v>0</v>
      </c>
      <c r="AG94" s="34">
        <f t="shared" si="28"/>
        <v>0</v>
      </c>
      <c r="AH94" s="10"/>
      <c r="AI94" s="26">
        <f>IF(C94="Camp Closed",AG94,IF(AG94&lt;'Drilling Spec'!$C$39,,'Drilling Spec'!$C$39))</f>
        <v>0</v>
      </c>
      <c r="AL94" s="16">
        <f t="shared" si="29"/>
        <v>-709.67645900268099</v>
      </c>
      <c r="AM94" s="16">
        <f t="shared" si="30"/>
        <v>-723.46681615545504</v>
      </c>
      <c r="AN94">
        <f>-'Drilling Spec'!$C$29</f>
        <v>-720</v>
      </c>
      <c r="AO94">
        <f>-'Drilling Spec'!$C$27</f>
        <v>-624</v>
      </c>
      <c r="AP94">
        <f>-'Drilling Spec'!$C$28</f>
        <v>-688</v>
      </c>
      <c r="AQ94" t="e">
        <f t="shared" si="31"/>
        <v>#N/A</v>
      </c>
      <c r="AR94" t="e">
        <f>IF(X94=0,NA(),-'Drilling Spec'!$C$29*0.1)</f>
        <v>#N/A</v>
      </c>
      <c r="AS94" t="e">
        <f>IF(Y94=0,NA(),-'Drilling Spec'!$C$29*0.1)</f>
        <v>#N/A</v>
      </c>
      <c r="AT94" t="e">
        <f>IF(AB94=0,NA(),-'Drilling Spec'!$C$29*0.2)</f>
        <v>#N/A</v>
      </c>
      <c r="AU94" t="e">
        <f>IF(AC94=0,NA(),-'Drilling Spec'!$C$29*0.2)</f>
        <v>#N/A</v>
      </c>
      <c r="AV94" t="e">
        <f>IF(AH94=0,NA(),-'Drilling Spec'!$C$29*0.3)</f>
        <v>#N/A</v>
      </c>
      <c r="AW94" t="e">
        <f>IF(AI94=0,NA(),-'Drilling Spec'!$C$29*0.3)</f>
        <v>#N/A</v>
      </c>
      <c r="AX94" s="29">
        <f t="shared" si="32"/>
        <v>4.9082926829268239</v>
      </c>
      <c r="AY94" s="29">
        <f t="shared" si="33"/>
        <v>42.629578369148568</v>
      </c>
      <c r="AZ94" s="29">
        <f t="shared" si="37"/>
        <v>0</v>
      </c>
    </row>
    <row r="95" spans="1:52" x14ac:dyDescent="0.35">
      <c r="A95" s="28">
        <f t="shared" si="42"/>
        <v>46065</v>
      </c>
      <c r="B95" t="str">
        <f t="shared" si="20"/>
        <v>Thu</v>
      </c>
      <c r="C95" s="10"/>
      <c r="D95" s="10"/>
      <c r="E95" s="4">
        <f t="shared" si="21"/>
        <v>0</v>
      </c>
      <c r="F95" s="4">
        <f t="shared" si="22"/>
        <v>792</v>
      </c>
      <c r="G95" s="4">
        <f t="shared" si="23"/>
        <v>0</v>
      </c>
      <c r="H95" s="15">
        <f>(SQRT(4*I94*I94*V*V + 'Drilling Spec'!$C$42*I94 + W*('Drilling Spec'!$C$43 + 2*l*V*(s*W + 2*V*G95/(1+e)) + 'Drilling Spec'!$C$44)) - 'Drilling Spec'!$C$45)/(2*V)</f>
        <v>709.67645900268099</v>
      </c>
      <c r="I95" s="23">
        <f>IF(AND(OR(I94=0,I94=""),F95=0),IF(F96=0,"",'Drilling Spec'!$C$26),H95)</f>
        <v>709.67645900268099</v>
      </c>
      <c r="J95" s="16">
        <f>MAX(0,I95-'Drilling Spec'!$C$30)</f>
        <v>629.67645900268099</v>
      </c>
      <c r="K95" s="18">
        <f>IFERROR(J95/'Drilling Spec'!$C$31,0)</f>
        <v>41.978430600178733</v>
      </c>
      <c r="L95" s="21">
        <f t="shared" si="24"/>
        <v>0</v>
      </c>
      <c r="M95" s="4">
        <f t="shared" si="34"/>
        <v>132</v>
      </c>
      <c r="N95" s="21">
        <f t="shared" si="25"/>
        <v>0</v>
      </c>
      <c r="O95" s="18">
        <f>(SQRT(4*O94*O94*vB*vB + 'Drilling Spec'!$C$48*O94 + WB*('Drilling Spec'!$C$49 + 2*lB*vB*(sB*WB + 2*vB*N95/(1+eB)) + 'Drilling Spec'!$C$50)) - 'Drilling Spec'!$C$51)/(2*vB)</f>
        <v>723.46681615545504</v>
      </c>
      <c r="P95" s="18">
        <f>IFERROR(((S95-'Drilling Spec'!$C$30)/'Drilling Spec'!$C$31)*'Drilling Spec'!$C$32,0)</f>
        <v>38.608008969327301</v>
      </c>
      <c r="Q95" s="18">
        <f t="shared" si="35"/>
        <v>0</v>
      </c>
      <c r="R95" s="18"/>
      <c r="S95" s="26">
        <f>IF(AND(OR(T94=0,T94=""),M95=0),IF(M96=0,"",'Drilling Spec'!$C$30),O95)</f>
        <v>723.46681615545504</v>
      </c>
      <c r="U95" s="15">
        <f>E95*'Drilling Spec'!$C$22 + L95*'Drilling Spec'!$C$23</f>
        <v>0</v>
      </c>
      <c r="V95" s="15">
        <f t="shared" si="36"/>
        <v>19.091707317073169</v>
      </c>
      <c r="W95" s="15">
        <f t="shared" si="26"/>
        <v>4.9082926829268239</v>
      </c>
      <c r="X95" s="10"/>
      <c r="Y95" s="30">
        <f>IF(W95&lt;U96,'Drilling Spec'!$C$35,0)</f>
        <v>0</v>
      </c>
      <c r="AA95" s="4">
        <f t="shared" si="40"/>
        <v>46</v>
      </c>
      <c r="AB95" s="10"/>
      <c r="AC95" s="30">
        <f>IF('04-07-25-Scen5-WorstCargoJIT'!K96&gt;'04-07-25-Scen5-WorstCargoJIT'!AA95,'Drilling Spec'!$C$36,)</f>
        <v>0</v>
      </c>
      <c r="AE95" s="18">
        <f>(I95-'Drilling Spec'!$C$26)/'Drilling Spec'!$C$38</f>
        <v>106.61274316711349</v>
      </c>
      <c r="AF95" s="18">
        <f t="shared" si="27"/>
        <v>0</v>
      </c>
      <c r="AG95" s="34">
        <f t="shared" si="28"/>
        <v>0</v>
      </c>
      <c r="AH95" s="10"/>
      <c r="AI95" s="26">
        <f>IF(C95="Camp Closed",AG95,IF(AG95&lt;'Drilling Spec'!$C$39,,'Drilling Spec'!$C$39))</f>
        <v>0</v>
      </c>
      <c r="AL95" s="16">
        <f t="shared" si="29"/>
        <v>-709.67645900268099</v>
      </c>
      <c r="AM95" s="16">
        <f t="shared" si="30"/>
        <v>-723.46681615545504</v>
      </c>
      <c r="AN95">
        <f>-'Drilling Spec'!$C$29</f>
        <v>-720</v>
      </c>
      <c r="AO95">
        <f>-'Drilling Spec'!$C$27</f>
        <v>-624</v>
      </c>
      <c r="AP95">
        <f>-'Drilling Spec'!$C$28</f>
        <v>-688</v>
      </c>
      <c r="AQ95" t="e">
        <f t="shared" si="31"/>
        <v>#N/A</v>
      </c>
      <c r="AR95" t="e">
        <f>IF(X95=0,NA(),-'Drilling Spec'!$C$29*0.1)</f>
        <v>#N/A</v>
      </c>
      <c r="AS95" t="e">
        <f>IF(Y95=0,NA(),-'Drilling Spec'!$C$29*0.1)</f>
        <v>#N/A</v>
      </c>
      <c r="AT95" t="e">
        <f>IF(AB95=0,NA(),-'Drilling Spec'!$C$29*0.2)</f>
        <v>#N/A</v>
      </c>
      <c r="AU95" t="e">
        <f>IF(AC95=0,NA(),-'Drilling Spec'!$C$29*0.2)</f>
        <v>#N/A</v>
      </c>
      <c r="AV95" t="e">
        <f>IF(AH95=0,NA(),-'Drilling Spec'!$C$29*0.3)</f>
        <v>#N/A</v>
      </c>
      <c r="AW95" t="e">
        <f>IF(AI95=0,NA(),-'Drilling Spec'!$C$29*0.3)</f>
        <v>#N/A</v>
      </c>
      <c r="AX95" s="29">
        <f t="shared" si="32"/>
        <v>4.9082926829268239</v>
      </c>
      <c r="AY95" s="29">
        <f t="shared" si="33"/>
        <v>42.629578369148568</v>
      </c>
      <c r="AZ95" s="29">
        <f t="shared" si="37"/>
        <v>0</v>
      </c>
    </row>
    <row r="96" spans="1:52" x14ac:dyDescent="0.35">
      <c r="A96" s="28">
        <f t="shared" si="42"/>
        <v>46066</v>
      </c>
      <c r="B96" t="str">
        <f t="shared" si="20"/>
        <v>Fri</v>
      </c>
      <c r="C96" s="10"/>
      <c r="D96" s="10"/>
      <c r="E96" s="4">
        <f t="shared" si="21"/>
        <v>0</v>
      </c>
      <c r="F96" s="4">
        <f t="shared" si="22"/>
        <v>792</v>
      </c>
      <c r="G96" s="4">
        <f t="shared" si="23"/>
        <v>0</v>
      </c>
      <c r="H96" s="15">
        <f>(SQRT(4*I95*I95*V*V + 'Drilling Spec'!$C$42*I95 + W*('Drilling Spec'!$C$43 + 2*l*V*(s*W + 2*V*G96/(1+e)) + 'Drilling Spec'!$C$44)) - 'Drilling Spec'!$C$45)/(2*V)</f>
        <v>709.67645900268099</v>
      </c>
      <c r="I96" s="23">
        <f>IF(AND(OR(I95=0,I95=""),F96=0),IF(F97=0,"",'Drilling Spec'!$C$26),H96)</f>
        <v>709.67645900268099</v>
      </c>
      <c r="J96" s="16">
        <f>MAX(0,I96-'Drilling Spec'!$C$30)</f>
        <v>629.67645900268099</v>
      </c>
      <c r="K96" s="18">
        <f>IFERROR(J96/'Drilling Spec'!$C$31,0)</f>
        <v>41.978430600178733</v>
      </c>
      <c r="L96" s="21">
        <f t="shared" si="24"/>
        <v>0</v>
      </c>
      <c r="M96" s="4">
        <f t="shared" si="34"/>
        <v>132</v>
      </c>
      <c r="N96" s="21">
        <f t="shared" si="25"/>
        <v>0</v>
      </c>
      <c r="O96" s="18">
        <f>(SQRT(4*O95*O95*vB*vB + 'Drilling Spec'!$C$48*O95 + WB*('Drilling Spec'!$C$49 + 2*lB*vB*(sB*WB + 2*vB*N96/(1+eB)) + 'Drilling Spec'!$C$50)) - 'Drilling Spec'!$C$51)/(2*vB)</f>
        <v>723.46681615545504</v>
      </c>
      <c r="P96" s="18">
        <f>IFERROR(((S96-'Drilling Spec'!$C$30)/'Drilling Spec'!$C$31)*'Drilling Spec'!$C$32,0)</f>
        <v>38.608008969327301</v>
      </c>
      <c r="Q96" s="18">
        <f t="shared" si="35"/>
        <v>0</v>
      </c>
      <c r="R96" s="18"/>
      <c r="S96" s="26">
        <f>IF(AND(OR(T95=0,T95=""),M96=0),IF(M97=0,"",'Drilling Spec'!$C$30),O96)</f>
        <v>723.46681615545504</v>
      </c>
      <c r="U96" s="15">
        <f>E96*'Drilling Spec'!$C$22 + L96*'Drilling Spec'!$C$23</f>
        <v>0</v>
      </c>
      <c r="V96" s="15">
        <f t="shared" si="36"/>
        <v>19.091707317073169</v>
      </c>
      <c r="W96" s="15">
        <f t="shared" si="26"/>
        <v>4.9082926829268239</v>
      </c>
      <c r="X96" s="10"/>
      <c r="Y96" s="30">
        <f>IF(W96&lt;U97,'Drilling Spec'!$C$35,0)</f>
        <v>0</v>
      </c>
      <c r="AA96" s="4">
        <f t="shared" si="40"/>
        <v>46</v>
      </c>
      <c r="AB96" s="10"/>
      <c r="AC96" s="30">
        <f>IF('04-07-25-Scen5-WorstCargoJIT'!K97&gt;'04-07-25-Scen5-WorstCargoJIT'!AA96,'Drilling Spec'!$C$36,)</f>
        <v>0</v>
      </c>
      <c r="AE96" s="18">
        <f>(I96-'Drilling Spec'!$C$26)/'Drilling Spec'!$C$38</f>
        <v>106.61274316711349</v>
      </c>
      <c r="AF96" s="18">
        <f t="shared" si="27"/>
        <v>0</v>
      </c>
      <c r="AG96" s="34">
        <f t="shared" si="28"/>
        <v>0</v>
      </c>
      <c r="AH96" s="10"/>
      <c r="AI96" s="26">
        <f>IF(C96="Camp Closed",AG96,IF(AG96&lt;'Drilling Spec'!$C$39,,'Drilling Spec'!$C$39))</f>
        <v>0</v>
      </c>
      <c r="AL96" s="16">
        <f t="shared" si="29"/>
        <v>-709.67645900268099</v>
      </c>
      <c r="AM96" s="16">
        <f t="shared" si="30"/>
        <v>-723.46681615545504</v>
      </c>
      <c r="AN96">
        <f>-'Drilling Spec'!$C$29</f>
        <v>-720</v>
      </c>
      <c r="AO96">
        <f>-'Drilling Spec'!$C$27</f>
        <v>-624</v>
      </c>
      <c r="AP96">
        <f>-'Drilling Spec'!$C$28</f>
        <v>-688</v>
      </c>
      <c r="AQ96" t="e">
        <f t="shared" si="31"/>
        <v>#N/A</v>
      </c>
      <c r="AR96" t="e">
        <f>IF(X96=0,NA(),-'Drilling Spec'!$C$29*0.1)</f>
        <v>#N/A</v>
      </c>
      <c r="AS96" t="e">
        <f>IF(Y96=0,NA(),-'Drilling Spec'!$C$29*0.1)</f>
        <v>#N/A</v>
      </c>
      <c r="AT96" t="e">
        <f>IF(AB96=0,NA(),-'Drilling Spec'!$C$29*0.2)</f>
        <v>#N/A</v>
      </c>
      <c r="AU96" t="e">
        <f>IF(AC96=0,NA(),-'Drilling Spec'!$C$29*0.2)</f>
        <v>#N/A</v>
      </c>
      <c r="AV96" t="e">
        <f>IF(AH96=0,NA(),-'Drilling Spec'!$C$29*0.3)</f>
        <v>#N/A</v>
      </c>
      <c r="AW96" t="e">
        <f>IF(AI96=0,NA(),-'Drilling Spec'!$C$29*0.3)</f>
        <v>#N/A</v>
      </c>
      <c r="AX96" s="29">
        <f t="shared" si="32"/>
        <v>4.9082926829268239</v>
      </c>
      <c r="AY96" s="29">
        <f t="shared" si="33"/>
        <v>42.629578369148568</v>
      </c>
      <c r="AZ96" s="29">
        <f t="shared" si="37"/>
        <v>0</v>
      </c>
    </row>
    <row r="97" spans="1:52" x14ac:dyDescent="0.35">
      <c r="A97" s="28">
        <f t="shared" si="42"/>
        <v>46067</v>
      </c>
      <c r="B97" t="str">
        <f t="shared" si="20"/>
        <v>Sat</v>
      </c>
      <c r="C97" s="10"/>
      <c r="D97" s="10"/>
      <c r="E97" s="4">
        <f t="shared" si="21"/>
        <v>0</v>
      </c>
      <c r="F97" s="4">
        <f t="shared" si="22"/>
        <v>792</v>
      </c>
      <c r="G97" s="4">
        <f t="shared" si="23"/>
        <v>0</v>
      </c>
      <c r="H97" s="15">
        <f>(SQRT(4*I96*I96*V*V + 'Drilling Spec'!$C$42*I96 + W*('Drilling Spec'!$C$43 + 2*l*V*(s*W + 2*V*G97/(1+e)) + 'Drilling Spec'!$C$44)) - 'Drilling Spec'!$C$45)/(2*V)</f>
        <v>709.67645900268099</v>
      </c>
      <c r="I97" s="23">
        <f>IF(AND(OR(I96=0,I96=""),F97=0),IF(F98=0,"",'Drilling Spec'!$C$26),H97)</f>
        <v>709.67645900268099</v>
      </c>
      <c r="J97" s="16">
        <f>MAX(0,I97-'Drilling Spec'!$C$30)</f>
        <v>629.67645900268099</v>
      </c>
      <c r="K97" s="18">
        <f>IFERROR(J97/'Drilling Spec'!$C$31,0)</f>
        <v>41.978430600178733</v>
      </c>
      <c r="L97" s="21">
        <f t="shared" si="24"/>
        <v>0</v>
      </c>
      <c r="M97" s="4">
        <f t="shared" si="34"/>
        <v>132</v>
      </c>
      <c r="N97" s="21">
        <f t="shared" si="25"/>
        <v>0</v>
      </c>
      <c r="O97" s="18">
        <f>(SQRT(4*O96*O96*vB*vB + 'Drilling Spec'!$C$48*O96 + WB*('Drilling Spec'!$C$49 + 2*lB*vB*(sB*WB + 2*vB*N97/(1+eB)) + 'Drilling Spec'!$C$50)) - 'Drilling Spec'!$C$51)/(2*vB)</f>
        <v>723.46681615545504</v>
      </c>
      <c r="P97" s="18">
        <f>IFERROR(((S97-'Drilling Spec'!$C$30)/'Drilling Spec'!$C$31)*'Drilling Spec'!$C$32,0)</f>
        <v>38.608008969327301</v>
      </c>
      <c r="Q97" s="18">
        <f t="shared" si="35"/>
        <v>0</v>
      </c>
      <c r="R97" s="18"/>
      <c r="S97" s="26">
        <f>IF(AND(OR(T96=0,T96=""),M97=0),IF(M98=0,"",'Drilling Spec'!$C$30),O97)</f>
        <v>723.46681615545504</v>
      </c>
      <c r="U97" s="15">
        <f>E97*'Drilling Spec'!$C$22 + L97*'Drilling Spec'!$C$23</f>
        <v>0</v>
      </c>
      <c r="V97" s="15">
        <f t="shared" si="36"/>
        <v>19.091707317073169</v>
      </c>
      <c r="W97" s="15">
        <f t="shared" si="26"/>
        <v>4.9082926829268239</v>
      </c>
      <c r="X97" s="10"/>
      <c r="Y97" s="30">
        <f>IF(W97&lt;U98,'Drilling Spec'!$C$35,0)</f>
        <v>0</v>
      </c>
      <c r="AA97" s="4">
        <f t="shared" si="40"/>
        <v>46</v>
      </c>
      <c r="AB97" s="10"/>
      <c r="AC97" s="30">
        <f>IF('04-07-25-Scen5-WorstCargoJIT'!K98&gt;'04-07-25-Scen5-WorstCargoJIT'!AA97,'Drilling Spec'!$C$36,)</f>
        <v>0</v>
      </c>
      <c r="AE97" s="18">
        <f>(I97-'Drilling Spec'!$C$26)/'Drilling Spec'!$C$38</f>
        <v>106.61274316711349</v>
      </c>
      <c r="AF97" s="18">
        <f t="shared" si="27"/>
        <v>0</v>
      </c>
      <c r="AG97" s="34">
        <f t="shared" si="28"/>
        <v>0</v>
      </c>
      <c r="AH97" s="10"/>
      <c r="AI97" s="26">
        <f>IF(C97="Camp Closed",AG97,IF(AG97&lt;'Drilling Spec'!$C$39,,'Drilling Spec'!$C$39))</f>
        <v>0</v>
      </c>
      <c r="AL97" s="16">
        <f t="shared" si="29"/>
        <v>-709.67645900268099</v>
      </c>
      <c r="AM97" s="16">
        <f t="shared" si="30"/>
        <v>-723.46681615545504</v>
      </c>
      <c r="AN97">
        <f>-'Drilling Spec'!$C$29</f>
        <v>-720</v>
      </c>
      <c r="AO97">
        <f>-'Drilling Spec'!$C$27</f>
        <v>-624</v>
      </c>
      <c r="AP97">
        <f>-'Drilling Spec'!$C$28</f>
        <v>-688</v>
      </c>
      <c r="AQ97" t="e">
        <f t="shared" si="31"/>
        <v>#N/A</v>
      </c>
      <c r="AR97" t="e">
        <f>IF(X97=0,NA(),-'Drilling Spec'!$C$29*0.1)</f>
        <v>#N/A</v>
      </c>
      <c r="AS97" t="e">
        <f>IF(Y97=0,NA(),-'Drilling Spec'!$C$29*0.1)</f>
        <v>#N/A</v>
      </c>
      <c r="AT97" t="e">
        <f>IF(AB97=0,NA(),-'Drilling Spec'!$C$29*0.2)</f>
        <v>#N/A</v>
      </c>
      <c r="AU97" t="e">
        <f>IF(AC97=0,NA(),-'Drilling Spec'!$C$29*0.2)</f>
        <v>#N/A</v>
      </c>
      <c r="AV97" t="e">
        <f>IF(AH97=0,NA(),-'Drilling Spec'!$C$29*0.3)</f>
        <v>#N/A</v>
      </c>
      <c r="AW97" t="e">
        <f>IF(AI97=0,NA(),-'Drilling Spec'!$C$29*0.3)</f>
        <v>#N/A</v>
      </c>
      <c r="AX97" s="29">
        <f t="shared" si="32"/>
        <v>4.9082926829268239</v>
      </c>
      <c r="AY97" s="29">
        <f t="shared" si="33"/>
        <v>42.629578369148568</v>
      </c>
      <c r="AZ97" s="29">
        <f t="shared" si="37"/>
        <v>0</v>
      </c>
    </row>
    <row r="98" spans="1:52" x14ac:dyDescent="0.35">
      <c r="A98" s="28">
        <f t="shared" si="42"/>
        <v>46068</v>
      </c>
      <c r="B98" t="str">
        <f t="shared" si="20"/>
        <v>Sun</v>
      </c>
      <c r="C98" s="10"/>
      <c r="D98" s="10"/>
      <c r="E98" s="4">
        <f t="shared" si="21"/>
        <v>0</v>
      </c>
      <c r="F98" s="4">
        <f t="shared" si="22"/>
        <v>792</v>
      </c>
      <c r="G98" s="4">
        <f t="shared" si="23"/>
        <v>0</v>
      </c>
      <c r="H98" s="15">
        <f>(SQRT(4*I97*I97*V*V + 'Drilling Spec'!$C$42*I97 + W*('Drilling Spec'!$C$43 + 2*l*V*(s*W + 2*V*G98/(1+e)) + 'Drilling Spec'!$C$44)) - 'Drilling Spec'!$C$45)/(2*V)</f>
        <v>709.67645900268099</v>
      </c>
      <c r="I98" s="23">
        <f>IF(AND(OR(I97=0,I97=""),F98=0),IF(F99=0,"",'Drilling Spec'!$C$26),H98)</f>
        <v>709.67645900268099</v>
      </c>
      <c r="J98" s="16">
        <f>MAX(0,I98-'Drilling Spec'!$C$30)</f>
        <v>629.67645900268099</v>
      </c>
      <c r="K98" s="18">
        <f>IFERROR(J98/'Drilling Spec'!$C$31,0)</f>
        <v>41.978430600178733</v>
      </c>
      <c r="L98" s="21">
        <f t="shared" si="24"/>
        <v>0</v>
      </c>
      <c r="M98" s="4">
        <f t="shared" si="34"/>
        <v>132</v>
      </c>
      <c r="N98" s="21">
        <f t="shared" si="25"/>
        <v>0</v>
      </c>
      <c r="O98" s="18">
        <f>(SQRT(4*O97*O97*vB*vB + 'Drilling Spec'!$C$48*O97 + WB*('Drilling Spec'!$C$49 + 2*lB*vB*(sB*WB + 2*vB*N98/(1+eB)) + 'Drilling Spec'!$C$50)) - 'Drilling Spec'!$C$51)/(2*vB)</f>
        <v>723.46681615545504</v>
      </c>
      <c r="P98" s="18">
        <f>IFERROR(((S98-'Drilling Spec'!$C$30)/'Drilling Spec'!$C$31)*'Drilling Spec'!$C$32,0)</f>
        <v>38.608008969327301</v>
      </c>
      <c r="Q98" s="18">
        <f t="shared" si="35"/>
        <v>0</v>
      </c>
      <c r="R98" s="18"/>
      <c r="S98" s="26">
        <f>IF(AND(OR(T97=0,T97=""),M98=0),IF(M99=0,"",'Drilling Spec'!$C$30),O98)</f>
        <v>723.46681615545504</v>
      </c>
      <c r="U98" s="15">
        <f>E98*'Drilling Spec'!$C$22 + L98*'Drilling Spec'!$C$23</f>
        <v>0</v>
      </c>
      <c r="V98" s="15">
        <f t="shared" si="36"/>
        <v>19.091707317073169</v>
      </c>
      <c r="W98" s="15">
        <f t="shared" si="26"/>
        <v>4.9082926829268239</v>
      </c>
      <c r="X98" s="10"/>
      <c r="Y98" s="30">
        <f>IF(W98&lt;U99,'Drilling Spec'!$C$35,0)</f>
        <v>0</v>
      </c>
      <c r="AA98" s="4">
        <f t="shared" si="40"/>
        <v>46</v>
      </c>
      <c r="AB98" s="10"/>
      <c r="AC98" s="30">
        <f>IF('04-07-25-Scen5-WorstCargoJIT'!K99&gt;'04-07-25-Scen5-WorstCargoJIT'!AA98,'Drilling Spec'!$C$36,)</f>
        <v>0</v>
      </c>
      <c r="AE98" s="18">
        <f>(I98-'Drilling Spec'!$C$26)/'Drilling Spec'!$C$38</f>
        <v>106.61274316711349</v>
      </c>
      <c r="AF98" s="18">
        <f t="shared" si="27"/>
        <v>0</v>
      </c>
      <c r="AG98" s="34">
        <f t="shared" si="28"/>
        <v>0</v>
      </c>
      <c r="AH98" s="10"/>
      <c r="AI98" s="26">
        <f>IF(C98="Camp Closed",AG98,IF(AG98&lt;'Drilling Spec'!$C$39,,'Drilling Spec'!$C$39))</f>
        <v>0</v>
      </c>
      <c r="AL98" s="16">
        <f t="shared" si="29"/>
        <v>-709.67645900268099</v>
      </c>
      <c r="AM98" s="16">
        <f t="shared" si="30"/>
        <v>-723.46681615545504</v>
      </c>
      <c r="AN98">
        <f>-'Drilling Spec'!$C$29</f>
        <v>-720</v>
      </c>
      <c r="AO98">
        <f>-'Drilling Spec'!$C$27</f>
        <v>-624</v>
      </c>
      <c r="AP98">
        <f>-'Drilling Spec'!$C$28</f>
        <v>-688</v>
      </c>
      <c r="AQ98" t="e">
        <f t="shared" si="31"/>
        <v>#N/A</v>
      </c>
      <c r="AR98" t="e">
        <f>IF(X98=0,NA(),-'Drilling Spec'!$C$29*0.1)</f>
        <v>#N/A</v>
      </c>
      <c r="AS98" t="e">
        <f>IF(Y98=0,NA(),-'Drilling Spec'!$C$29*0.1)</f>
        <v>#N/A</v>
      </c>
      <c r="AT98" t="e">
        <f>IF(AB98=0,NA(),-'Drilling Spec'!$C$29*0.2)</f>
        <v>#N/A</v>
      </c>
      <c r="AU98" t="e">
        <f>IF(AC98=0,NA(),-'Drilling Spec'!$C$29*0.2)</f>
        <v>#N/A</v>
      </c>
      <c r="AV98" t="e">
        <f>IF(AH98=0,NA(),-'Drilling Spec'!$C$29*0.3)</f>
        <v>#N/A</v>
      </c>
      <c r="AW98" t="e">
        <f>IF(AI98=0,NA(),-'Drilling Spec'!$C$29*0.3)</f>
        <v>#N/A</v>
      </c>
      <c r="AX98" s="29">
        <f t="shared" si="32"/>
        <v>4.9082926829268239</v>
      </c>
      <c r="AY98" s="29">
        <f t="shared" si="33"/>
        <v>42.629578369148568</v>
      </c>
      <c r="AZ98" s="29">
        <f t="shared" si="37"/>
        <v>0</v>
      </c>
    </row>
    <row r="99" spans="1:52" x14ac:dyDescent="0.35">
      <c r="A99" s="28">
        <f t="shared" si="42"/>
        <v>46069</v>
      </c>
      <c r="B99" t="str">
        <f t="shared" si="20"/>
        <v>Mon</v>
      </c>
      <c r="C99" s="10"/>
      <c r="D99" s="10"/>
      <c r="E99" s="4">
        <f t="shared" si="21"/>
        <v>0</v>
      </c>
      <c r="F99" s="4">
        <f t="shared" si="22"/>
        <v>792</v>
      </c>
      <c r="G99" s="4">
        <f t="shared" si="23"/>
        <v>0</v>
      </c>
      <c r="H99" s="15">
        <f>(SQRT(4*I98*I98*V*V + 'Drilling Spec'!$C$42*I98 + W*('Drilling Spec'!$C$43 + 2*l*V*(s*W + 2*V*G99/(1+e)) + 'Drilling Spec'!$C$44)) - 'Drilling Spec'!$C$45)/(2*V)</f>
        <v>709.67645900268099</v>
      </c>
      <c r="I99" s="23">
        <f>IF(AND(OR(I98=0,I98=""),F99=0),IF(F100=0,"",'Drilling Spec'!$C$26),H99)</f>
        <v>709.67645900268099</v>
      </c>
      <c r="J99" s="16">
        <f>MAX(0,I99-'Drilling Spec'!$C$30)</f>
        <v>629.67645900268099</v>
      </c>
      <c r="K99" s="18">
        <f>IFERROR(J99/'Drilling Spec'!$C$31,0)</f>
        <v>41.978430600178733</v>
      </c>
      <c r="L99" s="21">
        <f t="shared" si="24"/>
        <v>0</v>
      </c>
      <c r="M99" s="4">
        <f t="shared" si="34"/>
        <v>132</v>
      </c>
      <c r="N99" s="21">
        <f t="shared" si="25"/>
        <v>0</v>
      </c>
      <c r="O99" s="18">
        <f>(SQRT(4*O98*O98*vB*vB + 'Drilling Spec'!$C$48*O98 + WB*('Drilling Spec'!$C$49 + 2*lB*vB*(sB*WB + 2*vB*N99/(1+eB)) + 'Drilling Spec'!$C$50)) - 'Drilling Spec'!$C$51)/(2*vB)</f>
        <v>723.46681615545504</v>
      </c>
      <c r="P99" s="18">
        <f>IFERROR(((S99-'Drilling Spec'!$C$30)/'Drilling Spec'!$C$31)*'Drilling Spec'!$C$32,0)</f>
        <v>38.608008969327301</v>
      </c>
      <c r="Q99" s="18">
        <f t="shared" si="35"/>
        <v>0</v>
      </c>
      <c r="R99" s="18"/>
      <c r="S99" s="26">
        <f>IF(AND(OR(T98=0,T98=""),M99=0),IF(M100=0,"",'Drilling Spec'!$C$30),O99)</f>
        <v>723.46681615545504</v>
      </c>
      <c r="U99" s="15">
        <f>E99*'Drilling Spec'!$C$22 + L99*'Drilling Spec'!$C$23</f>
        <v>0</v>
      </c>
      <c r="V99" s="15">
        <f t="shared" si="36"/>
        <v>19.091707317073169</v>
      </c>
      <c r="W99" s="15">
        <f t="shared" si="26"/>
        <v>4.9082926829268239</v>
      </c>
      <c r="X99" s="10"/>
      <c r="Y99" s="30">
        <f>IF(W99&lt;U100,'Drilling Spec'!$C$35,0)</f>
        <v>0</v>
      </c>
      <c r="AA99" s="4">
        <f t="shared" si="40"/>
        <v>46</v>
      </c>
      <c r="AB99" s="10"/>
      <c r="AC99" s="30">
        <f>IF('04-07-25-Scen5-WorstCargoJIT'!K100&gt;'04-07-25-Scen5-WorstCargoJIT'!AA99,'Drilling Spec'!$C$36,)</f>
        <v>0</v>
      </c>
      <c r="AE99" s="18">
        <f>(I99-'Drilling Spec'!$C$26)/'Drilling Spec'!$C$38</f>
        <v>106.61274316711349</v>
      </c>
      <c r="AF99" s="18">
        <f t="shared" si="27"/>
        <v>0</v>
      </c>
      <c r="AG99" s="34">
        <f t="shared" si="28"/>
        <v>0</v>
      </c>
      <c r="AH99" s="10"/>
      <c r="AI99" s="26">
        <f>IF(C99="Camp Closed",AG99,IF(AG99&lt;'Drilling Spec'!$C$39,,'Drilling Spec'!$C$39))</f>
        <v>0</v>
      </c>
      <c r="AL99" s="16">
        <f t="shared" si="29"/>
        <v>-709.67645900268099</v>
      </c>
      <c r="AM99" s="16">
        <f t="shared" si="30"/>
        <v>-723.46681615545504</v>
      </c>
      <c r="AN99">
        <f>-'Drilling Spec'!$C$29</f>
        <v>-720</v>
      </c>
      <c r="AO99">
        <f>-'Drilling Spec'!$C$27</f>
        <v>-624</v>
      </c>
      <c r="AP99">
        <f>-'Drilling Spec'!$C$28</f>
        <v>-688</v>
      </c>
      <c r="AQ99" t="e">
        <f t="shared" si="31"/>
        <v>#N/A</v>
      </c>
      <c r="AR99" t="e">
        <f>IF(X99=0,NA(),-'Drilling Spec'!$C$29*0.1)</f>
        <v>#N/A</v>
      </c>
      <c r="AS99" t="e">
        <f>IF(Y99=0,NA(),-'Drilling Spec'!$C$29*0.1)</f>
        <v>#N/A</v>
      </c>
      <c r="AT99" t="e">
        <f>IF(AB99=0,NA(),-'Drilling Spec'!$C$29*0.2)</f>
        <v>#N/A</v>
      </c>
      <c r="AU99" t="e">
        <f>IF(AC99=0,NA(),-'Drilling Spec'!$C$29*0.2)</f>
        <v>#N/A</v>
      </c>
      <c r="AV99" t="e">
        <f>IF(AH99=0,NA(),-'Drilling Spec'!$C$29*0.3)</f>
        <v>#N/A</v>
      </c>
      <c r="AW99" t="e">
        <f>IF(AI99=0,NA(),-'Drilling Spec'!$C$29*0.3)</f>
        <v>#N/A</v>
      </c>
      <c r="AX99" s="29">
        <f t="shared" si="32"/>
        <v>4.9082926829268239</v>
      </c>
      <c r="AY99" s="29">
        <f t="shared" si="33"/>
        <v>42.629578369148568</v>
      </c>
      <c r="AZ99" s="29">
        <f t="shared" si="37"/>
        <v>0</v>
      </c>
    </row>
    <row r="100" spans="1:52" x14ac:dyDescent="0.35">
      <c r="A100" s="28">
        <f t="shared" si="42"/>
        <v>46070</v>
      </c>
      <c r="B100" t="str">
        <f t="shared" si="20"/>
        <v>Tue</v>
      </c>
      <c r="C100" s="10"/>
      <c r="D100" s="10"/>
      <c r="E100" s="4">
        <f t="shared" si="21"/>
        <v>0</v>
      </c>
      <c r="F100" s="4">
        <f t="shared" si="22"/>
        <v>792</v>
      </c>
      <c r="G100" s="4">
        <f t="shared" si="23"/>
        <v>0</v>
      </c>
      <c r="H100" s="15">
        <f>(SQRT(4*I99*I99*V*V + 'Drilling Spec'!$C$42*I99 + W*('Drilling Spec'!$C$43 + 2*l*V*(s*W + 2*V*G100/(1+e)) + 'Drilling Spec'!$C$44)) - 'Drilling Spec'!$C$45)/(2*V)</f>
        <v>709.67645900268099</v>
      </c>
      <c r="I100" s="23">
        <f>IF(AND(OR(I99=0,I99=""),F100=0),IF(F101=0,"",'Drilling Spec'!$C$26),H100)</f>
        <v>709.67645900268099</v>
      </c>
      <c r="J100" s="16">
        <f>MAX(0,I100-'Drilling Spec'!$C$30)</f>
        <v>629.67645900268099</v>
      </c>
      <c r="K100" s="18">
        <f>IFERROR(J100/'Drilling Spec'!$C$31,0)</f>
        <v>41.978430600178733</v>
      </c>
      <c r="L100" s="21">
        <f t="shared" si="24"/>
        <v>0</v>
      </c>
      <c r="M100" s="4">
        <f t="shared" si="34"/>
        <v>132</v>
      </c>
      <c r="N100" s="21">
        <f t="shared" si="25"/>
        <v>0</v>
      </c>
      <c r="O100" s="18">
        <f>(SQRT(4*O99*O99*vB*vB + 'Drilling Spec'!$C$48*O99 + WB*('Drilling Spec'!$C$49 + 2*lB*vB*(sB*WB + 2*vB*N100/(1+eB)) + 'Drilling Spec'!$C$50)) - 'Drilling Spec'!$C$51)/(2*vB)</f>
        <v>723.46681615545504</v>
      </c>
      <c r="P100" s="18">
        <f>IFERROR(((S100-'Drilling Spec'!$C$30)/'Drilling Spec'!$C$31)*'Drilling Spec'!$C$32,0)</f>
        <v>38.608008969327301</v>
      </c>
      <c r="Q100" s="18">
        <f t="shared" si="35"/>
        <v>0</v>
      </c>
      <c r="R100" s="18"/>
      <c r="S100" s="26">
        <f>IF(AND(OR(T99=0,T99=""),M100=0),IF(M101=0,"",'Drilling Spec'!$C$30),O100)</f>
        <v>723.46681615545504</v>
      </c>
      <c r="U100" s="15">
        <f>E100*'Drilling Spec'!$C$22 + L100*'Drilling Spec'!$C$23</f>
        <v>0</v>
      </c>
      <c r="V100" s="15">
        <f t="shared" si="36"/>
        <v>19.091707317073169</v>
      </c>
      <c r="W100" s="15">
        <f t="shared" si="26"/>
        <v>4.9082926829268239</v>
      </c>
      <c r="X100" s="10"/>
      <c r="Y100" s="30">
        <f>IF(W100&lt;U101,'Drilling Spec'!$C$35,0)</f>
        <v>0</v>
      </c>
      <c r="AA100" s="4">
        <f t="shared" si="40"/>
        <v>46</v>
      </c>
      <c r="AB100" s="10"/>
      <c r="AC100" s="30">
        <f>IF('04-07-25-Scen5-WorstCargoJIT'!K101&gt;'04-07-25-Scen5-WorstCargoJIT'!AA100,'Drilling Spec'!$C$36,)</f>
        <v>0</v>
      </c>
      <c r="AE100" s="18">
        <f>(I100-'Drilling Spec'!$C$26)/'Drilling Spec'!$C$38</f>
        <v>106.61274316711349</v>
      </c>
      <c r="AF100" s="18">
        <f t="shared" si="27"/>
        <v>0</v>
      </c>
      <c r="AG100" s="34">
        <f t="shared" si="28"/>
        <v>0</v>
      </c>
      <c r="AH100" s="10"/>
      <c r="AI100" s="26">
        <f>IF(C100="Camp Closed",AG100,IF(AG100&lt;'Drilling Spec'!$C$39,,'Drilling Spec'!$C$39))</f>
        <v>0</v>
      </c>
      <c r="AL100" s="16">
        <f t="shared" si="29"/>
        <v>-709.67645900268099</v>
      </c>
      <c r="AM100" s="16">
        <f t="shared" si="30"/>
        <v>-723.46681615545504</v>
      </c>
      <c r="AN100">
        <f>-'Drilling Spec'!$C$29</f>
        <v>-720</v>
      </c>
      <c r="AO100">
        <f>-'Drilling Spec'!$C$27</f>
        <v>-624</v>
      </c>
      <c r="AP100">
        <f>-'Drilling Spec'!$C$28</f>
        <v>-688</v>
      </c>
      <c r="AQ100" t="e">
        <f t="shared" si="31"/>
        <v>#N/A</v>
      </c>
      <c r="AR100" t="e">
        <f>IF(X100=0,NA(),-'Drilling Spec'!$C$29*0.1)</f>
        <v>#N/A</v>
      </c>
      <c r="AS100" t="e">
        <f>IF(Y100=0,NA(),-'Drilling Spec'!$C$29*0.1)</f>
        <v>#N/A</v>
      </c>
      <c r="AT100" t="e">
        <f>IF(AB100=0,NA(),-'Drilling Spec'!$C$29*0.2)</f>
        <v>#N/A</v>
      </c>
      <c r="AU100" t="e">
        <f>IF(AC100=0,NA(),-'Drilling Spec'!$C$29*0.2)</f>
        <v>#N/A</v>
      </c>
      <c r="AV100" t="e">
        <f>IF(AH100=0,NA(),-'Drilling Spec'!$C$29*0.3)</f>
        <v>#N/A</v>
      </c>
      <c r="AW100" t="e">
        <f>IF(AI100=0,NA(),-'Drilling Spec'!$C$29*0.3)</f>
        <v>#N/A</v>
      </c>
      <c r="AX100" s="29">
        <f t="shared" si="32"/>
        <v>4.9082926829268239</v>
      </c>
      <c r="AY100" s="29">
        <f t="shared" si="33"/>
        <v>42.629578369148568</v>
      </c>
      <c r="AZ100" s="29">
        <f t="shared" si="37"/>
        <v>0</v>
      </c>
    </row>
    <row r="101" spans="1:52" x14ac:dyDescent="0.35">
      <c r="A101" s="28">
        <f t="shared" si="42"/>
        <v>46071</v>
      </c>
      <c r="B101" t="str">
        <f t="shared" si="20"/>
        <v>Wed</v>
      </c>
      <c r="C101" s="10"/>
      <c r="D101" s="10"/>
      <c r="E101" s="4">
        <f t="shared" si="21"/>
        <v>0</v>
      </c>
      <c r="F101" s="4">
        <f t="shared" si="22"/>
        <v>792</v>
      </c>
      <c r="G101" s="4">
        <f t="shared" si="23"/>
        <v>0</v>
      </c>
      <c r="H101" s="15">
        <f>(SQRT(4*I100*I100*V*V + 'Drilling Spec'!$C$42*I100 + W*('Drilling Spec'!$C$43 + 2*l*V*(s*W + 2*V*G101/(1+e)) + 'Drilling Spec'!$C$44)) - 'Drilling Spec'!$C$45)/(2*V)</f>
        <v>709.67645900268099</v>
      </c>
      <c r="I101" s="23">
        <f>IF(AND(OR(I100=0,I100=""),F101=0),IF(F102=0,"",'Drilling Spec'!$C$26),H101)</f>
        <v>709.67645900268099</v>
      </c>
      <c r="J101" s="16">
        <f>MAX(0,I101-'Drilling Spec'!$C$30)</f>
        <v>629.67645900268099</v>
      </c>
      <c r="K101" s="18">
        <f>IFERROR(J101/'Drilling Spec'!$C$31,0)</f>
        <v>41.978430600178733</v>
      </c>
      <c r="L101" s="21">
        <f t="shared" si="24"/>
        <v>0</v>
      </c>
      <c r="M101" s="4">
        <f t="shared" si="34"/>
        <v>132</v>
      </c>
      <c r="N101" s="21">
        <f t="shared" si="25"/>
        <v>0</v>
      </c>
      <c r="O101" s="18">
        <f>(SQRT(4*O100*O100*vB*vB + 'Drilling Spec'!$C$48*O100 + WB*('Drilling Spec'!$C$49 + 2*lB*vB*(sB*WB + 2*vB*N101/(1+eB)) + 'Drilling Spec'!$C$50)) - 'Drilling Spec'!$C$51)/(2*vB)</f>
        <v>723.46681615545504</v>
      </c>
      <c r="P101" s="18">
        <f>IFERROR(((S101-'Drilling Spec'!$C$30)/'Drilling Spec'!$C$31)*'Drilling Spec'!$C$32,0)</f>
        <v>38.608008969327301</v>
      </c>
      <c r="Q101" s="18">
        <f t="shared" si="35"/>
        <v>0</v>
      </c>
      <c r="R101" s="18"/>
      <c r="S101" s="26">
        <f>IF(AND(OR(T100=0,T100=""),M101=0),IF(M102=0,"",'Drilling Spec'!$C$30),O101)</f>
        <v>723.46681615545504</v>
      </c>
      <c r="U101" s="15">
        <f>E101*'Drilling Spec'!$C$22 + L101*'Drilling Spec'!$C$23</f>
        <v>0</v>
      </c>
      <c r="V101" s="15">
        <f t="shared" si="36"/>
        <v>19.091707317073169</v>
      </c>
      <c r="W101" s="15">
        <f t="shared" si="26"/>
        <v>4.9082926829268239</v>
      </c>
      <c r="X101" s="10"/>
      <c r="Y101" s="30">
        <f>IF(W101&lt;U102,'Drilling Spec'!$C$35,0)</f>
        <v>0</v>
      </c>
      <c r="AA101" s="4">
        <f t="shared" si="40"/>
        <v>46</v>
      </c>
      <c r="AB101" s="10"/>
      <c r="AC101" s="30">
        <f>IF('04-07-25-Scen5-WorstCargoJIT'!K102&gt;'04-07-25-Scen5-WorstCargoJIT'!AA101,'Drilling Spec'!$C$36,)</f>
        <v>0</v>
      </c>
      <c r="AE101" s="18">
        <f>(I101-'Drilling Spec'!$C$26)/'Drilling Spec'!$C$38</f>
        <v>106.61274316711349</v>
      </c>
      <c r="AF101" s="18">
        <f t="shared" si="27"/>
        <v>0</v>
      </c>
      <c r="AG101" s="34">
        <f t="shared" si="28"/>
        <v>0</v>
      </c>
      <c r="AH101" s="10"/>
      <c r="AI101" s="26">
        <f>IF(C101="Camp Closed",AG101,IF(AG101&lt;'Drilling Spec'!$C$39,,'Drilling Spec'!$C$39))</f>
        <v>0</v>
      </c>
      <c r="AL101" s="16">
        <f t="shared" si="29"/>
        <v>-709.67645900268099</v>
      </c>
      <c r="AM101" s="16">
        <f t="shared" si="30"/>
        <v>-723.46681615545504</v>
      </c>
      <c r="AN101">
        <f>-'Drilling Spec'!$C$29</f>
        <v>-720</v>
      </c>
      <c r="AO101">
        <f>-'Drilling Spec'!$C$27</f>
        <v>-624</v>
      </c>
      <c r="AP101">
        <f>-'Drilling Spec'!$C$28</f>
        <v>-688</v>
      </c>
      <c r="AQ101" t="e">
        <f t="shared" si="31"/>
        <v>#N/A</v>
      </c>
      <c r="AR101" t="e">
        <f>IF(X101=0,NA(),-'Drilling Spec'!$C$29*0.1)</f>
        <v>#N/A</v>
      </c>
      <c r="AS101" t="e">
        <f>IF(Y101=0,NA(),-'Drilling Spec'!$C$29*0.1)</f>
        <v>#N/A</v>
      </c>
      <c r="AT101" t="e">
        <f>IF(AB101=0,NA(),-'Drilling Spec'!$C$29*0.2)</f>
        <v>#N/A</v>
      </c>
      <c r="AU101" t="e">
        <f>IF(AC101=0,NA(),-'Drilling Spec'!$C$29*0.2)</f>
        <v>#N/A</v>
      </c>
      <c r="AV101" t="e">
        <f>IF(AH101=0,NA(),-'Drilling Spec'!$C$29*0.3)</f>
        <v>#N/A</v>
      </c>
      <c r="AW101" t="e">
        <f>IF(AI101=0,NA(),-'Drilling Spec'!$C$29*0.3)</f>
        <v>#N/A</v>
      </c>
      <c r="AX101" s="29">
        <f t="shared" si="32"/>
        <v>4.9082926829268239</v>
      </c>
      <c r="AY101" s="29">
        <f t="shared" si="33"/>
        <v>42.629578369148568</v>
      </c>
      <c r="AZ101" s="29">
        <f t="shared" si="37"/>
        <v>0</v>
      </c>
    </row>
    <row r="102" spans="1:52" x14ac:dyDescent="0.35">
      <c r="A102" s="28">
        <f t="shared" si="42"/>
        <v>46072</v>
      </c>
      <c r="B102" t="str">
        <f t="shared" si="20"/>
        <v>Thu</v>
      </c>
      <c r="C102" s="10"/>
      <c r="D102" s="10"/>
      <c r="E102" s="4">
        <f t="shared" si="21"/>
        <v>0</v>
      </c>
      <c r="F102" s="4">
        <f t="shared" si="22"/>
        <v>792</v>
      </c>
      <c r="G102" s="4">
        <f t="shared" si="23"/>
        <v>0</v>
      </c>
      <c r="H102" s="15">
        <f>(SQRT(4*I101*I101*V*V + 'Drilling Spec'!$C$42*I101 + W*('Drilling Spec'!$C$43 + 2*l*V*(s*W + 2*V*G102/(1+e)) + 'Drilling Spec'!$C$44)) - 'Drilling Spec'!$C$45)/(2*V)</f>
        <v>709.67645900268099</v>
      </c>
      <c r="I102" s="23">
        <f>IF(AND(OR(I101=0,I101=""),F102=0),IF(F103=0,"",'Drilling Spec'!$C$26),H102)</f>
        <v>709.67645900268099</v>
      </c>
      <c r="J102" s="16">
        <f>MAX(0,I102-'Drilling Spec'!$C$30)</f>
        <v>629.67645900268099</v>
      </c>
      <c r="K102" s="18">
        <f>IFERROR(J102/'Drilling Spec'!$C$31,0)</f>
        <v>41.978430600178733</v>
      </c>
      <c r="L102" s="21">
        <f t="shared" si="24"/>
        <v>0</v>
      </c>
      <c r="M102" s="4">
        <f t="shared" si="34"/>
        <v>132</v>
      </c>
      <c r="N102" s="21">
        <f t="shared" si="25"/>
        <v>0</v>
      </c>
      <c r="O102" s="18">
        <f>(SQRT(4*O101*O101*vB*vB + 'Drilling Spec'!$C$48*O101 + WB*('Drilling Spec'!$C$49 + 2*lB*vB*(sB*WB + 2*vB*N102/(1+eB)) + 'Drilling Spec'!$C$50)) - 'Drilling Spec'!$C$51)/(2*vB)</f>
        <v>723.46681615545504</v>
      </c>
      <c r="P102" s="18">
        <f>IFERROR(((S102-'Drilling Spec'!$C$30)/'Drilling Spec'!$C$31)*'Drilling Spec'!$C$32,0)</f>
        <v>38.608008969327301</v>
      </c>
      <c r="Q102" s="18">
        <f t="shared" si="35"/>
        <v>0</v>
      </c>
      <c r="R102" s="18"/>
      <c r="S102" s="26">
        <f>IF(AND(OR(T101=0,T101=""),M102=0),IF(M103=0,"",'Drilling Spec'!$C$30),O102)</f>
        <v>723.46681615545504</v>
      </c>
      <c r="U102" s="15">
        <f>E102*'Drilling Spec'!$C$22 + L102*'Drilling Spec'!$C$23</f>
        <v>0</v>
      </c>
      <c r="V102" s="15">
        <f t="shared" si="36"/>
        <v>19.091707317073169</v>
      </c>
      <c r="W102" s="15">
        <f t="shared" si="26"/>
        <v>4.9082926829268239</v>
      </c>
      <c r="X102" s="10"/>
      <c r="Y102" s="30">
        <f>IF(W102&lt;U103,'Drilling Spec'!$C$35,0)</f>
        <v>0</v>
      </c>
      <c r="AA102" s="4">
        <f t="shared" si="40"/>
        <v>46</v>
      </c>
      <c r="AB102" s="10"/>
      <c r="AC102" s="30">
        <f>IF('04-07-25-Scen5-WorstCargoJIT'!K103&gt;'04-07-25-Scen5-WorstCargoJIT'!AA102,'Drilling Spec'!$C$36,)</f>
        <v>0</v>
      </c>
      <c r="AE102" s="18">
        <f>(I102-'Drilling Spec'!$C$26)/'Drilling Spec'!$C$38</f>
        <v>106.61274316711349</v>
      </c>
      <c r="AF102" s="18">
        <f t="shared" si="27"/>
        <v>0</v>
      </c>
      <c r="AG102" s="34">
        <f t="shared" si="28"/>
        <v>0</v>
      </c>
      <c r="AH102" s="10"/>
      <c r="AI102" s="26">
        <f>IF(C102="Camp Closed",AG102,IF(AG102&lt;'Drilling Spec'!$C$39,,'Drilling Spec'!$C$39))</f>
        <v>0</v>
      </c>
      <c r="AL102" s="16">
        <f t="shared" si="29"/>
        <v>-709.67645900268099</v>
      </c>
      <c r="AM102" s="16">
        <f t="shared" si="30"/>
        <v>-723.46681615545504</v>
      </c>
      <c r="AN102">
        <f>-'Drilling Spec'!$C$29</f>
        <v>-720</v>
      </c>
      <c r="AO102">
        <f>-'Drilling Spec'!$C$27</f>
        <v>-624</v>
      </c>
      <c r="AP102">
        <f>-'Drilling Spec'!$C$28</f>
        <v>-688</v>
      </c>
      <c r="AQ102" t="e">
        <f t="shared" si="31"/>
        <v>#N/A</v>
      </c>
      <c r="AR102" t="e">
        <f>IF(X102=0,NA(),-'Drilling Spec'!$C$29*0.1)</f>
        <v>#N/A</v>
      </c>
      <c r="AS102" t="e">
        <f>IF(Y102=0,NA(),-'Drilling Spec'!$C$29*0.1)</f>
        <v>#N/A</v>
      </c>
      <c r="AT102" t="e">
        <f>IF(AB102=0,NA(),-'Drilling Spec'!$C$29*0.2)</f>
        <v>#N/A</v>
      </c>
      <c r="AU102" t="e">
        <f>IF(AC102=0,NA(),-'Drilling Spec'!$C$29*0.2)</f>
        <v>#N/A</v>
      </c>
      <c r="AV102" t="e">
        <f>IF(AH102=0,NA(),-'Drilling Spec'!$C$29*0.3)</f>
        <v>#N/A</v>
      </c>
      <c r="AW102" t="e">
        <f>IF(AI102=0,NA(),-'Drilling Spec'!$C$29*0.3)</f>
        <v>#N/A</v>
      </c>
      <c r="AX102" s="29">
        <f t="shared" si="32"/>
        <v>4.9082926829268239</v>
      </c>
      <c r="AY102" s="29">
        <f t="shared" si="33"/>
        <v>42.629578369148568</v>
      </c>
      <c r="AZ102" s="29">
        <f t="shared" si="37"/>
        <v>0</v>
      </c>
    </row>
    <row r="103" spans="1:52" x14ac:dyDescent="0.35">
      <c r="A103" s="28">
        <f t="shared" si="42"/>
        <v>46073</v>
      </c>
      <c r="B103" t="str">
        <f t="shared" si="20"/>
        <v>Fri</v>
      </c>
      <c r="C103" s="10"/>
      <c r="D103" s="10"/>
      <c r="E103" s="4">
        <f t="shared" si="21"/>
        <v>0</v>
      </c>
      <c r="F103" s="4">
        <f t="shared" si="22"/>
        <v>792</v>
      </c>
      <c r="G103" s="4">
        <f t="shared" si="23"/>
        <v>0</v>
      </c>
      <c r="H103" s="15">
        <f>(SQRT(4*I102*I102*V*V + 'Drilling Spec'!$C$42*I102 + W*('Drilling Spec'!$C$43 + 2*l*V*(s*W + 2*V*G103/(1+e)) + 'Drilling Spec'!$C$44)) - 'Drilling Spec'!$C$45)/(2*V)</f>
        <v>709.67645900268099</v>
      </c>
      <c r="I103" s="23">
        <f>IF(AND(OR(I102=0,I102=""),F103=0),IF(F104=0,"",'Drilling Spec'!$C$26),H103)</f>
        <v>709.67645900268099</v>
      </c>
      <c r="J103" s="16">
        <f>MAX(0,I103-'Drilling Spec'!$C$30)</f>
        <v>629.67645900268099</v>
      </c>
      <c r="K103" s="18">
        <f>IFERROR(J103/'Drilling Spec'!$C$31,0)</f>
        <v>41.978430600178733</v>
      </c>
      <c r="L103" s="21">
        <f t="shared" si="24"/>
        <v>0</v>
      </c>
      <c r="M103" s="4">
        <f t="shared" si="34"/>
        <v>132</v>
      </c>
      <c r="N103" s="21">
        <f t="shared" si="25"/>
        <v>0</v>
      </c>
      <c r="O103" s="18">
        <f>(SQRT(4*O102*O102*vB*vB + 'Drilling Spec'!$C$48*O102 + WB*('Drilling Spec'!$C$49 + 2*lB*vB*(sB*WB + 2*vB*N103/(1+eB)) + 'Drilling Spec'!$C$50)) - 'Drilling Spec'!$C$51)/(2*vB)</f>
        <v>723.46681615545504</v>
      </c>
      <c r="P103" s="18">
        <f>IFERROR(((S103-'Drilling Spec'!$C$30)/'Drilling Spec'!$C$31)*'Drilling Spec'!$C$32,0)</f>
        <v>38.608008969327301</v>
      </c>
      <c r="Q103" s="18">
        <f t="shared" si="35"/>
        <v>0</v>
      </c>
      <c r="R103" s="18"/>
      <c r="S103" s="26">
        <f>IF(AND(OR(T102=0,T102=""),M103=0),IF(M104=0,"",'Drilling Spec'!$C$30),O103)</f>
        <v>723.46681615545504</v>
      </c>
      <c r="U103" s="15">
        <f>E103*'Drilling Spec'!$C$22 + L103*'Drilling Spec'!$C$23</f>
        <v>0</v>
      </c>
      <c r="V103" s="15">
        <f t="shared" si="36"/>
        <v>19.091707317073169</v>
      </c>
      <c r="W103" s="15">
        <f t="shared" si="26"/>
        <v>4.9082926829268239</v>
      </c>
      <c r="X103" s="10"/>
      <c r="Y103" s="30">
        <f>IF(W103&lt;U104,'Drilling Spec'!$C$35,0)</f>
        <v>0</v>
      </c>
      <c r="AA103" s="4">
        <f t="shared" si="40"/>
        <v>46</v>
      </c>
      <c r="AB103" s="10"/>
      <c r="AC103" s="30">
        <f>IF('04-07-25-Scen5-WorstCargoJIT'!K104&gt;'04-07-25-Scen5-WorstCargoJIT'!AA103,'Drilling Spec'!$C$36,)</f>
        <v>0</v>
      </c>
      <c r="AE103" s="18">
        <f>(I103-'Drilling Spec'!$C$26)/'Drilling Spec'!$C$38</f>
        <v>106.61274316711349</v>
      </c>
      <c r="AF103" s="18">
        <f t="shared" si="27"/>
        <v>0</v>
      </c>
      <c r="AG103" s="34">
        <f t="shared" si="28"/>
        <v>0</v>
      </c>
      <c r="AH103" s="10"/>
      <c r="AI103" s="26">
        <f>IF(C103="Camp Closed",AG103,IF(AG103&lt;'Drilling Spec'!$C$39,,'Drilling Spec'!$C$39))</f>
        <v>0</v>
      </c>
      <c r="AL103" s="16">
        <f t="shared" si="29"/>
        <v>-709.67645900268099</v>
      </c>
      <c r="AM103" s="16">
        <f t="shared" si="30"/>
        <v>-723.46681615545504</v>
      </c>
      <c r="AN103">
        <f>-'Drilling Spec'!$C$29</f>
        <v>-720</v>
      </c>
      <c r="AO103">
        <f>-'Drilling Spec'!$C$27</f>
        <v>-624</v>
      </c>
      <c r="AP103">
        <f>-'Drilling Spec'!$C$28</f>
        <v>-688</v>
      </c>
      <c r="AQ103" t="e">
        <f t="shared" si="31"/>
        <v>#N/A</v>
      </c>
      <c r="AR103" t="e">
        <f>IF(X103=0,NA(),-'Drilling Spec'!$C$29*0.1)</f>
        <v>#N/A</v>
      </c>
      <c r="AS103" t="e">
        <f>IF(Y103=0,NA(),-'Drilling Spec'!$C$29*0.1)</f>
        <v>#N/A</v>
      </c>
      <c r="AT103" t="e">
        <f>IF(AB103=0,NA(),-'Drilling Spec'!$C$29*0.2)</f>
        <v>#N/A</v>
      </c>
      <c r="AU103" t="e">
        <f>IF(AC103=0,NA(),-'Drilling Spec'!$C$29*0.2)</f>
        <v>#N/A</v>
      </c>
      <c r="AV103" t="e">
        <f>IF(AH103=0,NA(),-'Drilling Spec'!$C$29*0.3)</f>
        <v>#N/A</v>
      </c>
      <c r="AW103" t="e">
        <f>IF(AI103=0,NA(),-'Drilling Spec'!$C$29*0.3)</f>
        <v>#N/A</v>
      </c>
      <c r="AX103" s="29">
        <f t="shared" si="32"/>
        <v>4.9082926829268239</v>
      </c>
      <c r="AY103" s="29">
        <f t="shared" si="33"/>
        <v>42.629578369148568</v>
      </c>
      <c r="AZ103" s="29">
        <f t="shared" si="37"/>
        <v>0</v>
      </c>
    </row>
    <row r="104" spans="1:52" x14ac:dyDescent="0.35">
      <c r="A104" s="28">
        <f t="shared" si="42"/>
        <v>46074</v>
      </c>
      <c r="B104" t="str">
        <f t="shared" si="20"/>
        <v>Sat</v>
      </c>
      <c r="C104" s="10"/>
      <c r="D104" s="10"/>
      <c r="E104" s="4">
        <f t="shared" si="21"/>
        <v>0</v>
      </c>
      <c r="F104" s="4">
        <f t="shared" si="22"/>
        <v>792</v>
      </c>
      <c r="G104" s="4">
        <f t="shared" si="23"/>
        <v>0</v>
      </c>
      <c r="H104" s="15">
        <f>(SQRT(4*I103*I103*V*V + 'Drilling Spec'!$C$42*I103 + W*('Drilling Spec'!$C$43 + 2*l*V*(s*W + 2*V*G104/(1+e)) + 'Drilling Spec'!$C$44)) - 'Drilling Spec'!$C$45)/(2*V)</f>
        <v>709.67645900268099</v>
      </c>
      <c r="I104" s="23">
        <f>IF(AND(OR(I103=0,I103=""),F104=0),IF(F105=0,"",'Drilling Spec'!$C$26),H104)</f>
        <v>709.67645900268099</v>
      </c>
      <c r="J104" s="16">
        <f>MAX(0,I104-'Drilling Spec'!$C$30)</f>
        <v>629.67645900268099</v>
      </c>
      <c r="K104" s="18">
        <f>IFERROR(J104/'Drilling Spec'!$C$31,0)</f>
        <v>41.978430600178733</v>
      </c>
      <c r="L104" s="21">
        <f t="shared" si="24"/>
        <v>0</v>
      </c>
      <c r="M104" s="4">
        <f t="shared" si="34"/>
        <v>132</v>
      </c>
      <c r="N104" s="21">
        <f t="shared" si="25"/>
        <v>0</v>
      </c>
      <c r="O104" s="18">
        <f>(SQRT(4*O103*O103*vB*vB + 'Drilling Spec'!$C$48*O103 + WB*('Drilling Spec'!$C$49 + 2*lB*vB*(sB*WB + 2*vB*N104/(1+eB)) + 'Drilling Spec'!$C$50)) - 'Drilling Spec'!$C$51)/(2*vB)</f>
        <v>723.46681615545504</v>
      </c>
      <c r="P104" s="18">
        <f>IFERROR(((S104-'Drilling Spec'!$C$30)/'Drilling Spec'!$C$31)*'Drilling Spec'!$C$32,0)</f>
        <v>38.608008969327301</v>
      </c>
      <c r="Q104" s="18">
        <f t="shared" si="35"/>
        <v>0</v>
      </c>
      <c r="R104" s="18"/>
      <c r="S104" s="26">
        <f>IF(AND(OR(T103=0,T103=""),M104=0),IF(M105=0,"",'Drilling Spec'!$C$30),O104)</f>
        <v>723.46681615545504</v>
      </c>
      <c r="U104" s="15">
        <f>E104*'Drilling Spec'!$C$22 + L104*'Drilling Spec'!$C$23</f>
        <v>0</v>
      </c>
      <c r="V104" s="15">
        <f t="shared" si="36"/>
        <v>19.091707317073169</v>
      </c>
      <c r="W104" s="15">
        <f t="shared" si="26"/>
        <v>4.9082926829268239</v>
      </c>
      <c r="X104" s="10"/>
      <c r="Y104" s="30">
        <f>IF(W104&lt;U105,'Drilling Spec'!$C$35,0)</f>
        <v>0</v>
      </c>
      <c r="AA104" s="4">
        <f t="shared" si="40"/>
        <v>46</v>
      </c>
      <c r="AB104" s="10"/>
      <c r="AC104" s="30">
        <f>IF('04-07-25-Scen5-WorstCargoJIT'!K105&gt;'04-07-25-Scen5-WorstCargoJIT'!AA104,'Drilling Spec'!$C$36,)</f>
        <v>0</v>
      </c>
      <c r="AE104" s="18">
        <f>(I104-'Drilling Spec'!$C$26)/'Drilling Spec'!$C$38</f>
        <v>106.61274316711349</v>
      </c>
      <c r="AF104" s="18">
        <f t="shared" si="27"/>
        <v>0</v>
      </c>
      <c r="AG104" s="34">
        <f t="shared" si="28"/>
        <v>0</v>
      </c>
      <c r="AH104" s="10"/>
      <c r="AI104" s="26">
        <f>IF(C104="Camp Closed",AG104,IF(AG104&lt;'Drilling Spec'!$C$39,,'Drilling Spec'!$C$39))</f>
        <v>0</v>
      </c>
      <c r="AL104" s="16">
        <f t="shared" si="29"/>
        <v>-709.67645900268099</v>
      </c>
      <c r="AM104" s="16">
        <f t="shared" si="30"/>
        <v>-723.46681615545504</v>
      </c>
      <c r="AN104">
        <f>-'Drilling Spec'!$C$29</f>
        <v>-720</v>
      </c>
      <c r="AO104">
        <f>-'Drilling Spec'!$C$27</f>
        <v>-624</v>
      </c>
      <c r="AP104">
        <f>-'Drilling Spec'!$C$28</f>
        <v>-688</v>
      </c>
      <c r="AQ104" t="e">
        <f t="shared" si="31"/>
        <v>#N/A</v>
      </c>
      <c r="AR104" t="e">
        <f>IF(X104=0,NA(),-'Drilling Spec'!$C$29*0.1)</f>
        <v>#N/A</v>
      </c>
      <c r="AS104" t="e">
        <f>IF(Y104=0,NA(),-'Drilling Spec'!$C$29*0.1)</f>
        <v>#N/A</v>
      </c>
      <c r="AT104" t="e">
        <f>IF(AB104=0,NA(),-'Drilling Spec'!$C$29*0.2)</f>
        <v>#N/A</v>
      </c>
      <c r="AU104" t="e">
        <f>IF(AC104=0,NA(),-'Drilling Spec'!$C$29*0.2)</f>
        <v>#N/A</v>
      </c>
      <c r="AV104" t="e">
        <f>IF(AH104=0,NA(),-'Drilling Spec'!$C$29*0.3)</f>
        <v>#N/A</v>
      </c>
      <c r="AW104" t="e">
        <f>IF(AI104=0,NA(),-'Drilling Spec'!$C$29*0.3)</f>
        <v>#N/A</v>
      </c>
      <c r="AX104" s="29">
        <f t="shared" si="32"/>
        <v>4.9082926829268239</v>
      </c>
      <c r="AY104" s="29">
        <f t="shared" si="33"/>
        <v>42.629578369148568</v>
      </c>
      <c r="AZ104" s="29">
        <f t="shared" si="37"/>
        <v>0</v>
      </c>
    </row>
    <row r="105" spans="1:52" x14ac:dyDescent="0.35">
      <c r="A105" s="28">
        <f t="shared" si="42"/>
        <v>46075</v>
      </c>
      <c r="B105" t="str">
        <f t="shared" si="20"/>
        <v>Sun</v>
      </c>
      <c r="C105" s="10"/>
      <c r="D105" s="10"/>
      <c r="E105" s="4">
        <f t="shared" si="21"/>
        <v>0</v>
      </c>
      <c r="F105" s="4">
        <f t="shared" si="22"/>
        <v>792</v>
      </c>
      <c r="G105" s="4">
        <f t="shared" si="23"/>
        <v>0</v>
      </c>
      <c r="H105" s="15">
        <f>(SQRT(4*I104*I104*V*V + 'Drilling Spec'!$C$42*I104 + W*('Drilling Spec'!$C$43 + 2*l*V*(s*W + 2*V*G105/(1+e)) + 'Drilling Spec'!$C$44)) - 'Drilling Spec'!$C$45)/(2*V)</f>
        <v>709.67645900268099</v>
      </c>
      <c r="I105" s="23">
        <f>IF(AND(OR(I104=0,I104=""),F105=0),IF(F106=0,"",'Drilling Spec'!$C$26),H105)</f>
        <v>709.67645900268099</v>
      </c>
      <c r="J105" s="16">
        <f>MAX(0,I105-'Drilling Spec'!$C$30)</f>
        <v>629.67645900268099</v>
      </c>
      <c r="K105" s="18">
        <f>IFERROR(J105/'Drilling Spec'!$C$31,0)</f>
        <v>41.978430600178733</v>
      </c>
      <c r="L105" s="21">
        <f t="shared" si="24"/>
        <v>0</v>
      </c>
      <c r="M105" s="4">
        <f t="shared" si="34"/>
        <v>132</v>
      </c>
      <c r="N105" s="21">
        <f t="shared" si="25"/>
        <v>0</v>
      </c>
      <c r="O105" s="18">
        <f>(SQRT(4*O104*O104*vB*vB + 'Drilling Spec'!$C$48*O104 + WB*('Drilling Spec'!$C$49 + 2*lB*vB*(sB*WB + 2*vB*N105/(1+eB)) + 'Drilling Spec'!$C$50)) - 'Drilling Spec'!$C$51)/(2*vB)</f>
        <v>723.46681615545504</v>
      </c>
      <c r="P105" s="18">
        <f>IFERROR(((S105-'Drilling Spec'!$C$30)/'Drilling Spec'!$C$31)*'Drilling Spec'!$C$32,0)</f>
        <v>38.608008969327301</v>
      </c>
      <c r="Q105" s="18">
        <f t="shared" si="35"/>
        <v>0</v>
      </c>
      <c r="R105" s="18"/>
      <c r="S105" s="26">
        <f>IF(AND(OR(T104=0,T104=""),M105=0),IF(M106=0,"",'Drilling Spec'!$C$30),O105)</f>
        <v>723.46681615545504</v>
      </c>
      <c r="U105" s="15">
        <f>E105*'Drilling Spec'!$C$22 + L105*'Drilling Spec'!$C$23</f>
        <v>0</v>
      </c>
      <c r="V105" s="15">
        <f t="shared" si="36"/>
        <v>19.091707317073169</v>
      </c>
      <c r="W105" s="15">
        <f t="shared" si="26"/>
        <v>4.9082926829268239</v>
      </c>
      <c r="X105" s="10"/>
      <c r="Y105" s="30">
        <f>IF(W105&lt;U106,'Drilling Spec'!$C$35,0)</f>
        <v>0</v>
      </c>
      <c r="AA105" s="4">
        <f t="shared" si="40"/>
        <v>46</v>
      </c>
      <c r="AB105" s="10"/>
      <c r="AC105" s="30">
        <f>IF('04-07-25-Scen5-WorstCargoJIT'!K106&gt;'04-07-25-Scen5-WorstCargoJIT'!AA105,'Drilling Spec'!$C$36,)</f>
        <v>0</v>
      </c>
      <c r="AE105" s="18">
        <f>(I105-'Drilling Spec'!$C$26)/'Drilling Spec'!$C$38</f>
        <v>106.61274316711349</v>
      </c>
      <c r="AF105" s="18">
        <f t="shared" si="27"/>
        <v>0</v>
      </c>
      <c r="AG105" s="34">
        <f t="shared" si="28"/>
        <v>0</v>
      </c>
      <c r="AH105" s="10"/>
      <c r="AI105" s="26">
        <f>IF(C105="Camp Closed",AG105,IF(AG105&lt;'Drilling Spec'!$C$39,,'Drilling Spec'!$C$39))</f>
        <v>0</v>
      </c>
      <c r="AL105" s="16">
        <f t="shared" si="29"/>
        <v>-709.67645900268099</v>
      </c>
      <c r="AM105" s="16">
        <f t="shared" si="30"/>
        <v>-723.46681615545504</v>
      </c>
      <c r="AN105">
        <f>-'Drilling Spec'!$C$29</f>
        <v>-720</v>
      </c>
      <c r="AO105">
        <f>-'Drilling Spec'!$C$27</f>
        <v>-624</v>
      </c>
      <c r="AP105">
        <f>-'Drilling Spec'!$C$28</f>
        <v>-688</v>
      </c>
      <c r="AQ105" t="e">
        <f t="shared" si="31"/>
        <v>#N/A</v>
      </c>
      <c r="AR105" t="e">
        <f>IF(X105=0,NA(),-'Drilling Spec'!$C$29*0.1)</f>
        <v>#N/A</v>
      </c>
      <c r="AS105" t="e">
        <f>IF(Y105=0,NA(),-'Drilling Spec'!$C$29*0.1)</f>
        <v>#N/A</v>
      </c>
      <c r="AT105" t="e">
        <f>IF(AB105=0,NA(),-'Drilling Spec'!$C$29*0.2)</f>
        <v>#N/A</v>
      </c>
      <c r="AU105" t="e">
        <f>IF(AC105=0,NA(),-'Drilling Spec'!$C$29*0.2)</f>
        <v>#N/A</v>
      </c>
      <c r="AV105" t="e">
        <f>IF(AH105=0,NA(),-'Drilling Spec'!$C$29*0.3)</f>
        <v>#N/A</v>
      </c>
      <c r="AW105" t="e">
        <f>IF(AI105=0,NA(),-'Drilling Spec'!$C$29*0.3)</f>
        <v>#N/A</v>
      </c>
      <c r="AX105" s="29">
        <f t="shared" si="32"/>
        <v>4.9082926829268239</v>
      </c>
      <c r="AY105" s="29">
        <f t="shared" si="33"/>
        <v>42.629578369148568</v>
      </c>
      <c r="AZ105" s="29">
        <f t="shared" si="37"/>
        <v>0</v>
      </c>
    </row>
    <row r="106" spans="1:52" x14ac:dyDescent="0.35">
      <c r="A106" s="28">
        <f t="shared" si="42"/>
        <v>46076</v>
      </c>
      <c r="B106" t="str">
        <f t="shared" si="20"/>
        <v>Mon</v>
      </c>
      <c r="C106" s="10"/>
      <c r="D106" s="10"/>
      <c r="E106" s="4">
        <f t="shared" si="21"/>
        <v>0</v>
      </c>
      <c r="F106" s="4">
        <f t="shared" si="22"/>
        <v>792</v>
      </c>
      <c r="G106" s="4">
        <f t="shared" si="23"/>
        <v>0</v>
      </c>
      <c r="H106" s="15">
        <f>(SQRT(4*I105*I105*V*V + 'Drilling Spec'!$C$42*I105 + W*('Drilling Spec'!$C$43 + 2*l*V*(s*W + 2*V*G106/(1+e)) + 'Drilling Spec'!$C$44)) - 'Drilling Spec'!$C$45)/(2*V)</f>
        <v>709.67645900268099</v>
      </c>
      <c r="I106" s="23">
        <f>IF(AND(OR(I105=0,I105=""),F106=0),IF(F107=0,"",'Drilling Spec'!$C$26),H106)</f>
        <v>709.67645900268099</v>
      </c>
      <c r="J106" s="16">
        <f>MAX(0,I106-'Drilling Spec'!$C$30)</f>
        <v>629.67645900268099</v>
      </c>
      <c r="K106" s="18">
        <f>IFERROR(J106/'Drilling Spec'!$C$31,0)</f>
        <v>41.978430600178733</v>
      </c>
      <c r="L106" s="21">
        <f t="shared" si="24"/>
        <v>0</v>
      </c>
      <c r="M106" s="4">
        <f t="shared" si="34"/>
        <v>132</v>
      </c>
      <c r="N106" s="21">
        <f t="shared" si="25"/>
        <v>0</v>
      </c>
      <c r="O106" s="18">
        <f>(SQRT(4*O105*O105*vB*vB + 'Drilling Spec'!$C$48*O105 + WB*('Drilling Spec'!$C$49 + 2*lB*vB*(sB*WB + 2*vB*N106/(1+eB)) + 'Drilling Spec'!$C$50)) - 'Drilling Spec'!$C$51)/(2*vB)</f>
        <v>723.46681615545504</v>
      </c>
      <c r="P106" s="18">
        <f>IFERROR(((S106-'Drilling Spec'!$C$30)/'Drilling Spec'!$C$31)*'Drilling Spec'!$C$32,0)</f>
        <v>38.608008969327301</v>
      </c>
      <c r="Q106" s="18">
        <f t="shared" si="35"/>
        <v>0</v>
      </c>
      <c r="R106" s="18"/>
      <c r="S106" s="26">
        <f>IF(AND(OR(T105=0,T105=""),M106=0),IF(M107=0,"",'Drilling Spec'!$C$30),O106)</f>
        <v>723.46681615545504</v>
      </c>
      <c r="U106" s="15">
        <f>E106*'Drilling Spec'!$C$22 + L106*'Drilling Spec'!$C$23</f>
        <v>0</v>
      </c>
      <c r="V106" s="15">
        <f t="shared" si="36"/>
        <v>19.091707317073169</v>
      </c>
      <c r="W106" s="15">
        <f t="shared" si="26"/>
        <v>4.9082926829268239</v>
      </c>
      <c r="X106" s="10"/>
      <c r="Y106" s="30">
        <f>IF(W106&lt;U107,'Drilling Spec'!$C$35,0)</f>
        <v>0</v>
      </c>
      <c r="AA106" s="4">
        <f t="shared" si="40"/>
        <v>46</v>
      </c>
      <c r="AB106" s="10"/>
      <c r="AC106" s="30">
        <f>IF('04-07-25-Scen5-WorstCargoJIT'!K107&gt;'04-07-25-Scen5-WorstCargoJIT'!AA106,'Drilling Spec'!$C$36,)</f>
        <v>0</v>
      </c>
      <c r="AE106" s="18">
        <f>(I106-'Drilling Spec'!$C$26)/'Drilling Spec'!$C$38</f>
        <v>106.61274316711349</v>
      </c>
      <c r="AF106" s="18">
        <f t="shared" si="27"/>
        <v>0</v>
      </c>
      <c r="AG106" s="34">
        <f t="shared" si="28"/>
        <v>0</v>
      </c>
      <c r="AH106" s="10"/>
      <c r="AI106" s="26">
        <f>IF(C106="Camp Closed",AG106,IF(AG106&lt;'Drilling Spec'!$C$39,,'Drilling Spec'!$C$39))</f>
        <v>0</v>
      </c>
      <c r="AL106" s="16">
        <f t="shared" si="29"/>
        <v>-709.67645900268099</v>
      </c>
      <c r="AM106" s="16">
        <f t="shared" si="30"/>
        <v>-723.46681615545504</v>
      </c>
      <c r="AN106">
        <f>-'Drilling Spec'!$C$29</f>
        <v>-720</v>
      </c>
      <c r="AO106">
        <f>-'Drilling Spec'!$C$27</f>
        <v>-624</v>
      </c>
      <c r="AP106">
        <f>-'Drilling Spec'!$C$28</f>
        <v>-688</v>
      </c>
      <c r="AQ106" t="e">
        <f t="shared" si="31"/>
        <v>#N/A</v>
      </c>
      <c r="AR106" t="e">
        <f>IF(X106=0,NA(),-'Drilling Spec'!$C$29*0.1)</f>
        <v>#N/A</v>
      </c>
      <c r="AS106" t="e">
        <f>IF(Y106=0,NA(),-'Drilling Spec'!$C$29*0.1)</f>
        <v>#N/A</v>
      </c>
      <c r="AT106" t="e">
        <f>IF(AB106=0,NA(),-'Drilling Spec'!$C$29*0.2)</f>
        <v>#N/A</v>
      </c>
      <c r="AU106" t="e">
        <f>IF(AC106=0,NA(),-'Drilling Spec'!$C$29*0.2)</f>
        <v>#N/A</v>
      </c>
      <c r="AV106" t="e">
        <f>IF(AH106=0,NA(),-'Drilling Spec'!$C$29*0.3)</f>
        <v>#N/A</v>
      </c>
      <c r="AW106" t="e">
        <f>IF(AI106=0,NA(),-'Drilling Spec'!$C$29*0.3)</f>
        <v>#N/A</v>
      </c>
      <c r="AX106" s="29">
        <f t="shared" si="32"/>
        <v>4.9082926829268239</v>
      </c>
      <c r="AY106" s="29">
        <f t="shared" si="33"/>
        <v>42.629578369148568</v>
      </c>
      <c r="AZ106" s="29">
        <f t="shared" si="37"/>
        <v>0</v>
      </c>
    </row>
    <row r="107" spans="1:52" x14ac:dyDescent="0.35">
      <c r="A107" s="28">
        <f t="shared" si="42"/>
        <v>46077</v>
      </c>
      <c r="B107" t="str">
        <f t="shared" si="20"/>
        <v>Tue</v>
      </c>
      <c r="C107" s="10"/>
      <c r="D107" s="10"/>
      <c r="E107" s="4">
        <f t="shared" si="21"/>
        <v>0</v>
      </c>
      <c r="F107" s="4">
        <f t="shared" si="22"/>
        <v>792</v>
      </c>
      <c r="G107" s="4">
        <f t="shared" si="23"/>
        <v>0</v>
      </c>
      <c r="H107" s="15">
        <f>(SQRT(4*I106*I106*V*V + 'Drilling Spec'!$C$42*I106 + W*('Drilling Spec'!$C$43 + 2*l*V*(s*W + 2*V*G107/(1+e)) + 'Drilling Spec'!$C$44)) - 'Drilling Spec'!$C$45)/(2*V)</f>
        <v>709.67645900268099</v>
      </c>
      <c r="I107" s="23">
        <f>IF(AND(OR(I106=0,I106=""),F107=0),IF(F108=0,"",'Drilling Spec'!$C$26),H107)</f>
        <v>709.67645900268099</v>
      </c>
      <c r="J107" s="16">
        <f>MAX(0,I107-'Drilling Spec'!$C$30)</f>
        <v>629.67645900268099</v>
      </c>
      <c r="K107" s="18">
        <f>IFERROR(J107/'Drilling Spec'!$C$31,0)</f>
        <v>41.978430600178733</v>
      </c>
      <c r="L107" s="21">
        <f t="shared" si="24"/>
        <v>0</v>
      </c>
      <c r="M107" s="4">
        <f t="shared" si="34"/>
        <v>132</v>
      </c>
      <c r="N107" s="21">
        <f t="shared" si="25"/>
        <v>0</v>
      </c>
      <c r="O107" s="18">
        <f>(SQRT(4*O106*O106*vB*vB + 'Drilling Spec'!$C$48*O106 + WB*('Drilling Spec'!$C$49 + 2*lB*vB*(sB*WB + 2*vB*N107/(1+eB)) + 'Drilling Spec'!$C$50)) - 'Drilling Spec'!$C$51)/(2*vB)</f>
        <v>723.46681615545504</v>
      </c>
      <c r="P107" s="18">
        <f>IFERROR(((S107-'Drilling Spec'!$C$30)/'Drilling Spec'!$C$31)*'Drilling Spec'!$C$32,0)</f>
        <v>38.608008969327301</v>
      </c>
      <c r="Q107" s="18">
        <f t="shared" si="35"/>
        <v>0</v>
      </c>
      <c r="R107" s="18"/>
      <c r="S107" s="26">
        <f>IF(AND(OR(T106=0,T106=""),M107=0),IF(M108=0,"",'Drilling Spec'!$C$30),O107)</f>
        <v>723.46681615545504</v>
      </c>
      <c r="U107" s="15">
        <f>E107*'Drilling Spec'!$C$22 + L107*'Drilling Spec'!$C$23</f>
        <v>0</v>
      </c>
      <c r="V107" s="15">
        <f t="shared" si="36"/>
        <v>19.091707317073169</v>
      </c>
      <c r="W107" s="15">
        <f t="shared" si="26"/>
        <v>4.9082926829268239</v>
      </c>
      <c r="X107" s="10"/>
      <c r="Y107" s="30">
        <f>IF(W107&lt;U108,'Drilling Spec'!$C$35,0)</f>
        <v>0</v>
      </c>
      <c r="AA107" s="4">
        <f t="shared" si="40"/>
        <v>46</v>
      </c>
      <c r="AB107" s="10"/>
      <c r="AC107" s="30">
        <f>IF('04-07-25-Scen5-WorstCargoJIT'!K108&gt;'04-07-25-Scen5-WorstCargoJIT'!AA107,'Drilling Spec'!$C$36,)</f>
        <v>0</v>
      </c>
      <c r="AE107" s="18">
        <f>(I107-'Drilling Spec'!$C$26)/'Drilling Spec'!$C$38</f>
        <v>106.61274316711349</v>
      </c>
      <c r="AF107" s="18">
        <f t="shared" si="27"/>
        <v>0</v>
      </c>
      <c r="AG107" s="34">
        <f t="shared" si="28"/>
        <v>0</v>
      </c>
      <c r="AH107" s="10"/>
      <c r="AI107" s="26">
        <f>IF(C107="Camp Closed",AG107,IF(AG107&lt;'Drilling Spec'!$C$39,,'Drilling Spec'!$C$39))</f>
        <v>0</v>
      </c>
      <c r="AL107" s="16">
        <f t="shared" si="29"/>
        <v>-709.67645900268099</v>
      </c>
      <c r="AM107" s="16">
        <f t="shared" si="30"/>
        <v>-723.46681615545504</v>
      </c>
      <c r="AN107">
        <f>-'Drilling Spec'!$C$29</f>
        <v>-720</v>
      </c>
      <c r="AO107">
        <f>-'Drilling Spec'!$C$27</f>
        <v>-624</v>
      </c>
      <c r="AP107">
        <f>-'Drilling Spec'!$C$28</f>
        <v>-688</v>
      </c>
      <c r="AQ107" t="e">
        <f t="shared" si="31"/>
        <v>#N/A</v>
      </c>
      <c r="AR107" t="e">
        <f>IF(X107=0,NA(),-'Drilling Spec'!$C$29*0.1)</f>
        <v>#N/A</v>
      </c>
      <c r="AS107" t="e">
        <f>IF(Y107=0,NA(),-'Drilling Spec'!$C$29*0.1)</f>
        <v>#N/A</v>
      </c>
      <c r="AT107" t="e">
        <f>IF(AB107=0,NA(),-'Drilling Spec'!$C$29*0.2)</f>
        <v>#N/A</v>
      </c>
      <c r="AU107" t="e">
        <f>IF(AC107=0,NA(),-'Drilling Spec'!$C$29*0.2)</f>
        <v>#N/A</v>
      </c>
      <c r="AV107" t="e">
        <f>IF(AH107=0,NA(),-'Drilling Spec'!$C$29*0.3)</f>
        <v>#N/A</v>
      </c>
      <c r="AW107" t="e">
        <f>IF(AI107=0,NA(),-'Drilling Spec'!$C$29*0.3)</f>
        <v>#N/A</v>
      </c>
      <c r="AX107" s="29">
        <f t="shared" si="32"/>
        <v>4.9082926829268239</v>
      </c>
      <c r="AY107" s="29">
        <f t="shared" si="33"/>
        <v>42.629578369148568</v>
      </c>
      <c r="AZ107" s="29">
        <f t="shared" si="37"/>
        <v>0</v>
      </c>
    </row>
    <row r="108" spans="1:52" x14ac:dyDescent="0.35">
      <c r="A108" s="28">
        <f t="shared" si="42"/>
        <v>46078</v>
      </c>
      <c r="B108" t="str">
        <f t="shared" si="20"/>
        <v>Wed</v>
      </c>
      <c r="C108" s="10"/>
      <c r="D108" s="10"/>
      <c r="E108" s="4">
        <f t="shared" si="21"/>
        <v>0</v>
      </c>
      <c r="F108" s="4">
        <f t="shared" si="22"/>
        <v>792</v>
      </c>
      <c r="G108" s="4">
        <f t="shared" si="23"/>
        <v>0</v>
      </c>
      <c r="H108" s="15">
        <f>(SQRT(4*I107*I107*V*V + 'Drilling Spec'!$C$42*I107 + W*('Drilling Spec'!$C$43 + 2*l*V*(s*W + 2*V*G108/(1+e)) + 'Drilling Spec'!$C$44)) - 'Drilling Spec'!$C$45)/(2*V)</f>
        <v>709.67645900268099</v>
      </c>
      <c r="I108" s="23">
        <f>IF(AND(OR(I107=0,I107=""),F108=0),IF(F109=0,"",'Drilling Spec'!$C$26),H108)</f>
        <v>709.67645900268099</v>
      </c>
      <c r="J108" s="16">
        <f>MAX(0,I108-'Drilling Spec'!$C$30)</f>
        <v>629.67645900268099</v>
      </c>
      <c r="K108" s="18">
        <f>IFERROR(J108/'Drilling Spec'!$C$31,0)</f>
        <v>41.978430600178733</v>
      </c>
      <c r="L108" s="21">
        <f t="shared" si="24"/>
        <v>0</v>
      </c>
      <c r="M108" s="4">
        <f t="shared" si="34"/>
        <v>132</v>
      </c>
      <c r="N108" s="21">
        <f t="shared" si="25"/>
        <v>0</v>
      </c>
      <c r="O108" s="18">
        <f>(SQRT(4*O107*O107*vB*vB + 'Drilling Spec'!$C$48*O107 + WB*('Drilling Spec'!$C$49 + 2*lB*vB*(sB*WB + 2*vB*N108/(1+eB)) + 'Drilling Spec'!$C$50)) - 'Drilling Spec'!$C$51)/(2*vB)</f>
        <v>723.46681615545504</v>
      </c>
      <c r="P108" s="18">
        <f>IFERROR(((S108-'Drilling Spec'!$C$30)/'Drilling Spec'!$C$31)*'Drilling Spec'!$C$32,0)</f>
        <v>38.608008969327301</v>
      </c>
      <c r="Q108" s="18">
        <f t="shared" si="35"/>
        <v>0</v>
      </c>
      <c r="R108" s="18"/>
      <c r="S108" s="26">
        <f>IF(AND(OR(T107=0,T107=""),M108=0),IF(M109=0,"",'Drilling Spec'!$C$30),O108)</f>
        <v>723.46681615545504</v>
      </c>
      <c r="U108" s="15">
        <f>E108*'Drilling Spec'!$C$22 + L108*'Drilling Spec'!$C$23</f>
        <v>0</v>
      </c>
      <c r="V108" s="15">
        <f t="shared" si="36"/>
        <v>19.091707317073169</v>
      </c>
      <c r="W108" s="15">
        <f t="shared" si="26"/>
        <v>4.9082926829268239</v>
      </c>
      <c r="X108" s="10"/>
      <c r="Y108" s="30">
        <f>IF(W108&lt;U109,'Drilling Spec'!$C$35,0)</f>
        <v>0</v>
      </c>
      <c r="AA108" s="4">
        <f t="shared" si="40"/>
        <v>46</v>
      </c>
      <c r="AB108" s="10"/>
      <c r="AC108" s="30">
        <f>IF('04-07-25-Scen5-WorstCargoJIT'!K109&gt;'04-07-25-Scen5-WorstCargoJIT'!AA108,'Drilling Spec'!$C$36,)</f>
        <v>0</v>
      </c>
      <c r="AE108" s="18">
        <f>(I108-'Drilling Spec'!$C$26)/'Drilling Spec'!$C$38</f>
        <v>106.61274316711349</v>
      </c>
      <c r="AF108" s="18">
        <f t="shared" si="27"/>
        <v>0</v>
      </c>
      <c r="AG108" s="34">
        <f t="shared" si="28"/>
        <v>0</v>
      </c>
      <c r="AH108" s="10"/>
      <c r="AI108" s="26">
        <f>IF(C108="Camp Closed",AG108,IF(AG108&lt;'Drilling Spec'!$C$39,,'Drilling Spec'!$C$39))</f>
        <v>0</v>
      </c>
      <c r="AL108" s="16">
        <f t="shared" si="29"/>
        <v>-709.67645900268099</v>
      </c>
      <c r="AM108" s="16">
        <f t="shared" si="30"/>
        <v>-723.46681615545504</v>
      </c>
      <c r="AN108">
        <f>-'Drilling Spec'!$C$29</f>
        <v>-720</v>
      </c>
      <c r="AO108">
        <f>-'Drilling Spec'!$C$27</f>
        <v>-624</v>
      </c>
      <c r="AP108">
        <f>-'Drilling Spec'!$C$28</f>
        <v>-688</v>
      </c>
      <c r="AQ108" t="e">
        <f t="shared" si="31"/>
        <v>#N/A</v>
      </c>
      <c r="AR108" t="e">
        <f>IF(X108=0,NA(),-'Drilling Spec'!$C$29*0.1)</f>
        <v>#N/A</v>
      </c>
      <c r="AS108" t="e">
        <f>IF(Y108=0,NA(),-'Drilling Spec'!$C$29*0.1)</f>
        <v>#N/A</v>
      </c>
      <c r="AT108" t="e">
        <f>IF(AB108=0,NA(),-'Drilling Spec'!$C$29*0.2)</f>
        <v>#N/A</v>
      </c>
      <c r="AU108" t="e">
        <f>IF(AC108=0,NA(),-'Drilling Spec'!$C$29*0.2)</f>
        <v>#N/A</v>
      </c>
      <c r="AV108" t="e">
        <f>IF(AH108=0,NA(),-'Drilling Spec'!$C$29*0.3)</f>
        <v>#N/A</v>
      </c>
      <c r="AW108" t="e">
        <f>IF(AI108=0,NA(),-'Drilling Spec'!$C$29*0.3)</f>
        <v>#N/A</v>
      </c>
      <c r="AX108" s="29">
        <f t="shared" si="32"/>
        <v>4.9082926829268239</v>
      </c>
      <c r="AY108" s="29">
        <f t="shared" si="33"/>
        <v>42.629578369148568</v>
      </c>
      <c r="AZ108" s="29">
        <f t="shared" si="37"/>
        <v>0</v>
      </c>
    </row>
    <row r="109" spans="1:52" x14ac:dyDescent="0.35">
      <c r="A109" s="28">
        <f t="shared" si="42"/>
        <v>46079</v>
      </c>
      <c r="B109" t="str">
        <f t="shared" si="20"/>
        <v>Thu</v>
      </c>
      <c r="C109" s="10"/>
      <c r="D109" s="10"/>
      <c r="E109" s="4">
        <f t="shared" si="21"/>
        <v>0</v>
      </c>
      <c r="F109" s="4">
        <f t="shared" si="22"/>
        <v>792</v>
      </c>
      <c r="G109" s="4">
        <f t="shared" si="23"/>
        <v>0</v>
      </c>
      <c r="H109" s="15">
        <f>(SQRT(4*I108*I108*V*V + 'Drilling Spec'!$C$42*I108 + W*('Drilling Spec'!$C$43 + 2*l*V*(s*W + 2*V*G109/(1+e)) + 'Drilling Spec'!$C$44)) - 'Drilling Spec'!$C$45)/(2*V)</f>
        <v>709.67645900268099</v>
      </c>
      <c r="I109" s="23">
        <f>IF(AND(OR(I108=0,I108=""),F109=0),IF(F110=0,"",'Drilling Spec'!$C$26),H109)</f>
        <v>709.67645900268099</v>
      </c>
      <c r="J109" s="16">
        <f>MAX(0,I109-'Drilling Spec'!$C$30)</f>
        <v>629.67645900268099</v>
      </c>
      <c r="K109" s="18">
        <f>IFERROR(J109/'Drilling Spec'!$C$31,0)</f>
        <v>41.978430600178733</v>
      </c>
      <c r="L109" s="21">
        <f t="shared" si="24"/>
        <v>0</v>
      </c>
      <c r="M109" s="4">
        <f t="shared" si="34"/>
        <v>132</v>
      </c>
      <c r="N109" s="21">
        <f t="shared" si="25"/>
        <v>0</v>
      </c>
      <c r="O109" s="18">
        <f>(SQRT(4*O108*O108*vB*vB + 'Drilling Spec'!$C$48*O108 + WB*('Drilling Spec'!$C$49 + 2*lB*vB*(sB*WB + 2*vB*N109/(1+eB)) + 'Drilling Spec'!$C$50)) - 'Drilling Spec'!$C$51)/(2*vB)</f>
        <v>723.46681615545504</v>
      </c>
      <c r="P109" s="18">
        <f>IFERROR(((S109-'Drilling Spec'!$C$30)/'Drilling Spec'!$C$31)*'Drilling Spec'!$C$32,0)</f>
        <v>38.608008969327301</v>
      </c>
      <c r="Q109" s="18">
        <f t="shared" si="35"/>
        <v>0</v>
      </c>
      <c r="R109" s="18"/>
      <c r="S109" s="26">
        <f>IF(AND(OR(T108=0,T108=""),M109=0),IF(M110=0,"",'Drilling Spec'!$C$30),O109)</f>
        <v>723.46681615545504</v>
      </c>
      <c r="U109" s="15">
        <f>E109*'Drilling Spec'!$C$22 + L109*'Drilling Spec'!$C$23</f>
        <v>0</v>
      </c>
      <c r="V109" s="15">
        <f t="shared" si="36"/>
        <v>19.091707317073169</v>
      </c>
      <c r="W109" s="15">
        <f t="shared" si="26"/>
        <v>4.9082926829268239</v>
      </c>
      <c r="X109" s="10"/>
      <c r="Y109" s="30">
        <f>IF(W109&lt;U110,'Drilling Spec'!$C$35,0)</f>
        <v>0</v>
      </c>
      <c r="AA109" s="4">
        <f t="shared" si="40"/>
        <v>46</v>
      </c>
      <c r="AB109" s="10"/>
      <c r="AC109" s="30">
        <f>IF('04-07-25-Scen5-WorstCargoJIT'!K110&gt;'04-07-25-Scen5-WorstCargoJIT'!AA109,'Drilling Spec'!$C$36,)</f>
        <v>0</v>
      </c>
      <c r="AE109" s="18">
        <f>(I109-'Drilling Spec'!$C$26)/'Drilling Spec'!$C$38</f>
        <v>106.61274316711349</v>
      </c>
      <c r="AF109" s="18">
        <f t="shared" si="27"/>
        <v>0</v>
      </c>
      <c r="AG109" s="34">
        <f t="shared" si="28"/>
        <v>0</v>
      </c>
      <c r="AH109" s="10"/>
      <c r="AI109" s="26">
        <f>IF(C109="Camp Closed",AG109,IF(AG109&lt;'Drilling Spec'!$C$39,,'Drilling Spec'!$C$39))</f>
        <v>0</v>
      </c>
      <c r="AL109" s="16">
        <f t="shared" si="29"/>
        <v>-709.67645900268099</v>
      </c>
      <c r="AM109" s="16">
        <f t="shared" si="30"/>
        <v>-723.46681615545504</v>
      </c>
      <c r="AN109">
        <f>-'Drilling Spec'!$C$29</f>
        <v>-720</v>
      </c>
      <c r="AO109">
        <f>-'Drilling Spec'!$C$27</f>
        <v>-624</v>
      </c>
      <c r="AP109">
        <f>-'Drilling Spec'!$C$28</f>
        <v>-688</v>
      </c>
      <c r="AQ109" t="e">
        <f t="shared" si="31"/>
        <v>#N/A</v>
      </c>
      <c r="AR109" t="e">
        <f>IF(X109=0,NA(),-'Drilling Spec'!$C$29*0.1)</f>
        <v>#N/A</v>
      </c>
      <c r="AS109" t="e">
        <f>IF(Y109=0,NA(),-'Drilling Spec'!$C$29*0.1)</f>
        <v>#N/A</v>
      </c>
      <c r="AT109" t="e">
        <f>IF(AB109=0,NA(),-'Drilling Spec'!$C$29*0.2)</f>
        <v>#N/A</v>
      </c>
      <c r="AU109" t="e">
        <f>IF(AC109=0,NA(),-'Drilling Spec'!$C$29*0.2)</f>
        <v>#N/A</v>
      </c>
      <c r="AV109" t="e">
        <f>IF(AH109=0,NA(),-'Drilling Spec'!$C$29*0.3)</f>
        <v>#N/A</v>
      </c>
      <c r="AW109" t="e">
        <f>IF(AI109=0,NA(),-'Drilling Spec'!$C$29*0.3)</f>
        <v>#N/A</v>
      </c>
      <c r="AX109" s="29">
        <f t="shared" si="32"/>
        <v>4.9082926829268239</v>
      </c>
      <c r="AY109" s="29">
        <f t="shared" si="33"/>
        <v>42.629578369148568</v>
      </c>
      <c r="AZ109" s="29">
        <f t="shared" si="37"/>
        <v>0</v>
      </c>
    </row>
    <row r="110" spans="1:52" x14ac:dyDescent="0.35">
      <c r="A110" s="28">
        <f t="shared" si="42"/>
        <v>46080</v>
      </c>
      <c r="B110" t="str">
        <f t="shared" si="20"/>
        <v>Fri</v>
      </c>
      <c r="C110" s="10"/>
      <c r="D110" s="10"/>
      <c r="E110" s="4">
        <f t="shared" si="21"/>
        <v>0</v>
      </c>
      <c r="F110" s="4">
        <f t="shared" si="22"/>
        <v>792</v>
      </c>
      <c r="G110" s="4">
        <f t="shared" si="23"/>
        <v>0</v>
      </c>
      <c r="H110" s="15">
        <f>(SQRT(4*I109*I109*V*V + 'Drilling Spec'!$C$42*I109 + W*('Drilling Spec'!$C$43 + 2*l*V*(s*W + 2*V*G110/(1+e)) + 'Drilling Spec'!$C$44)) - 'Drilling Spec'!$C$45)/(2*V)</f>
        <v>709.67645900268099</v>
      </c>
      <c r="I110" s="23">
        <f>IF(AND(OR(I109=0,I109=""),F110=0),IF(F111=0,"",'Drilling Spec'!$C$26),H110)</f>
        <v>709.67645900268099</v>
      </c>
      <c r="J110" s="16">
        <f>MAX(0,I110-'Drilling Spec'!$C$30)</f>
        <v>629.67645900268099</v>
      </c>
      <c r="K110" s="18">
        <f>IFERROR(J110/'Drilling Spec'!$C$31,0)</f>
        <v>41.978430600178733</v>
      </c>
      <c r="L110" s="21">
        <f t="shared" si="24"/>
        <v>0</v>
      </c>
      <c r="M110" s="4">
        <f t="shared" si="34"/>
        <v>132</v>
      </c>
      <c r="N110" s="21">
        <f t="shared" si="25"/>
        <v>0</v>
      </c>
      <c r="O110" s="18">
        <f>(SQRT(4*O109*O109*vB*vB + 'Drilling Spec'!$C$48*O109 + WB*('Drilling Spec'!$C$49 + 2*lB*vB*(sB*WB + 2*vB*N110/(1+eB)) + 'Drilling Spec'!$C$50)) - 'Drilling Spec'!$C$51)/(2*vB)</f>
        <v>723.46681615545504</v>
      </c>
      <c r="P110" s="18">
        <f>IFERROR(((S110-'Drilling Spec'!$C$30)/'Drilling Spec'!$C$31)*'Drilling Spec'!$C$32,0)</f>
        <v>38.608008969327301</v>
      </c>
      <c r="Q110" s="18">
        <f t="shared" si="35"/>
        <v>0</v>
      </c>
      <c r="R110" s="18"/>
      <c r="S110" s="26">
        <f>IF(AND(OR(T109=0,T109=""),M110=0),IF(M111=0,"",'Drilling Spec'!$C$30),O110)</f>
        <v>723.46681615545504</v>
      </c>
      <c r="U110" s="15">
        <f>E110*'Drilling Spec'!$C$22 + L110*'Drilling Spec'!$C$23</f>
        <v>0</v>
      </c>
      <c r="V110" s="15">
        <f t="shared" si="36"/>
        <v>19.091707317073169</v>
      </c>
      <c r="W110" s="15">
        <f t="shared" si="26"/>
        <v>4.9082926829268239</v>
      </c>
      <c r="X110" s="10"/>
      <c r="Y110" s="30">
        <f>IF(W110&lt;U111,'Drilling Spec'!$C$35,0)</f>
        <v>0</v>
      </c>
      <c r="AA110" s="4">
        <f t="shared" si="40"/>
        <v>46</v>
      </c>
      <c r="AB110" s="10"/>
      <c r="AC110" s="30">
        <f>IF('04-07-25-Scen5-WorstCargoJIT'!K111&gt;'04-07-25-Scen5-WorstCargoJIT'!AA110,'Drilling Spec'!$C$36,)</f>
        <v>0</v>
      </c>
      <c r="AE110" s="18">
        <f>(I110-'Drilling Spec'!$C$26)/'Drilling Spec'!$C$38</f>
        <v>106.61274316711349</v>
      </c>
      <c r="AF110" s="18">
        <f t="shared" si="27"/>
        <v>0</v>
      </c>
      <c r="AG110" s="34">
        <f t="shared" si="28"/>
        <v>0</v>
      </c>
      <c r="AH110" s="10"/>
      <c r="AI110" s="26">
        <f>IF(C110="Camp Closed",AG110,IF(AG110&lt;'Drilling Spec'!$C$39,,'Drilling Spec'!$C$39))</f>
        <v>0</v>
      </c>
      <c r="AL110" s="16">
        <f t="shared" si="29"/>
        <v>-709.67645900268099</v>
      </c>
      <c r="AM110" s="16">
        <f t="shared" si="30"/>
        <v>-723.46681615545504</v>
      </c>
      <c r="AN110">
        <f>-'Drilling Spec'!$C$29</f>
        <v>-720</v>
      </c>
      <c r="AO110">
        <f>-'Drilling Spec'!$C$27</f>
        <v>-624</v>
      </c>
      <c r="AP110">
        <f>-'Drilling Spec'!$C$28</f>
        <v>-688</v>
      </c>
      <c r="AQ110" t="e">
        <f t="shared" si="31"/>
        <v>#N/A</v>
      </c>
      <c r="AR110" t="e">
        <f>IF(X110=0,NA(),-'Drilling Spec'!$C$29*0.1)</f>
        <v>#N/A</v>
      </c>
      <c r="AS110" t="e">
        <f>IF(Y110=0,NA(),-'Drilling Spec'!$C$29*0.1)</f>
        <v>#N/A</v>
      </c>
      <c r="AT110" t="e">
        <f>IF(AB110=0,NA(),-'Drilling Spec'!$C$29*0.2)</f>
        <v>#N/A</v>
      </c>
      <c r="AU110" t="e">
        <f>IF(AC110=0,NA(),-'Drilling Spec'!$C$29*0.2)</f>
        <v>#N/A</v>
      </c>
      <c r="AV110" t="e">
        <f>IF(AH110=0,NA(),-'Drilling Spec'!$C$29*0.3)</f>
        <v>#N/A</v>
      </c>
      <c r="AW110" t="e">
        <f>IF(AI110=0,NA(),-'Drilling Spec'!$C$29*0.3)</f>
        <v>#N/A</v>
      </c>
      <c r="AX110" s="29">
        <f t="shared" si="32"/>
        <v>4.9082926829268239</v>
      </c>
      <c r="AY110" s="29">
        <f t="shared" si="33"/>
        <v>42.629578369148568</v>
      </c>
      <c r="AZ110" s="29">
        <f t="shared" si="37"/>
        <v>0</v>
      </c>
    </row>
    <row r="111" spans="1:52" x14ac:dyDescent="0.35">
      <c r="A111" s="28">
        <f t="shared" si="42"/>
        <v>46081</v>
      </c>
      <c r="B111" t="str">
        <f t="shared" si="20"/>
        <v>Sat</v>
      </c>
      <c r="C111" s="10"/>
      <c r="D111" s="10"/>
      <c r="E111" s="4">
        <f t="shared" si="21"/>
        <v>0</v>
      </c>
      <c r="F111" s="4">
        <f t="shared" si="22"/>
        <v>792</v>
      </c>
      <c r="G111" s="4">
        <f t="shared" si="23"/>
        <v>0</v>
      </c>
      <c r="H111" s="15">
        <f>(SQRT(4*I110*I110*V*V + 'Drilling Spec'!$C$42*I110 + W*('Drilling Spec'!$C$43 + 2*l*V*(s*W + 2*V*G111/(1+e)) + 'Drilling Spec'!$C$44)) - 'Drilling Spec'!$C$45)/(2*V)</f>
        <v>709.67645900268099</v>
      </c>
      <c r="I111" s="23">
        <f>IF(AND(OR(I110=0,I110=""),F111=0),IF(F112=0,"",'Drilling Spec'!$C$26),H111)</f>
        <v>709.67645900268099</v>
      </c>
      <c r="J111" s="16">
        <f>MAX(0,I111-'Drilling Spec'!$C$30)</f>
        <v>629.67645900268099</v>
      </c>
      <c r="K111" s="18">
        <f>IFERROR(J111/'Drilling Spec'!$C$31,0)</f>
        <v>41.978430600178733</v>
      </c>
      <c r="L111" s="21">
        <f t="shared" si="24"/>
        <v>0</v>
      </c>
      <c r="M111" s="4">
        <f t="shared" si="34"/>
        <v>132</v>
      </c>
      <c r="N111" s="21">
        <f t="shared" si="25"/>
        <v>0</v>
      </c>
      <c r="O111" s="18">
        <f>(SQRT(4*O110*O110*vB*vB + 'Drilling Spec'!$C$48*O110 + WB*('Drilling Spec'!$C$49 + 2*lB*vB*(sB*WB + 2*vB*N111/(1+eB)) + 'Drilling Spec'!$C$50)) - 'Drilling Spec'!$C$51)/(2*vB)</f>
        <v>723.46681615545504</v>
      </c>
      <c r="P111" s="18">
        <f>IFERROR(((S111-'Drilling Spec'!$C$30)/'Drilling Spec'!$C$31)*'Drilling Spec'!$C$32,0)</f>
        <v>38.608008969327301</v>
      </c>
      <c r="Q111" s="18">
        <f t="shared" si="35"/>
        <v>0</v>
      </c>
      <c r="R111" s="18"/>
      <c r="S111" s="26">
        <f>IF(AND(OR(T110=0,T110=""),M111=0),IF(M112=0,"",'Drilling Spec'!$C$30),O111)</f>
        <v>723.46681615545504</v>
      </c>
      <c r="U111" s="15">
        <f>E111*'Drilling Spec'!$C$22 + L111*'Drilling Spec'!$C$23</f>
        <v>0</v>
      </c>
      <c r="V111" s="15">
        <f t="shared" si="36"/>
        <v>19.091707317073169</v>
      </c>
      <c r="W111" s="15">
        <f t="shared" si="26"/>
        <v>4.9082926829268239</v>
      </c>
      <c r="X111" s="10"/>
      <c r="Y111" s="30">
        <f>IF(W111&lt;U112,'Drilling Spec'!$C$35,0)</f>
        <v>0</v>
      </c>
      <c r="AA111" s="4">
        <f t="shared" si="40"/>
        <v>46</v>
      </c>
      <c r="AB111" s="10"/>
      <c r="AC111" s="30">
        <f>IF('04-07-25-Scen5-WorstCargoJIT'!K112&gt;'04-07-25-Scen5-WorstCargoJIT'!AA111,'Drilling Spec'!$C$36,)</f>
        <v>0</v>
      </c>
      <c r="AE111" s="18">
        <f>(I111-'Drilling Spec'!$C$26)/'Drilling Spec'!$C$38</f>
        <v>106.61274316711349</v>
      </c>
      <c r="AF111" s="18">
        <f t="shared" si="27"/>
        <v>0</v>
      </c>
      <c r="AG111" s="34">
        <f t="shared" si="28"/>
        <v>0</v>
      </c>
      <c r="AH111" s="10"/>
      <c r="AI111" s="26">
        <f>IF(C111="Camp Closed",AG111,IF(AG111&lt;'Drilling Spec'!$C$39,,'Drilling Spec'!$C$39))</f>
        <v>0</v>
      </c>
      <c r="AL111" s="16">
        <f t="shared" si="29"/>
        <v>-709.67645900268099</v>
      </c>
      <c r="AM111" s="16">
        <f t="shared" si="30"/>
        <v>-723.46681615545504</v>
      </c>
      <c r="AN111">
        <f>-'Drilling Spec'!$C$29</f>
        <v>-720</v>
      </c>
      <c r="AO111">
        <f>-'Drilling Spec'!$C$27</f>
        <v>-624</v>
      </c>
      <c r="AP111">
        <f>-'Drilling Spec'!$C$28</f>
        <v>-688</v>
      </c>
      <c r="AQ111" t="e">
        <f t="shared" si="31"/>
        <v>#N/A</v>
      </c>
      <c r="AR111" t="e">
        <f>IF(X111=0,NA(),-'Drilling Spec'!$C$29*0.1)</f>
        <v>#N/A</v>
      </c>
      <c r="AS111" t="e">
        <f>IF(Y111=0,NA(),-'Drilling Spec'!$C$29*0.1)</f>
        <v>#N/A</v>
      </c>
      <c r="AT111" t="e">
        <f>IF(AB111=0,NA(),-'Drilling Spec'!$C$29*0.2)</f>
        <v>#N/A</v>
      </c>
      <c r="AU111" t="e">
        <f>IF(AC111=0,NA(),-'Drilling Spec'!$C$29*0.2)</f>
        <v>#N/A</v>
      </c>
      <c r="AV111" t="e">
        <f>IF(AH111=0,NA(),-'Drilling Spec'!$C$29*0.3)</f>
        <v>#N/A</v>
      </c>
      <c r="AW111" t="e">
        <f>IF(AI111=0,NA(),-'Drilling Spec'!$C$29*0.3)</f>
        <v>#N/A</v>
      </c>
      <c r="AX111" s="29">
        <f t="shared" si="32"/>
        <v>4.9082926829268239</v>
      </c>
      <c r="AY111" s="29">
        <f t="shared" si="33"/>
        <v>42.629578369148568</v>
      </c>
      <c r="AZ111" s="29">
        <f t="shared" si="37"/>
        <v>0</v>
      </c>
    </row>
    <row r="112" spans="1:52" x14ac:dyDescent="0.35">
      <c r="A112" s="28">
        <f t="shared" si="42"/>
        <v>46082</v>
      </c>
      <c r="B112" t="str">
        <f t="shared" si="20"/>
        <v>Sun</v>
      </c>
      <c r="C112" s="10"/>
      <c r="D112" s="10"/>
      <c r="E112" s="4">
        <f t="shared" si="21"/>
        <v>0</v>
      </c>
      <c r="F112" s="4">
        <f t="shared" si="22"/>
        <v>792</v>
      </c>
      <c r="G112" s="4">
        <f t="shared" si="23"/>
        <v>0</v>
      </c>
      <c r="H112" s="15">
        <f>(SQRT(4*I111*I111*V*V + 'Drilling Spec'!$C$42*I111 + W*('Drilling Spec'!$C$43 + 2*l*V*(s*W + 2*V*G112/(1+e)) + 'Drilling Spec'!$C$44)) - 'Drilling Spec'!$C$45)/(2*V)</f>
        <v>709.67645900268099</v>
      </c>
      <c r="I112" s="23">
        <f>IF(AND(OR(I111=0,I111=""),F112=0),IF(F113=0,"",'Drilling Spec'!$C$26),H112)</f>
        <v>709.67645900268099</v>
      </c>
      <c r="J112" s="16">
        <f>MAX(0,I112-'Drilling Spec'!$C$30)</f>
        <v>629.67645900268099</v>
      </c>
      <c r="K112" s="18">
        <f>IFERROR(J112/'Drilling Spec'!$C$31,0)</f>
        <v>41.978430600178733</v>
      </c>
      <c r="L112" s="21">
        <f t="shared" si="24"/>
        <v>0</v>
      </c>
      <c r="M112" s="4">
        <f t="shared" si="34"/>
        <v>132</v>
      </c>
      <c r="N112" s="21">
        <f t="shared" si="25"/>
        <v>0</v>
      </c>
      <c r="O112" s="18">
        <f>(SQRT(4*O111*O111*vB*vB + 'Drilling Spec'!$C$48*O111 + WB*('Drilling Spec'!$C$49 + 2*lB*vB*(sB*WB + 2*vB*N112/(1+eB)) + 'Drilling Spec'!$C$50)) - 'Drilling Spec'!$C$51)/(2*vB)</f>
        <v>723.46681615545504</v>
      </c>
      <c r="P112" s="18">
        <f>IFERROR(((S112-'Drilling Spec'!$C$30)/'Drilling Spec'!$C$31)*'Drilling Spec'!$C$32,0)</f>
        <v>38.608008969327301</v>
      </c>
      <c r="Q112" s="18">
        <f t="shared" si="35"/>
        <v>0</v>
      </c>
      <c r="R112" s="18"/>
      <c r="S112" s="26">
        <f>IF(AND(OR(T111=0,T111=""),M112=0),IF(M113=0,"",'Drilling Spec'!$C$30),O112)</f>
        <v>723.46681615545504</v>
      </c>
      <c r="U112" s="15">
        <f>E112*'Drilling Spec'!$C$22 + L112*'Drilling Spec'!$C$23</f>
        <v>0</v>
      </c>
      <c r="V112" s="15">
        <f t="shared" si="36"/>
        <v>19.091707317073169</v>
      </c>
      <c r="W112" s="15">
        <f t="shared" si="26"/>
        <v>4.9082926829268239</v>
      </c>
      <c r="X112" s="10"/>
      <c r="Y112" s="30">
        <f>IF(W112&lt;U113,'Drilling Spec'!$C$35,0)</f>
        <v>0</v>
      </c>
      <c r="AA112" s="4">
        <f t="shared" si="40"/>
        <v>46</v>
      </c>
      <c r="AB112" s="10"/>
      <c r="AC112" s="30">
        <f>IF('04-07-25-Scen5-WorstCargoJIT'!K113&gt;'04-07-25-Scen5-WorstCargoJIT'!AA112,'Drilling Spec'!$C$36,)</f>
        <v>0</v>
      </c>
      <c r="AE112" s="18">
        <f>(I112-'Drilling Spec'!$C$26)/'Drilling Spec'!$C$38</f>
        <v>106.61274316711349</v>
      </c>
      <c r="AF112" s="18">
        <f t="shared" si="27"/>
        <v>0</v>
      </c>
      <c r="AG112" s="34">
        <f t="shared" si="28"/>
        <v>0</v>
      </c>
      <c r="AH112" s="10"/>
      <c r="AI112" s="26">
        <f>IF(C112="Camp Closed",AG112,IF(AG112&lt;'Drilling Spec'!$C$39,,'Drilling Spec'!$C$39))</f>
        <v>0</v>
      </c>
      <c r="AL112" s="16">
        <f t="shared" si="29"/>
        <v>-709.67645900268099</v>
      </c>
      <c r="AM112" s="16">
        <f t="shared" si="30"/>
        <v>-723.46681615545504</v>
      </c>
      <c r="AN112">
        <f>-'Drilling Spec'!$C$29</f>
        <v>-720</v>
      </c>
      <c r="AO112">
        <f>-'Drilling Spec'!$C$27</f>
        <v>-624</v>
      </c>
      <c r="AP112">
        <f>-'Drilling Spec'!$C$28</f>
        <v>-688</v>
      </c>
      <c r="AQ112" t="e">
        <f t="shared" si="31"/>
        <v>#N/A</v>
      </c>
      <c r="AR112" t="e">
        <f>IF(X112=0,NA(),-'Drilling Spec'!$C$29*0.1)</f>
        <v>#N/A</v>
      </c>
      <c r="AS112" t="e">
        <f>IF(Y112=0,NA(),-'Drilling Spec'!$C$29*0.1)</f>
        <v>#N/A</v>
      </c>
      <c r="AT112" t="e">
        <f>IF(AB112=0,NA(),-'Drilling Spec'!$C$29*0.2)</f>
        <v>#N/A</v>
      </c>
      <c r="AU112" t="e">
        <f>IF(AC112=0,NA(),-'Drilling Spec'!$C$29*0.2)</f>
        <v>#N/A</v>
      </c>
      <c r="AV112" t="e">
        <f>IF(AH112=0,NA(),-'Drilling Spec'!$C$29*0.3)</f>
        <v>#N/A</v>
      </c>
      <c r="AW112" t="e">
        <f>IF(AI112=0,NA(),-'Drilling Spec'!$C$29*0.3)</f>
        <v>#N/A</v>
      </c>
      <c r="AX112" s="29">
        <f t="shared" si="32"/>
        <v>4.9082926829268239</v>
      </c>
      <c r="AY112" s="29">
        <f t="shared" si="33"/>
        <v>42.629578369148568</v>
      </c>
      <c r="AZ112" s="29">
        <f t="shared" si="37"/>
        <v>0</v>
      </c>
    </row>
  </sheetData>
  <mergeCells count="24">
    <mergeCell ref="BT6:CA6"/>
    <mergeCell ref="BA1:BR1"/>
    <mergeCell ref="BT1:CA1"/>
    <mergeCell ref="BT3:BU3"/>
    <mergeCell ref="BW3:CA3"/>
    <mergeCell ref="BT4:CA5"/>
    <mergeCell ref="BU24:CA25"/>
    <mergeCell ref="BT8:CA10"/>
    <mergeCell ref="BU11:BV11"/>
    <mergeCell ref="BW11:CA11"/>
    <mergeCell ref="BU12:BV12"/>
    <mergeCell ref="BW12:CA12"/>
    <mergeCell ref="BU13:BV13"/>
    <mergeCell ref="BW13:CA13"/>
    <mergeCell ref="BU14:BV14"/>
    <mergeCell ref="BW14:CA14"/>
    <mergeCell ref="BU15:CA16"/>
    <mergeCell ref="BU17:CA18"/>
    <mergeCell ref="BU19:CA23"/>
    <mergeCell ref="BT26:CA30"/>
    <mergeCell ref="BU31:CA32"/>
    <mergeCell ref="BU33:CA34"/>
    <mergeCell ref="BT35:CA37"/>
    <mergeCell ref="BT38:CA39"/>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7384D-5386-4BAD-A20F-057EE16475A9}">
  <dimension ref="A1:CA112"/>
  <sheetViews>
    <sheetView topLeftCell="B1" workbookViewId="0">
      <pane ySplit="1" topLeftCell="A2" activePane="bottomLeft" state="frozen"/>
      <selection pane="bottomLeft" activeCell="BX50" sqref="BX50"/>
    </sheetView>
  </sheetViews>
  <sheetFormatPr defaultRowHeight="14.5" x14ac:dyDescent="0.35"/>
  <cols>
    <col min="1" max="1" width="5.26953125" bestFit="1" customWidth="1"/>
    <col min="2" max="2" width="4.81640625" bestFit="1" customWidth="1"/>
    <col min="3" max="3" width="20" style="4" bestFit="1" customWidth="1"/>
    <col min="4" max="4" width="8.453125" style="4" bestFit="1" customWidth="1"/>
    <col min="5" max="5" width="7.54296875" style="4" hidden="1" customWidth="1"/>
    <col min="6" max="6" width="12.453125" style="4" hidden="1" customWidth="1"/>
    <col min="7" max="7" width="9.1796875" style="4" hidden="1" customWidth="1"/>
    <col min="8" max="8" width="12.453125" style="4" hidden="1" customWidth="1"/>
    <col min="9" max="9" width="8.7265625" style="4" hidden="1" customWidth="1"/>
    <col min="10" max="10" width="9.7265625" style="4" hidden="1" customWidth="1"/>
    <col min="11" max="11" width="8.453125" style="4" hidden="1" customWidth="1"/>
    <col min="12" max="14" width="7" style="4" hidden="1" customWidth="1"/>
    <col min="15" max="17" width="9.7265625" style="4" hidden="1" customWidth="1"/>
    <col min="18" max="18" width="1.453125" style="4" hidden="1" customWidth="1"/>
    <col min="19" max="19" width="10.1796875" style="4" hidden="1" customWidth="1"/>
    <col min="20" max="20" width="3.26953125" customWidth="1"/>
    <col min="21" max="23" width="9.7265625" hidden="1" customWidth="1"/>
    <col min="24" max="24" width="14.1796875" style="4" bestFit="1" customWidth="1"/>
    <col min="25" max="25" width="14" style="4" customWidth="1"/>
    <col min="26" max="26" width="2.453125" style="4" customWidth="1"/>
    <col min="27" max="27" width="9.54296875" style="4" hidden="1" customWidth="1"/>
    <col min="28" max="28" width="9.7265625" style="4" bestFit="1" customWidth="1"/>
    <col min="29" max="29" width="11.7265625" style="4" customWidth="1"/>
    <col min="30" max="30" width="1.453125" style="4" customWidth="1"/>
    <col min="31" max="32" width="9.1796875" style="4" hidden="1" customWidth="1"/>
    <col min="33" max="33" width="8" style="4" bestFit="1" customWidth="1"/>
    <col min="34" max="34" width="8.81640625" style="4" bestFit="1" customWidth="1"/>
    <col min="35" max="35" width="9.7265625" style="4" bestFit="1" customWidth="1"/>
    <col min="36" max="36" width="2.26953125" customWidth="1"/>
    <col min="37" max="37" width="9.1796875" hidden="1" customWidth="1"/>
    <col min="38" max="39" width="10" style="4" hidden="1" customWidth="1"/>
    <col min="40" max="50" width="9.1796875" hidden="1" customWidth="1"/>
    <col min="51" max="51" width="11.453125" hidden="1" customWidth="1"/>
    <col min="52" max="52" width="9.1796875" hidden="1" customWidth="1"/>
    <col min="53" max="53" width="16.26953125" bestFit="1" customWidth="1"/>
    <col min="54" max="54" width="10.453125" bestFit="1" customWidth="1"/>
    <col min="55" max="55" width="5.1796875" bestFit="1" customWidth="1"/>
    <col min="56" max="56" width="5" bestFit="1" customWidth="1"/>
    <col min="57" max="57" width="14" bestFit="1" customWidth="1"/>
    <col min="58" max="58" width="10.453125" bestFit="1" customWidth="1"/>
    <col min="59" max="59" width="4.453125" bestFit="1" customWidth="1"/>
    <col min="61" max="61" width="4.453125" bestFit="1" customWidth="1"/>
    <col min="71" max="71" width="0.54296875" customWidth="1"/>
    <col min="72" max="72" width="2" customWidth="1"/>
  </cols>
  <sheetData>
    <row r="1" spans="1:79" s="6" customFormat="1" ht="60" customHeight="1" x14ac:dyDescent="0.7">
      <c r="A1" s="6" t="s">
        <v>160</v>
      </c>
      <c r="B1" s="6" t="s">
        <v>6</v>
      </c>
      <c r="C1" s="6" t="s">
        <v>1</v>
      </c>
      <c r="D1" s="6" t="s">
        <v>5</v>
      </c>
      <c r="E1" s="13" t="s">
        <v>8</v>
      </c>
      <c r="F1" s="13" t="s">
        <v>28</v>
      </c>
      <c r="G1" s="13" t="s">
        <v>51</v>
      </c>
      <c r="H1" s="13" t="s">
        <v>49</v>
      </c>
      <c r="I1" s="6" t="s">
        <v>48</v>
      </c>
      <c r="J1" s="13" t="s">
        <v>103</v>
      </c>
      <c r="K1" s="6" t="s">
        <v>11</v>
      </c>
      <c r="L1" s="13" t="s">
        <v>101</v>
      </c>
      <c r="M1" s="13" t="s">
        <v>107</v>
      </c>
      <c r="N1" s="13" t="s">
        <v>102</v>
      </c>
      <c r="O1" s="13" t="s">
        <v>105</v>
      </c>
      <c r="P1" s="13" t="s">
        <v>163</v>
      </c>
      <c r="Q1" s="13" t="s">
        <v>164</v>
      </c>
      <c r="R1" s="13"/>
      <c r="S1" s="6" t="s">
        <v>106</v>
      </c>
      <c r="U1" s="13" t="s">
        <v>155</v>
      </c>
      <c r="V1" s="13" t="s">
        <v>156</v>
      </c>
      <c r="W1" s="13" t="s">
        <v>157</v>
      </c>
      <c r="X1" s="6" t="s">
        <v>158</v>
      </c>
      <c r="Y1" s="6" t="s">
        <v>159</v>
      </c>
      <c r="AA1" s="13" t="s">
        <v>75</v>
      </c>
      <c r="AB1" s="6" t="s">
        <v>118</v>
      </c>
      <c r="AC1" s="6" t="s">
        <v>119</v>
      </c>
      <c r="AE1" s="13" t="s">
        <v>122</v>
      </c>
      <c r="AF1" s="13" t="s">
        <v>125</v>
      </c>
      <c r="AG1" s="13" t="s">
        <v>124</v>
      </c>
      <c r="AH1" s="6" t="s">
        <v>123</v>
      </c>
      <c r="AI1" s="6" t="s">
        <v>126</v>
      </c>
      <c r="AJ1"/>
      <c r="AK1" s="13" t="s">
        <v>69</v>
      </c>
      <c r="AL1" s="13" t="s">
        <v>67</v>
      </c>
      <c r="AM1" s="13" t="s">
        <v>104</v>
      </c>
      <c r="AN1" s="13" t="s">
        <v>54</v>
      </c>
      <c r="AO1" s="13" t="s">
        <v>65</v>
      </c>
      <c r="AP1" s="13" t="s">
        <v>66</v>
      </c>
      <c r="AQ1" s="13" t="s">
        <v>115</v>
      </c>
      <c r="AR1" s="13" t="s">
        <v>152</v>
      </c>
      <c r="AS1" s="13" t="s">
        <v>153</v>
      </c>
      <c r="AT1" s="13" t="s">
        <v>121</v>
      </c>
      <c r="AU1" s="13" t="s">
        <v>120</v>
      </c>
      <c r="AV1" s="13" t="s">
        <v>127</v>
      </c>
      <c r="AW1" s="13" t="s">
        <v>128</v>
      </c>
      <c r="AX1" s="13" t="s">
        <v>161</v>
      </c>
      <c r="AY1" s="13" t="s">
        <v>166</v>
      </c>
      <c r="AZ1" s="13" t="s">
        <v>162</v>
      </c>
      <c r="BA1" s="37" t="s">
        <v>171</v>
      </c>
      <c r="BB1" s="37"/>
      <c r="BC1" s="37"/>
      <c r="BD1" s="37"/>
      <c r="BE1" s="37"/>
      <c r="BF1" s="37"/>
      <c r="BG1" s="37"/>
      <c r="BH1" s="37"/>
      <c r="BI1" s="37"/>
      <c r="BJ1" s="37"/>
      <c r="BK1" s="37"/>
      <c r="BL1" s="37"/>
      <c r="BM1" s="37"/>
      <c r="BN1" s="37"/>
      <c r="BO1" s="37"/>
      <c r="BP1" s="37"/>
      <c r="BQ1" s="37"/>
      <c r="BR1" s="37"/>
      <c r="BT1" s="46" t="s">
        <v>173</v>
      </c>
      <c r="BU1" s="46"/>
      <c r="BV1" s="46"/>
      <c r="BW1" s="46"/>
      <c r="BX1" s="46"/>
      <c r="BY1" s="46"/>
      <c r="BZ1" s="46"/>
      <c r="CA1" s="46"/>
    </row>
    <row r="2" spans="1:79" s="6" customFormat="1" ht="5.25" customHeight="1" x14ac:dyDescent="0.35">
      <c r="AJ2"/>
    </row>
    <row r="3" spans="1:79" x14ac:dyDescent="0.35">
      <c r="A3" s="27">
        <f>BB4</f>
        <v>45973</v>
      </c>
      <c r="B3" t="str">
        <f t="shared" ref="B3:B66" si="0">TEXT(A3,"ddd")</f>
        <v>Wed</v>
      </c>
      <c r="C3" s="10" t="s">
        <v>2</v>
      </c>
      <c r="D3" s="10">
        <v>12</v>
      </c>
      <c r="E3" s="4">
        <f t="shared" ref="E3:E66" si="1">IF(C3="Drilling",D3,0)</f>
        <v>0</v>
      </c>
      <c r="F3" s="4">
        <f t="shared" ref="F3:F66" si="2">(F2+E3)</f>
        <v>0</v>
      </c>
      <c r="G3" s="4">
        <f t="shared" ref="G3:G66" si="3">E3*60</f>
        <v>0</v>
      </c>
      <c r="H3" s="15">
        <f>(SQRT(4*I2*I2*V*V + 'Drilling Spec'!$C$42*I2 + W*('Drilling Spec'!$C$43 + 2*l*V*(s*W + 2*V*G3/(1+e)) + 'Drilling Spec'!$C$44)) - 'Drilling Spec'!$C$45)/(2*V)</f>
        <v>0</v>
      </c>
      <c r="I3" s="23" t="str">
        <f>IF(AND(OR(I2=0,I2=""),F3=0),IF(F4=0,"",'Drilling Spec'!$C$26),H3)</f>
        <v/>
      </c>
      <c r="J3" s="16" t="e">
        <f>MAX(0,I3-'Drilling Spec'!$C$30)</f>
        <v>#VALUE!</v>
      </c>
      <c r="K3" s="18">
        <f>IFERROR(J3/'Drilling Spec'!$C$31,0)</f>
        <v>0</v>
      </c>
      <c r="L3" s="21">
        <f t="shared" ref="L3:L66" si="4">IF(C3="Bailing",D3,0)</f>
        <v>0</v>
      </c>
      <c r="M3" s="4">
        <f>(M2+L3)</f>
        <v>0</v>
      </c>
      <c r="N3" s="4">
        <f t="shared" ref="N3:N66" si="5">L3*60</f>
        <v>0</v>
      </c>
      <c r="O3" s="18">
        <f>(SQRT(4*O2*O2*vB*vB + 'Drilling Spec'!$C$48*O2 + WB*('Drilling Spec'!$C$49 + 2*lB*vB*(sB*WB + 2*vB*N3/(1+eB)) + 'Drilling Spec'!$C$50)) - 'Drilling Spec'!$C$51)/(2*vB)</f>
        <v>0</v>
      </c>
      <c r="P3" s="18">
        <f>IFERROR(((S3-'Drilling Spec'!$C$30)/'Drilling Spec'!$C$31)*'Drilling Spec'!$C$32,0)</f>
        <v>0</v>
      </c>
      <c r="Q3" s="18">
        <f>P3-P2</f>
        <v>0</v>
      </c>
      <c r="R3" s="18"/>
      <c r="S3" s="26" t="str">
        <f>IF(AND(OR(T2=0,T2=""),M3=0),IF(M4=0,"",'Drilling Spec'!$C$30),O3)</f>
        <v/>
      </c>
      <c r="U3" s="15">
        <f>E3*'Drilling Spec'!$C$22 + L3*'Drilling Spec'!$C$23</f>
        <v>0</v>
      </c>
      <c r="V3" s="15">
        <f>V2+U3</f>
        <v>0</v>
      </c>
      <c r="W3" s="15">
        <f t="shared" ref="W3:W66" si="6">W2-U3+X2+Y2</f>
        <v>0</v>
      </c>
      <c r="X3" s="10"/>
      <c r="Y3" s="30">
        <f>IF(W3&lt;U4,'Drilling Spec'!$C$35,0)</f>
        <v>0</v>
      </c>
      <c r="AA3" s="4">
        <f>AA2+AC2+AB3+'Drilling Spec'!$C$37</f>
        <v>4</v>
      </c>
      <c r="AB3" s="10"/>
      <c r="AC3" s="30">
        <f>IF('04-07-25-Scen6-Good,16hr'!K4&gt;'04-07-25-Scen6-Good,16hr'!AA3,'Drilling Spec'!$C$36,)</f>
        <v>0</v>
      </c>
      <c r="AE3" s="18" t="e">
        <f>(I3-'Drilling Spec'!$C$26)/'Drilling Spec'!$C$38</f>
        <v>#VALUE!</v>
      </c>
      <c r="AF3" s="18">
        <f t="shared" ref="AF3:AF66" si="7">IFERROR(AE3-AE2,0)</f>
        <v>0</v>
      </c>
      <c r="AG3" s="34">
        <f t="shared" ref="AG3:AG66" si="8">AG2+AF3-AH3-AI2</f>
        <v>0</v>
      </c>
      <c r="AH3" s="10"/>
      <c r="AI3" s="26">
        <f>IF(C3="Camp Closed",AG3,IF(AG3&lt;'Drilling Spec'!$C$39,,'Drilling Spec'!$C$39))</f>
        <v>0</v>
      </c>
      <c r="AK3">
        <v>0</v>
      </c>
      <c r="AL3" s="16" t="e">
        <f t="shared" ref="AL3:AL66" si="9">IFERROR(-I3,NA())</f>
        <v>#N/A</v>
      </c>
      <c r="AM3" s="16" t="e">
        <f t="shared" ref="AM3:AM66" si="10">IF(OR(S3=0,S3=""),NA(),-S3)</f>
        <v>#N/A</v>
      </c>
      <c r="AN3">
        <f>-'Drilling Spec'!$C$29</f>
        <v>-720</v>
      </c>
      <c r="AO3">
        <f>-'Drilling Spec'!$C$27</f>
        <v>-624</v>
      </c>
      <c r="AP3">
        <f>-'Drilling Spec'!$C$28</f>
        <v>-688</v>
      </c>
      <c r="AQ3" t="e">
        <f t="shared" ref="AQ3:AQ66" si="11">IF(C3="Camp Closed",0,NA())</f>
        <v>#N/A</v>
      </c>
      <c r="AR3" t="e">
        <f>IF(X3=0,NA(),-'Drilling Spec'!$C$29*0.1)</f>
        <v>#N/A</v>
      </c>
      <c r="AS3" t="e">
        <f>IF(Y3=0,NA(),-'Drilling Spec'!$C$29*0.1)</f>
        <v>#N/A</v>
      </c>
      <c r="AT3" t="e">
        <f>IF(AB3=0,NA(),-'Drilling Spec'!$C$29*0.2)</f>
        <v>#N/A</v>
      </c>
      <c r="AU3" t="e">
        <f>IF(AC3=0,NA(),-'Drilling Spec'!$C$29*0.2)</f>
        <v>#N/A</v>
      </c>
      <c r="AV3" t="e">
        <f>IF(AH3=0,NA(),-'Drilling Spec'!$C$29*0.3)</f>
        <v>#N/A</v>
      </c>
      <c r="AW3" t="e">
        <f>IF(AI3=0,NA(),-'Drilling Spec'!$C$29*0.3)</f>
        <v>#N/A</v>
      </c>
      <c r="AX3" s="29">
        <f t="shared" ref="AX3:AX66" si="12">W3</f>
        <v>0</v>
      </c>
      <c r="AY3" s="29">
        <f t="shared" ref="AY3:AY66" si="13">AA3-K3+P3</f>
        <v>4</v>
      </c>
      <c r="AZ3" s="29">
        <f>AG3</f>
        <v>0</v>
      </c>
      <c r="BB3" s="33" t="s">
        <v>160</v>
      </c>
      <c r="BC3" s="33" t="s">
        <v>131</v>
      </c>
      <c r="BF3" s="33" t="s">
        <v>160</v>
      </c>
      <c r="BG3" s="33" t="s">
        <v>131</v>
      </c>
      <c r="BT3" s="45" t="s">
        <v>174</v>
      </c>
      <c r="BU3" s="45"/>
      <c r="BV3" s="36" t="s">
        <v>175</v>
      </c>
      <c r="BW3" s="47" t="s">
        <v>176</v>
      </c>
      <c r="BX3" s="45"/>
      <c r="BY3" s="45"/>
      <c r="BZ3" s="45"/>
      <c r="CA3" s="45"/>
    </row>
    <row r="4" spans="1:79" x14ac:dyDescent="0.35">
      <c r="A4" s="28">
        <f>A3+1</f>
        <v>45974</v>
      </c>
      <c r="B4" t="str">
        <f t="shared" si="0"/>
        <v>Thu</v>
      </c>
      <c r="C4" s="10" t="s">
        <v>3</v>
      </c>
      <c r="D4" s="10">
        <v>12</v>
      </c>
      <c r="E4" s="4">
        <f t="shared" si="1"/>
        <v>0</v>
      </c>
      <c r="F4" s="4">
        <f t="shared" si="2"/>
        <v>0</v>
      </c>
      <c r="G4" s="4">
        <f t="shared" si="3"/>
        <v>0</v>
      </c>
      <c r="H4" s="15" t="e">
        <f>(SQRT(4*I3*I3*V*V + 'Drilling Spec'!$C$42*I3 + W*('Drilling Spec'!$C$43 + 2*l*V*(s*W + 2*V*G4/(1+e)) + 'Drilling Spec'!$C$44)) - 'Drilling Spec'!$C$45)/(2*V)</f>
        <v>#VALUE!</v>
      </c>
      <c r="I4" s="23" t="str">
        <f>IF(AND(OR(I3=0,I3=""),F4=0),IF(F5=0,"",'Drilling Spec'!$C$26),H4)</f>
        <v/>
      </c>
      <c r="J4" s="16" t="e">
        <f>MAX(0,I4-'Drilling Spec'!$C$30)</f>
        <v>#VALUE!</v>
      </c>
      <c r="K4" s="18">
        <f>IFERROR(J4/'Drilling Spec'!$C$31,0)</f>
        <v>0</v>
      </c>
      <c r="L4" s="21">
        <f t="shared" si="4"/>
        <v>0</v>
      </c>
      <c r="M4" s="4">
        <f t="shared" ref="M4:M67" si="14">(M3+L4)</f>
        <v>0</v>
      </c>
      <c r="N4" s="21">
        <f t="shared" si="5"/>
        <v>0</v>
      </c>
      <c r="O4" s="18">
        <f>(SQRT(4*O3*O3*vB*vB + 'Drilling Spec'!$C$48*O3 + WB*('Drilling Spec'!$C$49 + 2*lB*vB*(sB*WB + 2*vB*N4/(1+eB)) + 'Drilling Spec'!$C$50)) - 'Drilling Spec'!$C$51)/(2*vB)</f>
        <v>0</v>
      </c>
      <c r="P4" s="18">
        <f>IFERROR(((S4-'Drilling Spec'!$C$30)/'Drilling Spec'!$C$31)*'Drilling Spec'!$C$32,0)</f>
        <v>0</v>
      </c>
      <c r="Q4" s="18">
        <f t="shared" ref="Q4:Q67" si="15">P4-P3</f>
        <v>0</v>
      </c>
      <c r="R4" s="18"/>
      <c r="S4" s="26" t="str">
        <f>IF(AND(OR(T3=0,T3=""),M4=0),IF(M5=0,"",'Drilling Spec'!$C$30),O4)</f>
        <v/>
      </c>
      <c r="U4" s="15">
        <f>E4*'Drilling Spec'!$C$22 + L4*'Drilling Spec'!$C$23</f>
        <v>0</v>
      </c>
      <c r="V4" s="15">
        <f t="shared" ref="V4:V67" si="16">V3+U4</f>
        <v>0</v>
      </c>
      <c r="W4" s="15">
        <f t="shared" si="6"/>
        <v>0</v>
      </c>
      <c r="X4" s="10"/>
      <c r="Y4" s="30">
        <f>IF(W4&lt;U5,'Drilling Spec'!$C$35,0)</f>
        <v>0</v>
      </c>
      <c r="AA4" s="4">
        <f>AA3+AC3+AB4</f>
        <v>4</v>
      </c>
      <c r="AB4" s="10"/>
      <c r="AC4" s="30">
        <f>IF('04-07-25-Scen6-Good,16hr'!K5&gt;'04-07-25-Scen6-Good,16hr'!AA4,'Drilling Spec'!$C$36,)</f>
        <v>0</v>
      </c>
      <c r="AE4" s="18" t="e">
        <f>(I4-'Drilling Spec'!$C$26)/'Drilling Spec'!$C$38</f>
        <v>#VALUE!</v>
      </c>
      <c r="AF4" s="18">
        <f t="shared" si="7"/>
        <v>0</v>
      </c>
      <c r="AG4" s="34">
        <f t="shared" si="8"/>
        <v>0</v>
      </c>
      <c r="AH4" s="10"/>
      <c r="AI4" s="26">
        <f>IF(C4="Camp Closed",AG4,IF(AG4&lt;'Drilling Spec'!$C$39,,'Drilling Spec'!$C$39))</f>
        <v>0</v>
      </c>
      <c r="AL4" s="16" t="e">
        <f t="shared" si="9"/>
        <v>#N/A</v>
      </c>
      <c r="AM4" s="16" t="e">
        <f t="shared" si="10"/>
        <v>#N/A</v>
      </c>
      <c r="AN4">
        <f>-'Drilling Spec'!$C$29</f>
        <v>-720</v>
      </c>
      <c r="AO4">
        <f>-'Drilling Spec'!$C$27</f>
        <v>-624</v>
      </c>
      <c r="AP4">
        <f>-'Drilling Spec'!$C$28</f>
        <v>-688</v>
      </c>
      <c r="AQ4" t="e">
        <f t="shared" si="11"/>
        <v>#N/A</v>
      </c>
      <c r="AR4" t="e">
        <f>IF(X4=0,NA(),-'Drilling Spec'!$C$29*0.1)</f>
        <v>#N/A</v>
      </c>
      <c r="AS4" t="e">
        <f>IF(Y4=0,NA(),-'Drilling Spec'!$C$29*0.1)</f>
        <v>#N/A</v>
      </c>
      <c r="AT4" t="e">
        <f>IF(AB4=0,NA(),-'Drilling Spec'!$C$29*0.2)</f>
        <v>#N/A</v>
      </c>
      <c r="AU4" t="e">
        <f>IF(AC4=0,NA(),-'Drilling Spec'!$C$29*0.2)</f>
        <v>#N/A</v>
      </c>
      <c r="AV4" t="e">
        <f>IF(AH4=0,NA(),-'Drilling Spec'!$C$29*0.3)</f>
        <v>#N/A</v>
      </c>
      <c r="AW4" t="e">
        <f>IF(AI4=0,NA(),-'Drilling Spec'!$C$29*0.3)</f>
        <v>#N/A</v>
      </c>
      <c r="AX4" s="29">
        <f t="shared" si="12"/>
        <v>0</v>
      </c>
      <c r="AY4" s="29">
        <f t="shared" si="13"/>
        <v>4</v>
      </c>
      <c r="AZ4" s="29">
        <f t="shared" ref="AZ4:AZ67" si="17">AG4</f>
        <v>0</v>
      </c>
      <c r="BA4" s="31" t="s">
        <v>132</v>
      </c>
      <c r="BB4" s="32">
        <v>45973</v>
      </c>
      <c r="BC4" s="10">
        <v>5</v>
      </c>
      <c r="BE4" s="31" t="s">
        <v>134</v>
      </c>
      <c r="BF4" s="32">
        <v>46043</v>
      </c>
      <c r="BG4" s="10">
        <v>5</v>
      </c>
      <c r="BT4" s="39" t="s">
        <v>177</v>
      </c>
      <c r="BU4" s="39"/>
      <c r="BV4" s="39"/>
      <c r="BW4" s="39"/>
      <c r="BX4" s="39"/>
      <c r="BY4" s="39"/>
      <c r="BZ4" s="39"/>
      <c r="CA4" s="39"/>
    </row>
    <row r="5" spans="1:79" x14ac:dyDescent="0.35">
      <c r="A5" s="28">
        <f t="shared" ref="A5:A68" si="18">A4+1</f>
        <v>45975</v>
      </c>
      <c r="B5" t="str">
        <f t="shared" si="0"/>
        <v>Fri</v>
      </c>
      <c r="C5" s="10" t="s">
        <v>3</v>
      </c>
      <c r="D5" s="10">
        <v>12</v>
      </c>
      <c r="E5" s="4">
        <f t="shared" si="1"/>
        <v>0</v>
      </c>
      <c r="F5" s="4">
        <f t="shared" si="2"/>
        <v>0</v>
      </c>
      <c r="G5" s="4">
        <f t="shared" si="3"/>
        <v>0</v>
      </c>
      <c r="H5" s="15" t="e">
        <f>(SQRT(4*I4*I4*V*V + 'Drilling Spec'!$C$42*I4 + W*('Drilling Spec'!$C$43 + 2*l*V*(s*W + 2*V*G5/(1+e)) + 'Drilling Spec'!$C$44)) - 'Drilling Spec'!$C$45)/(2*V)</f>
        <v>#VALUE!</v>
      </c>
      <c r="I5" s="23" t="str">
        <f>IF(AND(OR(I4=0,I4=""),F5=0),IF(F6=0,"",'Drilling Spec'!$C$26),H5)</f>
        <v/>
      </c>
      <c r="J5" s="16" t="e">
        <f>MAX(0,I5-'Drilling Spec'!$C$30)</f>
        <v>#VALUE!</v>
      </c>
      <c r="K5" s="18">
        <f>IFERROR(J5/'Drilling Spec'!$C$31,0)</f>
        <v>0</v>
      </c>
      <c r="L5" s="21">
        <f t="shared" si="4"/>
        <v>0</v>
      </c>
      <c r="M5" s="4">
        <f t="shared" si="14"/>
        <v>0</v>
      </c>
      <c r="N5" s="21">
        <f t="shared" si="5"/>
        <v>0</v>
      </c>
      <c r="O5" s="18">
        <f>(SQRT(4*O4*O4*vB*vB + 'Drilling Spec'!$C$48*O4 + WB*('Drilling Spec'!$C$49 + 2*lB*vB*(sB*WB + 2*vB*N5/(1+eB)) + 'Drilling Spec'!$C$50)) - 'Drilling Spec'!$C$51)/(2*vB)</f>
        <v>0</v>
      </c>
      <c r="P5" s="18">
        <f>IFERROR(((S5-'Drilling Spec'!$C$30)/'Drilling Spec'!$C$31)*'Drilling Spec'!$C$32,0)</f>
        <v>0</v>
      </c>
      <c r="Q5" s="18">
        <f t="shared" si="15"/>
        <v>0</v>
      </c>
      <c r="R5" s="18"/>
      <c r="S5" s="26" t="str">
        <f>IF(AND(OR(T4=0,T4=""),M5=0),IF(M6=0,"",'Drilling Spec'!$C$30),O5)</f>
        <v/>
      </c>
      <c r="U5" s="15">
        <f>E5*'Drilling Spec'!$C$22 + L5*'Drilling Spec'!$C$23</f>
        <v>0</v>
      </c>
      <c r="V5" s="15">
        <f t="shared" si="16"/>
        <v>0</v>
      </c>
      <c r="W5" s="15">
        <f t="shared" si="6"/>
        <v>0</v>
      </c>
      <c r="X5" s="10"/>
      <c r="Y5" s="30">
        <f>IF(W5&lt;U6,'Drilling Spec'!$C$35,0)</f>
        <v>0</v>
      </c>
      <c r="AA5" s="4">
        <f t="shared" ref="AA5:AA68" si="19">AA4+AC4+AB5</f>
        <v>4</v>
      </c>
      <c r="AB5" s="10"/>
      <c r="AC5" s="30">
        <f>IF('04-07-25-Scen6-Good,16hr'!K6&gt;'04-07-25-Scen6-Good,16hr'!AA5,'Drilling Spec'!$C$36,)</f>
        <v>0</v>
      </c>
      <c r="AE5" s="18" t="e">
        <f>(I5-'Drilling Spec'!$C$26)/'Drilling Spec'!$C$38</f>
        <v>#VALUE!</v>
      </c>
      <c r="AF5" s="18">
        <f t="shared" si="7"/>
        <v>0</v>
      </c>
      <c r="AG5" s="34">
        <f t="shared" si="8"/>
        <v>0</v>
      </c>
      <c r="AH5" s="10"/>
      <c r="AI5" s="26">
        <f>IF(C5="Camp Closed",AG5,IF(AG5&lt;'Drilling Spec'!$C$39,,'Drilling Spec'!$C$39))</f>
        <v>0</v>
      </c>
      <c r="AL5" s="16" t="e">
        <f t="shared" si="9"/>
        <v>#N/A</v>
      </c>
      <c r="AM5" s="16" t="e">
        <f t="shared" si="10"/>
        <v>#N/A</v>
      </c>
      <c r="AN5">
        <f>-'Drilling Spec'!$C$29</f>
        <v>-720</v>
      </c>
      <c r="AO5">
        <f>-'Drilling Spec'!$C$27</f>
        <v>-624</v>
      </c>
      <c r="AP5">
        <f>-'Drilling Spec'!$C$28</f>
        <v>-688</v>
      </c>
      <c r="AQ5" t="e">
        <f t="shared" si="11"/>
        <v>#N/A</v>
      </c>
      <c r="AR5" t="e">
        <f>IF(X5=0,NA(),-'Drilling Spec'!$C$29*0.1)</f>
        <v>#N/A</v>
      </c>
      <c r="AS5" t="e">
        <f>IF(Y5=0,NA(),-'Drilling Spec'!$C$29*0.1)</f>
        <v>#N/A</v>
      </c>
      <c r="AT5" t="e">
        <f>IF(AB5=0,NA(),-'Drilling Spec'!$C$29*0.2)</f>
        <v>#N/A</v>
      </c>
      <c r="AU5" t="e">
        <f>IF(AC5=0,NA(),-'Drilling Spec'!$C$29*0.2)</f>
        <v>#N/A</v>
      </c>
      <c r="AV5" t="e">
        <f>IF(AH5=0,NA(),-'Drilling Spec'!$C$29*0.3)</f>
        <v>#N/A</v>
      </c>
      <c r="AW5" t="e">
        <f>IF(AI5=0,NA(),-'Drilling Spec'!$C$29*0.3)</f>
        <v>#N/A</v>
      </c>
      <c r="AX5" s="29">
        <f t="shared" si="12"/>
        <v>0</v>
      </c>
      <c r="AY5" s="29">
        <f t="shared" si="13"/>
        <v>4</v>
      </c>
      <c r="AZ5" s="29">
        <f t="shared" si="17"/>
        <v>0</v>
      </c>
      <c r="BA5" s="31" t="s">
        <v>133</v>
      </c>
      <c r="BB5" s="32">
        <v>45978</v>
      </c>
      <c r="BC5" s="10">
        <v>5</v>
      </c>
      <c r="BE5" s="31" t="s">
        <v>167</v>
      </c>
      <c r="BF5" s="32">
        <v>46055</v>
      </c>
      <c r="BG5" s="10">
        <v>5</v>
      </c>
      <c r="BT5" s="39"/>
      <c r="BU5" s="39"/>
      <c r="BV5" s="39"/>
      <c r="BW5" s="39"/>
      <c r="BX5" s="39"/>
      <c r="BY5" s="39"/>
      <c r="BZ5" s="39"/>
      <c r="CA5" s="39"/>
    </row>
    <row r="6" spans="1:79" x14ac:dyDescent="0.35">
      <c r="A6" s="28">
        <f t="shared" si="18"/>
        <v>45976</v>
      </c>
      <c r="B6" t="str">
        <f t="shared" si="0"/>
        <v>Sat</v>
      </c>
      <c r="C6" s="10" t="s">
        <v>3</v>
      </c>
      <c r="D6" s="10">
        <v>12</v>
      </c>
      <c r="E6" s="4">
        <f t="shared" si="1"/>
        <v>0</v>
      </c>
      <c r="F6" s="4">
        <f t="shared" si="2"/>
        <v>0</v>
      </c>
      <c r="G6" s="4">
        <f t="shared" si="3"/>
        <v>0</v>
      </c>
      <c r="H6" s="15" t="e">
        <f>(SQRT(4*I5*I5*V*V + 'Drilling Spec'!$C$42*I5 + W*('Drilling Spec'!$C$43 + 2*l*V*(s*W + 2*V*G6/(1+e)) + 'Drilling Spec'!$C$44)) - 'Drilling Spec'!$C$45)/(2*V)</f>
        <v>#VALUE!</v>
      </c>
      <c r="I6" s="23" t="str">
        <f>IF(AND(OR(I5=0,I5=""),F6=0),IF(F7=0,"",'Drilling Spec'!$C$26),H6)</f>
        <v/>
      </c>
      <c r="J6" s="16" t="e">
        <f>MAX(0,I6-'Drilling Spec'!$C$30)</f>
        <v>#VALUE!</v>
      </c>
      <c r="K6" s="18">
        <f>IFERROR(J6/'Drilling Spec'!$C$31,0)</f>
        <v>0</v>
      </c>
      <c r="L6" s="21">
        <f t="shared" si="4"/>
        <v>0</v>
      </c>
      <c r="M6" s="4">
        <f t="shared" si="14"/>
        <v>0</v>
      </c>
      <c r="N6" s="21">
        <f t="shared" si="5"/>
        <v>0</v>
      </c>
      <c r="O6" s="18">
        <f>(SQRT(4*O5*O5*vB*vB + 'Drilling Spec'!$C$48*O5 + WB*('Drilling Spec'!$C$49 + 2*lB*vB*(sB*WB + 2*vB*N6/(1+eB)) + 'Drilling Spec'!$C$50)) - 'Drilling Spec'!$C$51)/(2*vB)</f>
        <v>0</v>
      </c>
      <c r="P6" s="18">
        <f>IFERROR(((S6-'Drilling Spec'!$C$30)/'Drilling Spec'!$C$31)*'Drilling Spec'!$C$32,0)</f>
        <v>0</v>
      </c>
      <c r="Q6" s="18">
        <f t="shared" si="15"/>
        <v>0</v>
      </c>
      <c r="R6" s="18"/>
      <c r="S6" s="26" t="str">
        <f>IF(AND(OR(T5=0,T5=""),M6=0),IF(M7=0,"",'Drilling Spec'!$C$30),O6)</f>
        <v/>
      </c>
      <c r="U6" s="15">
        <f>E6*'Drilling Spec'!$C$22 + L6*'Drilling Spec'!$C$23</f>
        <v>0</v>
      </c>
      <c r="V6" s="15">
        <f t="shared" si="16"/>
        <v>0</v>
      </c>
      <c r="W6" s="15">
        <f t="shared" si="6"/>
        <v>0</v>
      </c>
      <c r="X6" s="10"/>
      <c r="Y6" s="30">
        <f>IF(W6&lt;U7,'Drilling Spec'!$C$35,0)</f>
        <v>0</v>
      </c>
      <c r="AA6" s="4">
        <f t="shared" si="19"/>
        <v>4</v>
      </c>
      <c r="AB6" s="10"/>
      <c r="AC6" s="30">
        <f>IF('04-07-25-Scen6-Good,16hr'!K7&gt;'04-07-25-Scen6-Good,16hr'!AA6,'Drilling Spec'!$C$36,)</f>
        <v>0</v>
      </c>
      <c r="AE6" s="18" t="e">
        <f>(I6-'Drilling Spec'!$C$26)/'Drilling Spec'!$C$38</f>
        <v>#VALUE!</v>
      </c>
      <c r="AF6" s="18">
        <f t="shared" si="7"/>
        <v>0</v>
      </c>
      <c r="AG6" s="34">
        <f t="shared" si="8"/>
        <v>0</v>
      </c>
      <c r="AH6" s="10"/>
      <c r="AI6" s="26">
        <f>IF(C6="Camp Closed",AG6,IF(AG6&lt;'Drilling Spec'!$C$39,,'Drilling Spec'!$C$39))</f>
        <v>0</v>
      </c>
      <c r="AL6" s="16" t="e">
        <f t="shared" si="9"/>
        <v>#N/A</v>
      </c>
      <c r="AM6" s="16" t="e">
        <f t="shared" si="10"/>
        <v>#N/A</v>
      </c>
      <c r="AN6">
        <f>-'Drilling Spec'!$C$29</f>
        <v>-720</v>
      </c>
      <c r="AO6">
        <f>-'Drilling Spec'!$C$27</f>
        <v>-624</v>
      </c>
      <c r="AP6">
        <f>-'Drilling Spec'!$C$28</f>
        <v>-688</v>
      </c>
      <c r="AQ6" t="e">
        <f t="shared" si="11"/>
        <v>#N/A</v>
      </c>
      <c r="AR6" t="e">
        <f>IF(X6=0,NA(),-'Drilling Spec'!$C$29*0.1)</f>
        <v>#N/A</v>
      </c>
      <c r="AS6" t="e">
        <f>IF(Y6=0,NA(),-'Drilling Spec'!$C$29*0.1)</f>
        <v>#N/A</v>
      </c>
      <c r="AT6" t="e">
        <f>IF(AB6=0,NA(),-'Drilling Spec'!$C$29*0.2)</f>
        <v>#N/A</v>
      </c>
      <c r="AU6" t="e">
        <f>IF(AC6=0,NA(),-'Drilling Spec'!$C$29*0.2)</f>
        <v>#N/A</v>
      </c>
      <c r="AV6" t="e">
        <f>IF(AH6=0,NA(),-'Drilling Spec'!$C$29*0.3)</f>
        <v>#N/A</v>
      </c>
      <c r="AW6" t="e">
        <f>IF(AI6=0,NA(),-'Drilling Spec'!$C$29*0.3)</f>
        <v>#N/A</v>
      </c>
      <c r="AX6" s="29">
        <f t="shared" si="12"/>
        <v>0</v>
      </c>
      <c r="AY6" s="29">
        <f t="shared" si="13"/>
        <v>4</v>
      </c>
      <c r="AZ6" s="29">
        <f t="shared" si="17"/>
        <v>0</v>
      </c>
      <c r="BT6" s="45" t="s">
        <v>178</v>
      </c>
      <c r="BU6" s="45"/>
      <c r="BV6" s="45"/>
      <c r="BW6" s="45"/>
      <c r="BX6" s="45"/>
      <c r="BY6" s="45"/>
      <c r="BZ6" s="45"/>
      <c r="CA6" s="45"/>
    </row>
    <row r="7" spans="1:79" x14ac:dyDescent="0.35">
      <c r="A7" s="28">
        <f t="shared" si="18"/>
        <v>45977</v>
      </c>
      <c r="B7" t="str">
        <f t="shared" si="0"/>
        <v>Sun</v>
      </c>
      <c r="C7" s="10" t="s">
        <v>3</v>
      </c>
      <c r="D7" s="10">
        <v>12</v>
      </c>
      <c r="E7" s="4">
        <f t="shared" si="1"/>
        <v>0</v>
      </c>
      <c r="F7" s="4">
        <f t="shared" si="2"/>
        <v>0</v>
      </c>
      <c r="G7" s="4">
        <f t="shared" si="3"/>
        <v>0</v>
      </c>
      <c r="H7" s="15" t="e">
        <f>(SQRT(4*I6*I6*V*V + 'Drilling Spec'!$C$42*I6 + W*('Drilling Spec'!$C$43 + 2*l*V*(s*W + 2*V*G7/(1+e)) + 'Drilling Spec'!$C$44)) - 'Drilling Spec'!$C$45)/(2*V)</f>
        <v>#VALUE!</v>
      </c>
      <c r="I7" s="23" t="str">
        <f>IF(AND(OR(I6=0,I6=""),F7=0),IF(F8=0,"",'Drilling Spec'!$C$26),H7)</f>
        <v/>
      </c>
      <c r="J7" s="16" t="e">
        <f>MAX(0,I7-'Drilling Spec'!$C$30)</f>
        <v>#VALUE!</v>
      </c>
      <c r="K7" s="18">
        <f>IFERROR(J7/'Drilling Spec'!$C$31,0)</f>
        <v>0</v>
      </c>
      <c r="L7" s="21">
        <f t="shared" si="4"/>
        <v>0</v>
      </c>
      <c r="M7" s="4">
        <f t="shared" si="14"/>
        <v>0</v>
      </c>
      <c r="N7" s="21">
        <f t="shared" si="5"/>
        <v>0</v>
      </c>
      <c r="O7" s="18">
        <f>(SQRT(4*O6*O6*vB*vB + 'Drilling Spec'!$C$48*O6 + WB*('Drilling Spec'!$C$49 + 2*lB*vB*(sB*WB + 2*vB*N7/(1+eB)) + 'Drilling Spec'!$C$50)) - 'Drilling Spec'!$C$51)/(2*vB)</f>
        <v>0</v>
      </c>
      <c r="P7" s="18">
        <f>IFERROR(((S7-'Drilling Spec'!$C$30)/'Drilling Spec'!$C$31)*'Drilling Spec'!$C$32,0)</f>
        <v>0</v>
      </c>
      <c r="Q7" s="18">
        <f t="shared" si="15"/>
        <v>0</v>
      </c>
      <c r="R7" s="18"/>
      <c r="S7" s="26" t="str">
        <f>IF(AND(OR(T6=0,T6=""),M7=0),IF(M8=0,"",'Drilling Spec'!$C$30),O7)</f>
        <v/>
      </c>
      <c r="U7" s="15">
        <f>E7*'Drilling Spec'!$C$22 + L7*'Drilling Spec'!$C$23</f>
        <v>0</v>
      </c>
      <c r="V7" s="15">
        <f t="shared" si="16"/>
        <v>0</v>
      </c>
      <c r="W7" s="15">
        <f t="shared" si="6"/>
        <v>0</v>
      </c>
      <c r="X7" s="10"/>
      <c r="Y7" s="30">
        <f>IF(W7&lt;U8,'Drilling Spec'!$C$35,0)</f>
        <v>0</v>
      </c>
      <c r="AA7" s="4">
        <f t="shared" si="19"/>
        <v>4</v>
      </c>
      <c r="AB7" s="10"/>
      <c r="AC7" s="30">
        <f>IF('04-07-25-Scen6-Good,16hr'!K8&gt;'04-07-25-Scen6-Good,16hr'!AA7,'Drilling Spec'!$C$36,)</f>
        <v>0</v>
      </c>
      <c r="AE7" s="18" t="e">
        <f>(I7-'Drilling Spec'!$C$26)/'Drilling Spec'!$C$38</f>
        <v>#VALUE!</v>
      </c>
      <c r="AF7" s="18">
        <f t="shared" si="7"/>
        <v>0</v>
      </c>
      <c r="AG7" s="34">
        <f t="shared" si="8"/>
        <v>0</v>
      </c>
      <c r="AH7" s="10"/>
      <c r="AI7" s="26">
        <f>IF(C7="Camp Closed",AG7,IF(AG7&lt;'Drilling Spec'!$C$39,,'Drilling Spec'!$C$39))</f>
        <v>0</v>
      </c>
      <c r="AL7" s="16" t="e">
        <f t="shared" si="9"/>
        <v>#N/A</v>
      </c>
      <c r="AM7" s="16" t="e">
        <f t="shared" si="10"/>
        <v>#N/A</v>
      </c>
      <c r="AN7">
        <f>-'Drilling Spec'!$C$29</f>
        <v>-720</v>
      </c>
      <c r="AO7">
        <f>-'Drilling Spec'!$C$27</f>
        <v>-624</v>
      </c>
      <c r="AP7">
        <f>-'Drilling Spec'!$C$28</f>
        <v>-688</v>
      </c>
      <c r="AQ7" t="e">
        <f t="shared" si="11"/>
        <v>#N/A</v>
      </c>
      <c r="AR7" t="e">
        <f>IF(X7=0,NA(),-'Drilling Spec'!$C$29*0.1)</f>
        <v>#N/A</v>
      </c>
      <c r="AS7" t="e">
        <f>IF(Y7=0,NA(),-'Drilling Spec'!$C$29*0.1)</f>
        <v>#N/A</v>
      </c>
      <c r="AT7" t="e">
        <f>IF(AB7=0,NA(),-'Drilling Spec'!$C$29*0.2)</f>
        <v>#N/A</v>
      </c>
      <c r="AU7" t="e">
        <f>IF(AC7=0,NA(),-'Drilling Spec'!$C$29*0.2)</f>
        <v>#N/A</v>
      </c>
      <c r="AV7" t="e">
        <f>IF(AH7=0,NA(),-'Drilling Spec'!$C$29*0.3)</f>
        <v>#N/A</v>
      </c>
      <c r="AW7" t="e">
        <f>IF(AI7=0,NA(),-'Drilling Spec'!$C$29*0.3)</f>
        <v>#N/A</v>
      </c>
      <c r="AX7" s="29">
        <f t="shared" si="12"/>
        <v>0</v>
      </c>
      <c r="AY7" s="29">
        <f t="shared" si="13"/>
        <v>4</v>
      </c>
      <c r="AZ7" s="29">
        <f t="shared" si="17"/>
        <v>0</v>
      </c>
      <c r="BT7" t="s">
        <v>184</v>
      </c>
    </row>
    <row r="8" spans="1:79" x14ac:dyDescent="0.35">
      <c r="A8" s="28">
        <f t="shared" si="18"/>
        <v>45978</v>
      </c>
      <c r="B8" t="str">
        <f t="shared" si="0"/>
        <v>Mon</v>
      </c>
      <c r="C8" s="10" t="s">
        <v>7</v>
      </c>
      <c r="D8" s="10">
        <v>0</v>
      </c>
      <c r="E8" s="4">
        <f t="shared" si="1"/>
        <v>0</v>
      </c>
      <c r="F8" s="4">
        <f t="shared" si="2"/>
        <v>0</v>
      </c>
      <c r="G8" s="4">
        <f t="shared" si="3"/>
        <v>0</v>
      </c>
      <c r="H8" s="15" t="e">
        <f>(SQRT(4*I7*I7*V*V + 'Drilling Spec'!$C$42*I7 + W*('Drilling Spec'!$C$43 + 2*l*V*(s*W + 2*V*G8/(1+e)) + 'Drilling Spec'!$C$44)) - 'Drilling Spec'!$C$45)/(2*V)</f>
        <v>#VALUE!</v>
      </c>
      <c r="I8" s="23" t="str">
        <f>IF(AND(OR(I7=0,I7=""),F8=0),IF(F9=0,"",'Drilling Spec'!$C$26),H8)</f>
        <v/>
      </c>
      <c r="J8" s="16" t="e">
        <f>MAX(0,I8-'Drilling Spec'!$C$30)</f>
        <v>#VALUE!</v>
      </c>
      <c r="K8" s="18">
        <f>IFERROR(J8/'Drilling Spec'!$C$31,0)</f>
        <v>0</v>
      </c>
      <c r="L8" s="21">
        <f t="shared" si="4"/>
        <v>0</v>
      </c>
      <c r="M8" s="4">
        <f t="shared" si="14"/>
        <v>0</v>
      </c>
      <c r="N8" s="21">
        <f t="shared" si="5"/>
        <v>0</v>
      </c>
      <c r="O8" s="18">
        <f>(SQRT(4*O7*O7*vB*vB + 'Drilling Spec'!$C$48*O7 + WB*('Drilling Spec'!$C$49 + 2*lB*vB*(sB*WB + 2*vB*N8/(1+eB)) + 'Drilling Spec'!$C$50)) - 'Drilling Spec'!$C$51)/(2*vB)</f>
        <v>0</v>
      </c>
      <c r="P8" s="18">
        <f>IFERROR(((S8-'Drilling Spec'!$C$30)/'Drilling Spec'!$C$31)*'Drilling Spec'!$C$32,0)</f>
        <v>0</v>
      </c>
      <c r="Q8" s="18">
        <f t="shared" si="15"/>
        <v>0</v>
      </c>
      <c r="R8" s="18"/>
      <c r="S8" s="26" t="str">
        <f>IF(AND(OR(T7=0,T7=""),M8=0),IF(M9=0,"",'Drilling Spec'!$C$30),O8)</f>
        <v/>
      </c>
      <c r="U8" s="15">
        <f>E8*'Drilling Spec'!$C$22 + L8*'Drilling Spec'!$C$23</f>
        <v>0</v>
      </c>
      <c r="V8" s="15">
        <f t="shared" si="16"/>
        <v>0</v>
      </c>
      <c r="W8" s="15">
        <f t="shared" si="6"/>
        <v>0</v>
      </c>
      <c r="X8" s="10"/>
      <c r="Y8" s="30">
        <f>IF(W8&lt;U9,'Drilling Spec'!$C$35,0)</f>
        <v>0</v>
      </c>
      <c r="AA8" s="4">
        <f t="shared" si="19"/>
        <v>4</v>
      </c>
      <c r="AB8" s="10"/>
      <c r="AC8" s="30">
        <f>IF('04-07-25-Scen6-Good,16hr'!K9&gt;'04-07-25-Scen6-Good,16hr'!AA8,'Drilling Spec'!$C$36,)</f>
        <v>0</v>
      </c>
      <c r="AE8" s="18" t="e">
        <f>(I8-'Drilling Spec'!$C$26)/'Drilling Spec'!$C$38</f>
        <v>#VALUE!</v>
      </c>
      <c r="AF8" s="18">
        <f t="shared" si="7"/>
        <v>0</v>
      </c>
      <c r="AG8" s="34">
        <f t="shared" si="8"/>
        <v>0</v>
      </c>
      <c r="AH8" s="10"/>
      <c r="AI8" s="26">
        <f>IF(C8="Camp Closed",AG8,IF(AG8&lt;'Drilling Spec'!$C$39,,'Drilling Spec'!$C$39))</f>
        <v>0</v>
      </c>
      <c r="AL8" s="16" t="e">
        <f t="shared" si="9"/>
        <v>#N/A</v>
      </c>
      <c r="AM8" s="16" t="e">
        <f t="shared" si="10"/>
        <v>#N/A</v>
      </c>
      <c r="AN8">
        <f>-'Drilling Spec'!$C$29</f>
        <v>-720</v>
      </c>
      <c r="AO8">
        <f>-'Drilling Spec'!$C$27</f>
        <v>-624</v>
      </c>
      <c r="AP8">
        <f>-'Drilling Spec'!$C$28</f>
        <v>-688</v>
      </c>
      <c r="AQ8" t="e">
        <f t="shared" si="11"/>
        <v>#N/A</v>
      </c>
      <c r="AR8" t="e">
        <f>IF(X8=0,NA(),-'Drilling Spec'!$C$29*0.1)</f>
        <v>#N/A</v>
      </c>
      <c r="AS8" t="e">
        <f>IF(Y8=0,NA(),-'Drilling Spec'!$C$29*0.1)</f>
        <v>#N/A</v>
      </c>
      <c r="AT8" t="e">
        <f>IF(AB8=0,NA(),-'Drilling Spec'!$C$29*0.2)</f>
        <v>#N/A</v>
      </c>
      <c r="AU8" t="e">
        <f>IF(AC8=0,NA(),-'Drilling Spec'!$C$29*0.2)</f>
        <v>#N/A</v>
      </c>
      <c r="AV8" t="e">
        <f>IF(AH8=0,NA(),-'Drilling Spec'!$C$29*0.3)</f>
        <v>#N/A</v>
      </c>
      <c r="AW8" t="e">
        <f>IF(AI8=0,NA(),-'Drilling Spec'!$C$29*0.3)</f>
        <v>#N/A</v>
      </c>
      <c r="AX8" s="29">
        <f t="shared" si="12"/>
        <v>0</v>
      </c>
      <c r="AY8" s="29">
        <f t="shared" si="13"/>
        <v>4</v>
      </c>
      <c r="AZ8" s="29">
        <f t="shared" si="17"/>
        <v>0</v>
      </c>
      <c r="BT8" s="39" t="s">
        <v>183</v>
      </c>
      <c r="BU8" s="39"/>
      <c r="BV8" s="39"/>
      <c r="BW8" s="39"/>
      <c r="BX8" s="39"/>
      <c r="BY8" s="39"/>
      <c r="BZ8" s="39"/>
      <c r="CA8" s="39"/>
    </row>
    <row r="9" spans="1:79" x14ac:dyDescent="0.35">
      <c r="A9" s="28">
        <f t="shared" si="18"/>
        <v>45979</v>
      </c>
      <c r="B9" t="str">
        <f t="shared" si="0"/>
        <v>Tue</v>
      </c>
      <c r="C9" s="10" t="s">
        <v>4</v>
      </c>
      <c r="D9" s="10">
        <v>12</v>
      </c>
      <c r="E9" s="4">
        <f t="shared" si="1"/>
        <v>0</v>
      </c>
      <c r="F9" s="4">
        <f t="shared" si="2"/>
        <v>0</v>
      </c>
      <c r="G9" s="4">
        <f t="shared" si="3"/>
        <v>0</v>
      </c>
      <c r="H9" s="15" t="e">
        <f>(SQRT(4*I8*I8*V*V + 'Drilling Spec'!$C$42*I8 + W*('Drilling Spec'!$C$43 + 2*l*V*(s*W + 2*V*G9/(1+e)) + 'Drilling Spec'!$C$44)) - 'Drilling Spec'!$C$45)/(2*V)</f>
        <v>#VALUE!</v>
      </c>
      <c r="I9" s="23" t="str">
        <f>IF(AND(OR(I8=0,I8=""),F9=0),IF(F10=0,"",'Drilling Spec'!$C$26),H9)</f>
        <v/>
      </c>
      <c r="J9" s="16" t="e">
        <f>MAX(0,I9-'Drilling Spec'!$C$30)</f>
        <v>#VALUE!</v>
      </c>
      <c r="K9" s="18">
        <f>IFERROR(J9/'Drilling Spec'!$C$31,0)</f>
        <v>0</v>
      </c>
      <c r="L9" s="21">
        <f t="shared" si="4"/>
        <v>0</v>
      </c>
      <c r="M9" s="4">
        <f t="shared" si="14"/>
        <v>0</v>
      </c>
      <c r="N9" s="21">
        <f t="shared" si="5"/>
        <v>0</v>
      </c>
      <c r="O9" s="18">
        <f>(SQRT(4*O8*O8*vB*vB + 'Drilling Spec'!$C$48*O8 + WB*('Drilling Spec'!$C$49 + 2*lB*vB*(sB*WB + 2*vB*N9/(1+eB)) + 'Drilling Spec'!$C$50)) - 'Drilling Spec'!$C$51)/(2*vB)</f>
        <v>0</v>
      </c>
      <c r="P9" s="18">
        <f>IFERROR(((S9-'Drilling Spec'!$C$30)/'Drilling Spec'!$C$31)*'Drilling Spec'!$C$32,0)</f>
        <v>0</v>
      </c>
      <c r="Q9" s="18">
        <f t="shared" si="15"/>
        <v>0</v>
      </c>
      <c r="R9" s="18"/>
      <c r="S9" s="26" t="str">
        <f>IF(AND(OR(T8=0,T8=""),M9=0),IF(M10=0,"",'Drilling Spec'!$C$30),O9)</f>
        <v/>
      </c>
      <c r="U9" s="15">
        <f>E9*'Drilling Spec'!$C$22 + L9*'Drilling Spec'!$C$23</f>
        <v>0</v>
      </c>
      <c r="V9" s="15">
        <f t="shared" si="16"/>
        <v>0</v>
      </c>
      <c r="W9" s="15">
        <f t="shared" si="6"/>
        <v>0</v>
      </c>
      <c r="X9" s="10"/>
      <c r="Y9" s="30">
        <f>IF(W9&lt;U10,'Drilling Spec'!$C$35,0)</f>
        <v>0</v>
      </c>
      <c r="AA9" s="4">
        <f t="shared" si="19"/>
        <v>4</v>
      </c>
      <c r="AB9" s="10"/>
      <c r="AC9" s="30">
        <f>IF('04-07-25-Scen6-Good,16hr'!K10&gt;'04-07-25-Scen6-Good,16hr'!AA9,'Drilling Spec'!$C$36,)</f>
        <v>0</v>
      </c>
      <c r="AE9" s="18" t="e">
        <f>(I9-'Drilling Spec'!$C$26)/'Drilling Spec'!$C$38</f>
        <v>#VALUE!</v>
      </c>
      <c r="AF9" s="18">
        <f t="shared" si="7"/>
        <v>0</v>
      </c>
      <c r="AG9" s="34">
        <f t="shared" si="8"/>
        <v>0</v>
      </c>
      <c r="AH9" s="10"/>
      <c r="AI9" s="26">
        <f>IF(C9="Camp Closed",AG9,IF(AG9&lt;'Drilling Spec'!$C$39,,'Drilling Spec'!$C$39))</f>
        <v>0</v>
      </c>
      <c r="AL9" s="16" t="e">
        <f t="shared" si="9"/>
        <v>#N/A</v>
      </c>
      <c r="AM9" s="16" t="e">
        <f t="shared" si="10"/>
        <v>#N/A</v>
      </c>
      <c r="AN9">
        <f>-'Drilling Spec'!$C$29</f>
        <v>-720</v>
      </c>
      <c r="AO9">
        <f>-'Drilling Spec'!$C$27</f>
        <v>-624</v>
      </c>
      <c r="AP9">
        <f>-'Drilling Spec'!$C$28</f>
        <v>-688</v>
      </c>
      <c r="AQ9" t="e">
        <f t="shared" si="11"/>
        <v>#N/A</v>
      </c>
      <c r="AR9" t="e">
        <f>IF(X9=0,NA(),-'Drilling Spec'!$C$29*0.1)</f>
        <v>#N/A</v>
      </c>
      <c r="AS9" t="e">
        <f>IF(Y9=0,NA(),-'Drilling Spec'!$C$29*0.1)</f>
        <v>#N/A</v>
      </c>
      <c r="AT9" t="e">
        <f>IF(AB9=0,NA(),-'Drilling Spec'!$C$29*0.2)</f>
        <v>#N/A</v>
      </c>
      <c r="AU9" t="e">
        <f>IF(AC9=0,NA(),-'Drilling Spec'!$C$29*0.2)</f>
        <v>#N/A</v>
      </c>
      <c r="AV9" t="e">
        <f>IF(AH9=0,NA(),-'Drilling Spec'!$C$29*0.3)</f>
        <v>#N/A</v>
      </c>
      <c r="AW9" t="e">
        <f>IF(AI9=0,NA(),-'Drilling Spec'!$C$29*0.3)</f>
        <v>#N/A</v>
      </c>
      <c r="AX9" s="29">
        <f t="shared" si="12"/>
        <v>0</v>
      </c>
      <c r="AY9" s="29">
        <f t="shared" si="13"/>
        <v>4</v>
      </c>
      <c r="AZ9" s="29">
        <f t="shared" si="17"/>
        <v>0</v>
      </c>
      <c r="BT9" s="39"/>
      <c r="BU9" s="39"/>
      <c r="BV9" s="39"/>
      <c r="BW9" s="39"/>
      <c r="BX9" s="39"/>
      <c r="BY9" s="39"/>
      <c r="BZ9" s="39"/>
      <c r="CA9" s="39"/>
    </row>
    <row r="10" spans="1:79" x14ac:dyDescent="0.35">
      <c r="A10" s="28">
        <f t="shared" si="18"/>
        <v>45980</v>
      </c>
      <c r="B10" t="str">
        <f t="shared" si="0"/>
        <v>Wed</v>
      </c>
      <c r="C10" s="10" t="s">
        <v>4</v>
      </c>
      <c r="D10" s="10">
        <v>12</v>
      </c>
      <c r="E10" s="4">
        <f t="shared" si="1"/>
        <v>0</v>
      </c>
      <c r="F10" s="4">
        <f t="shared" si="2"/>
        <v>0</v>
      </c>
      <c r="G10" s="4">
        <f t="shared" si="3"/>
        <v>0</v>
      </c>
      <c r="H10" s="15" t="e">
        <f>(SQRT(4*I9*I9*V*V + 'Drilling Spec'!$C$42*I9 + W*('Drilling Spec'!$C$43 + 2*l*V*(s*W + 2*V*G10/(1+e)) + 'Drilling Spec'!$C$44)) - 'Drilling Spec'!$C$45)/(2*V)</f>
        <v>#VALUE!</v>
      </c>
      <c r="I10" s="23" t="str">
        <f>IF(AND(OR(I9=0,I9=""),F10=0),IF(F11=0,"",'Drilling Spec'!$C$26),H10)</f>
        <v/>
      </c>
      <c r="J10" s="16" t="e">
        <f>MAX(0,I10-'Drilling Spec'!$C$30)</f>
        <v>#VALUE!</v>
      </c>
      <c r="K10" s="18">
        <f>IFERROR(J10/'Drilling Spec'!$C$31,0)</f>
        <v>0</v>
      </c>
      <c r="L10" s="21">
        <f t="shared" si="4"/>
        <v>0</v>
      </c>
      <c r="M10" s="4">
        <f t="shared" si="14"/>
        <v>0</v>
      </c>
      <c r="N10" s="21">
        <f t="shared" si="5"/>
        <v>0</v>
      </c>
      <c r="O10" s="18">
        <f>(SQRT(4*O9*O9*vB*vB + 'Drilling Spec'!$C$48*O9 + WB*('Drilling Spec'!$C$49 + 2*lB*vB*(sB*WB + 2*vB*N10/(1+eB)) + 'Drilling Spec'!$C$50)) - 'Drilling Spec'!$C$51)/(2*vB)</f>
        <v>0</v>
      </c>
      <c r="P10" s="18">
        <f>IFERROR(((S10-'Drilling Spec'!$C$30)/'Drilling Spec'!$C$31)*'Drilling Spec'!$C$32,0)</f>
        <v>0</v>
      </c>
      <c r="Q10" s="18">
        <f t="shared" si="15"/>
        <v>0</v>
      </c>
      <c r="R10" s="18"/>
      <c r="S10" s="26" t="str">
        <f>IF(AND(OR(T9=0,T9=""),M10=0),IF(M11=0,"",'Drilling Spec'!$C$30),O10)</f>
        <v/>
      </c>
      <c r="U10" s="15">
        <f>E10*'Drilling Spec'!$C$22 + L10*'Drilling Spec'!$C$23</f>
        <v>0</v>
      </c>
      <c r="V10" s="15">
        <f t="shared" si="16"/>
        <v>0</v>
      </c>
      <c r="W10" s="15">
        <f t="shared" si="6"/>
        <v>0</v>
      </c>
      <c r="X10" s="10"/>
      <c r="Y10" s="30">
        <f>IF(W10&lt;U11,'Drilling Spec'!$C$35,0)</f>
        <v>0</v>
      </c>
      <c r="AA10" s="4">
        <f t="shared" si="19"/>
        <v>4</v>
      </c>
      <c r="AB10" s="10"/>
      <c r="AC10" s="30">
        <f>IF('04-07-25-Scen6-Good,16hr'!K11&gt;'04-07-25-Scen6-Good,16hr'!AA10,'Drilling Spec'!$C$36,)</f>
        <v>0</v>
      </c>
      <c r="AE10" s="18" t="e">
        <f>(I10-'Drilling Spec'!$C$26)/'Drilling Spec'!$C$38</f>
        <v>#VALUE!</v>
      </c>
      <c r="AF10" s="18">
        <f t="shared" si="7"/>
        <v>0</v>
      </c>
      <c r="AG10" s="34">
        <f t="shared" si="8"/>
        <v>0</v>
      </c>
      <c r="AH10" s="10"/>
      <c r="AI10" s="26">
        <f>IF(C10="Camp Closed",AG10,IF(AG10&lt;'Drilling Spec'!$C$39,,'Drilling Spec'!$C$39))</f>
        <v>0</v>
      </c>
      <c r="AL10" s="16" t="e">
        <f t="shared" si="9"/>
        <v>#N/A</v>
      </c>
      <c r="AM10" s="16" t="e">
        <f t="shared" si="10"/>
        <v>#N/A</v>
      </c>
      <c r="AN10">
        <f>-'Drilling Spec'!$C$29</f>
        <v>-720</v>
      </c>
      <c r="AO10">
        <f>-'Drilling Spec'!$C$27</f>
        <v>-624</v>
      </c>
      <c r="AP10">
        <f>-'Drilling Spec'!$C$28</f>
        <v>-688</v>
      </c>
      <c r="AQ10" t="e">
        <f t="shared" si="11"/>
        <v>#N/A</v>
      </c>
      <c r="AR10" t="e">
        <f>IF(X10=0,NA(),-'Drilling Spec'!$C$29*0.1)</f>
        <v>#N/A</v>
      </c>
      <c r="AS10" t="e">
        <f>IF(Y10=0,NA(),-'Drilling Spec'!$C$29*0.1)</f>
        <v>#N/A</v>
      </c>
      <c r="AT10" t="e">
        <f>IF(AB10=0,NA(),-'Drilling Spec'!$C$29*0.2)</f>
        <v>#N/A</v>
      </c>
      <c r="AU10" t="e">
        <f>IF(AC10=0,NA(),-'Drilling Spec'!$C$29*0.2)</f>
        <v>#N/A</v>
      </c>
      <c r="AV10" t="e">
        <f>IF(AH10=0,NA(),-'Drilling Spec'!$C$29*0.3)</f>
        <v>#N/A</v>
      </c>
      <c r="AW10" t="e">
        <f>IF(AI10=0,NA(),-'Drilling Spec'!$C$29*0.3)</f>
        <v>#N/A</v>
      </c>
      <c r="AX10" s="29">
        <f t="shared" si="12"/>
        <v>0</v>
      </c>
      <c r="AY10" s="29">
        <f t="shared" si="13"/>
        <v>4</v>
      </c>
      <c r="AZ10" s="29">
        <f t="shared" si="17"/>
        <v>0</v>
      </c>
      <c r="BT10" s="39"/>
      <c r="BU10" s="39"/>
      <c r="BV10" s="39"/>
      <c r="BW10" s="39"/>
      <c r="BX10" s="39"/>
      <c r="BY10" s="39"/>
      <c r="BZ10" s="39"/>
      <c r="CA10" s="39"/>
    </row>
    <row r="11" spans="1:79" x14ac:dyDescent="0.35">
      <c r="A11" s="28">
        <f t="shared" si="18"/>
        <v>45981</v>
      </c>
      <c r="B11" t="str">
        <f t="shared" si="0"/>
        <v>Thu</v>
      </c>
      <c r="C11" s="10" t="s">
        <v>4</v>
      </c>
      <c r="D11" s="10">
        <v>12</v>
      </c>
      <c r="E11" s="4">
        <f t="shared" si="1"/>
        <v>0</v>
      </c>
      <c r="F11" s="4">
        <f t="shared" si="2"/>
        <v>0</v>
      </c>
      <c r="G11" s="4">
        <f t="shared" si="3"/>
        <v>0</v>
      </c>
      <c r="H11" s="15" t="e">
        <f>(SQRT(4*I10*I10*V*V + 'Drilling Spec'!$C$42*I10 + W*('Drilling Spec'!$C$43 + 2*l*V*(s*W + 2*V*G11/(1+e)) + 'Drilling Spec'!$C$44)) - 'Drilling Spec'!$C$45)/(2*V)</f>
        <v>#VALUE!</v>
      </c>
      <c r="I11" s="23" t="str">
        <f>IF(AND(OR(I10=0,I10=""),F11=0),IF(F12=0,"",'Drilling Spec'!$C$26),H11)</f>
        <v/>
      </c>
      <c r="J11" s="16" t="e">
        <f>MAX(0,I11-'Drilling Spec'!$C$30)</f>
        <v>#VALUE!</v>
      </c>
      <c r="K11" s="18">
        <f>IFERROR(J11/'Drilling Spec'!$C$31,0)</f>
        <v>0</v>
      </c>
      <c r="L11" s="21">
        <f t="shared" si="4"/>
        <v>0</v>
      </c>
      <c r="M11" s="4">
        <f t="shared" si="14"/>
        <v>0</v>
      </c>
      <c r="N11" s="21">
        <f t="shared" si="5"/>
        <v>0</v>
      </c>
      <c r="O11" s="18">
        <f>(SQRT(4*O10*O10*vB*vB + 'Drilling Spec'!$C$48*O10 + WB*('Drilling Spec'!$C$49 + 2*lB*vB*(sB*WB + 2*vB*N11/(1+eB)) + 'Drilling Spec'!$C$50)) - 'Drilling Spec'!$C$51)/(2*vB)</f>
        <v>0</v>
      </c>
      <c r="P11" s="18">
        <f>IFERROR(((S11-'Drilling Spec'!$C$30)/'Drilling Spec'!$C$31)*'Drilling Spec'!$C$32,0)</f>
        <v>0</v>
      </c>
      <c r="Q11" s="18">
        <f t="shared" si="15"/>
        <v>0</v>
      </c>
      <c r="R11" s="18"/>
      <c r="S11" s="26" t="str">
        <f>IF(AND(OR(T10=0,T10=""),M11=0),IF(M12=0,"",'Drilling Spec'!$C$30),O11)</f>
        <v/>
      </c>
      <c r="U11" s="15">
        <f>E11*'Drilling Spec'!$C$22 + L11*'Drilling Spec'!$C$23</f>
        <v>0</v>
      </c>
      <c r="V11" s="15">
        <f t="shared" si="16"/>
        <v>0</v>
      </c>
      <c r="W11" s="15">
        <f t="shared" si="6"/>
        <v>0</v>
      </c>
      <c r="X11" s="10"/>
      <c r="Y11" s="30">
        <f>IF(W11&lt;U12,'Drilling Spec'!$C$35,0)</f>
        <v>0</v>
      </c>
      <c r="AA11" s="4">
        <f t="shared" si="19"/>
        <v>4</v>
      </c>
      <c r="AB11" s="10"/>
      <c r="AC11" s="30">
        <f>IF('04-07-25-Scen6-Good,16hr'!K12&gt;'04-07-25-Scen6-Good,16hr'!AA11,'Drilling Spec'!$C$36,)</f>
        <v>0</v>
      </c>
      <c r="AE11" s="18" t="e">
        <f>(I11-'Drilling Spec'!$C$26)/'Drilling Spec'!$C$38</f>
        <v>#VALUE!</v>
      </c>
      <c r="AF11" s="18">
        <f t="shared" si="7"/>
        <v>0</v>
      </c>
      <c r="AG11" s="34">
        <f t="shared" si="8"/>
        <v>0</v>
      </c>
      <c r="AH11" s="10"/>
      <c r="AI11" s="26">
        <f>IF(C11="Camp Closed",AG11,IF(AG11&lt;'Drilling Spec'!$C$39,,'Drilling Spec'!$C$39))</f>
        <v>0</v>
      </c>
      <c r="AL11" s="16" t="e">
        <f t="shared" si="9"/>
        <v>#N/A</v>
      </c>
      <c r="AM11" s="16" t="e">
        <f t="shared" si="10"/>
        <v>#N/A</v>
      </c>
      <c r="AN11">
        <f>-'Drilling Spec'!$C$29</f>
        <v>-720</v>
      </c>
      <c r="AO11">
        <f>-'Drilling Spec'!$C$27</f>
        <v>-624</v>
      </c>
      <c r="AP11">
        <f>-'Drilling Spec'!$C$28</f>
        <v>-688</v>
      </c>
      <c r="AQ11" t="e">
        <f t="shared" si="11"/>
        <v>#N/A</v>
      </c>
      <c r="AR11" t="e">
        <f>IF(X11=0,NA(),-'Drilling Spec'!$C$29*0.1)</f>
        <v>#N/A</v>
      </c>
      <c r="AS11" t="e">
        <f>IF(Y11=0,NA(),-'Drilling Spec'!$C$29*0.1)</f>
        <v>#N/A</v>
      </c>
      <c r="AT11" t="e">
        <f>IF(AB11=0,NA(),-'Drilling Spec'!$C$29*0.2)</f>
        <v>#N/A</v>
      </c>
      <c r="AU11" t="e">
        <f>IF(AC11=0,NA(),-'Drilling Spec'!$C$29*0.2)</f>
        <v>#N/A</v>
      </c>
      <c r="AV11" t="e">
        <f>IF(AH11=0,NA(),-'Drilling Spec'!$C$29*0.3)</f>
        <v>#N/A</v>
      </c>
      <c r="AW11" t="e">
        <f>IF(AI11=0,NA(),-'Drilling Spec'!$C$29*0.3)</f>
        <v>#N/A</v>
      </c>
      <c r="AX11" s="29">
        <f t="shared" si="12"/>
        <v>0</v>
      </c>
      <c r="AY11" s="29">
        <f t="shared" si="13"/>
        <v>4</v>
      </c>
      <c r="AZ11" s="29">
        <f t="shared" si="17"/>
        <v>0</v>
      </c>
      <c r="BS11" s="35"/>
      <c r="BT11" s="35"/>
      <c r="BU11" s="41" t="s">
        <v>7</v>
      </c>
      <c r="BV11" s="41"/>
      <c r="BW11" s="42" t="s">
        <v>182</v>
      </c>
      <c r="BX11" s="43"/>
      <c r="BY11" s="43"/>
      <c r="BZ11" s="43"/>
      <c r="CA11" s="43"/>
    </row>
    <row r="12" spans="1:79" x14ac:dyDescent="0.35">
      <c r="A12" s="28">
        <f t="shared" si="18"/>
        <v>45982</v>
      </c>
      <c r="B12" t="str">
        <f t="shared" si="0"/>
        <v>Fri</v>
      </c>
      <c r="C12" s="10" t="s">
        <v>4</v>
      </c>
      <c r="D12" s="10">
        <v>12</v>
      </c>
      <c r="E12" s="4">
        <f t="shared" si="1"/>
        <v>0</v>
      </c>
      <c r="F12" s="4">
        <f t="shared" si="2"/>
        <v>0</v>
      </c>
      <c r="G12" s="4">
        <f t="shared" si="3"/>
        <v>0</v>
      </c>
      <c r="H12" s="15" t="e">
        <f>(SQRT(4*I11*I11*V*V + 'Drilling Spec'!$C$42*I11 + W*('Drilling Spec'!$C$43 + 2*l*V*(s*W + 2*V*G12/(1+e)) + 'Drilling Spec'!$C$44)) - 'Drilling Spec'!$C$45)/(2*V)</f>
        <v>#VALUE!</v>
      </c>
      <c r="I12" s="23" t="str">
        <f>IF(AND(OR(I11=0,I11=""),F12=0),IF(F13=0,"",'Drilling Spec'!$C$26),H12)</f>
        <v/>
      </c>
      <c r="J12" s="16" t="e">
        <f>MAX(0,I12-'Drilling Spec'!$C$30)</f>
        <v>#VALUE!</v>
      </c>
      <c r="K12" s="18">
        <f>IFERROR(J12/'Drilling Spec'!$C$31,0)</f>
        <v>0</v>
      </c>
      <c r="L12" s="21">
        <f t="shared" si="4"/>
        <v>0</v>
      </c>
      <c r="M12" s="4">
        <f t="shared" si="14"/>
        <v>0</v>
      </c>
      <c r="N12" s="21">
        <f t="shared" si="5"/>
        <v>0</v>
      </c>
      <c r="O12" s="18">
        <f>(SQRT(4*O11*O11*vB*vB + 'Drilling Spec'!$C$48*O11 + WB*('Drilling Spec'!$C$49 + 2*lB*vB*(sB*WB + 2*vB*N12/(1+eB)) + 'Drilling Spec'!$C$50)) - 'Drilling Spec'!$C$51)/(2*vB)</f>
        <v>0</v>
      </c>
      <c r="P12" s="18">
        <f>IFERROR(((S12-'Drilling Spec'!$C$30)/'Drilling Spec'!$C$31)*'Drilling Spec'!$C$32,0)</f>
        <v>0</v>
      </c>
      <c r="Q12" s="18">
        <f t="shared" si="15"/>
        <v>0</v>
      </c>
      <c r="R12" s="18"/>
      <c r="S12" s="26" t="str">
        <f>IF(AND(OR(T11=0,T11=""),M12=0),IF(M13=0,"",'Drilling Spec'!$C$30),O12)</f>
        <v/>
      </c>
      <c r="U12" s="15">
        <f>E12*'Drilling Spec'!$C$22 + L12*'Drilling Spec'!$C$23</f>
        <v>0</v>
      </c>
      <c r="V12" s="15">
        <f t="shared" si="16"/>
        <v>0</v>
      </c>
      <c r="W12" s="15">
        <f t="shared" si="6"/>
        <v>0</v>
      </c>
      <c r="X12" s="10"/>
      <c r="Y12" s="30">
        <f>IF(W12&lt;U13,'Drilling Spec'!$C$35,0)</f>
        <v>0</v>
      </c>
      <c r="AA12" s="4">
        <f t="shared" si="19"/>
        <v>4</v>
      </c>
      <c r="AB12" s="10"/>
      <c r="AC12" s="30">
        <f>IF('04-07-25-Scen6-Good,16hr'!K13&gt;'04-07-25-Scen6-Good,16hr'!AA12,'Drilling Spec'!$C$36,)</f>
        <v>0</v>
      </c>
      <c r="AE12" s="18" t="e">
        <f>(I12-'Drilling Spec'!$C$26)/'Drilling Spec'!$C$38</f>
        <v>#VALUE!</v>
      </c>
      <c r="AF12" s="18">
        <f t="shared" si="7"/>
        <v>0</v>
      </c>
      <c r="AG12" s="34">
        <f t="shared" si="8"/>
        <v>0</v>
      </c>
      <c r="AH12" s="10"/>
      <c r="AI12" s="26">
        <f>IF(C12="Camp Closed",AG12,IF(AG12&lt;'Drilling Spec'!$C$39,,'Drilling Spec'!$C$39))</f>
        <v>0</v>
      </c>
      <c r="AL12" s="16" t="e">
        <f t="shared" si="9"/>
        <v>#N/A</v>
      </c>
      <c r="AM12" s="16" t="e">
        <f t="shared" si="10"/>
        <v>#N/A</v>
      </c>
      <c r="AN12">
        <f>-'Drilling Spec'!$C$29</f>
        <v>-720</v>
      </c>
      <c r="AO12">
        <f>-'Drilling Spec'!$C$27</f>
        <v>-624</v>
      </c>
      <c r="AP12">
        <f>-'Drilling Spec'!$C$28</f>
        <v>-688</v>
      </c>
      <c r="AQ12" t="e">
        <f t="shared" si="11"/>
        <v>#N/A</v>
      </c>
      <c r="AR12" t="e">
        <f>IF(X12=0,NA(),-'Drilling Spec'!$C$29*0.1)</f>
        <v>#N/A</v>
      </c>
      <c r="AS12" t="e">
        <f>IF(Y12=0,NA(),-'Drilling Spec'!$C$29*0.1)</f>
        <v>#N/A</v>
      </c>
      <c r="AT12" t="e">
        <f>IF(AB12=0,NA(),-'Drilling Spec'!$C$29*0.2)</f>
        <v>#N/A</v>
      </c>
      <c r="AU12" t="e">
        <f>IF(AC12=0,NA(),-'Drilling Spec'!$C$29*0.2)</f>
        <v>#N/A</v>
      </c>
      <c r="AV12" t="e">
        <f>IF(AH12=0,NA(),-'Drilling Spec'!$C$29*0.3)</f>
        <v>#N/A</v>
      </c>
      <c r="AW12" t="e">
        <f>IF(AI12=0,NA(),-'Drilling Spec'!$C$29*0.3)</f>
        <v>#N/A</v>
      </c>
      <c r="AX12" s="29">
        <f t="shared" si="12"/>
        <v>0</v>
      </c>
      <c r="AY12" s="29">
        <f t="shared" si="13"/>
        <v>4</v>
      </c>
      <c r="AZ12" s="29">
        <f t="shared" si="17"/>
        <v>0</v>
      </c>
      <c r="BS12" s="35"/>
      <c r="BT12" s="35"/>
      <c r="BU12" s="41" t="s">
        <v>9</v>
      </c>
      <c r="BV12" s="41"/>
      <c r="BW12" s="42" t="s">
        <v>181</v>
      </c>
      <c r="BX12" s="43"/>
      <c r="BY12" s="43"/>
      <c r="BZ12" s="43"/>
      <c r="CA12" s="43"/>
    </row>
    <row r="13" spans="1:79" x14ac:dyDescent="0.35">
      <c r="A13" s="28">
        <f t="shared" si="18"/>
        <v>45983</v>
      </c>
      <c r="B13" t="str">
        <f t="shared" si="0"/>
        <v>Sat</v>
      </c>
      <c r="C13" s="10" t="s">
        <v>4</v>
      </c>
      <c r="D13" s="10">
        <v>12</v>
      </c>
      <c r="E13" s="4">
        <f t="shared" si="1"/>
        <v>0</v>
      </c>
      <c r="F13" s="4">
        <f t="shared" si="2"/>
        <v>0</v>
      </c>
      <c r="G13" s="4">
        <f t="shared" si="3"/>
        <v>0</v>
      </c>
      <c r="H13" s="15" t="e">
        <f>(SQRT(4*I12*I12*V*V + 'Drilling Spec'!$C$42*I12 + W*('Drilling Spec'!$C$43 + 2*l*V*(s*W + 2*V*G13/(1+e)) + 'Drilling Spec'!$C$44)) - 'Drilling Spec'!$C$45)/(2*V)</f>
        <v>#VALUE!</v>
      </c>
      <c r="I13" s="23" t="str">
        <f>IF(AND(OR(I12=0,I12=""),F13=0),IF(F14=0,"",'Drilling Spec'!$C$26),H13)</f>
        <v/>
      </c>
      <c r="J13" s="16" t="e">
        <f>MAX(0,I13-'Drilling Spec'!$C$30)</f>
        <v>#VALUE!</v>
      </c>
      <c r="K13" s="18">
        <f>IFERROR(J13/'Drilling Spec'!$C$31,0)</f>
        <v>0</v>
      </c>
      <c r="L13" s="21">
        <f t="shared" si="4"/>
        <v>0</v>
      </c>
      <c r="M13" s="4">
        <f t="shared" si="14"/>
        <v>0</v>
      </c>
      <c r="N13" s="21">
        <f t="shared" si="5"/>
        <v>0</v>
      </c>
      <c r="O13" s="18">
        <f>(SQRT(4*O12*O12*vB*vB + 'Drilling Spec'!$C$48*O12 + WB*('Drilling Spec'!$C$49 + 2*lB*vB*(sB*WB + 2*vB*N13/(1+eB)) + 'Drilling Spec'!$C$50)) - 'Drilling Spec'!$C$51)/(2*vB)</f>
        <v>0</v>
      </c>
      <c r="P13" s="18">
        <f>IFERROR(((S13-'Drilling Spec'!$C$30)/'Drilling Spec'!$C$31)*'Drilling Spec'!$C$32,0)</f>
        <v>0</v>
      </c>
      <c r="Q13" s="18">
        <f t="shared" si="15"/>
        <v>0</v>
      </c>
      <c r="R13" s="18"/>
      <c r="S13" s="26" t="str">
        <f>IF(AND(OR(T12=0,T12=""),M13=0),IF(M14=0,"",'Drilling Spec'!$C$30),O13)</f>
        <v/>
      </c>
      <c r="U13" s="15">
        <f>E13*'Drilling Spec'!$C$22 + L13*'Drilling Spec'!$C$23</f>
        <v>0</v>
      </c>
      <c r="V13" s="15">
        <f t="shared" si="16"/>
        <v>0</v>
      </c>
      <c r="W13" s="15">
        <f t="shared" si="6"/>
        <v>0</v>
      </c>
      <c r="X13" s="10"/>
      <c r="Y13" s="30">
        <f>IF(W13&lt;U14,'Drilling Spec'!$C$35,0)</f>
        <v>0</v>
      </c>
      <c r="AA13" s="4">
        <f t="shared" si="19"/>
        <v>4</v>
      </c>
      <c r="AB13" s="10"/>
      <c r="AC13" s="30">
        <f>IF('04-07-25-Scen6-Good,16hr'!K14&gt;'04-07-25-Scen6-Good,16hr'!AA13,'Drilling Spec'!$C$36,)</f>
        <v>0</v>
      </c>
      <c r="AE13" s="18" t="e">
        <f>(I13-'Drilling Spec'!$C$26)/'Drilling Spec'!$C$38</f>
        <v>#VALUE!</v>
      </c>
      <c r="AF13" s="18">
        <f t="shared" si="7"/>
        <v>0</v>
      </c>
      <c r="AG13" s="34">
        <f t="shared" si="8"/>
        <v>0</v>
      </c>
      <c r="AH13" s="10"/>
      <c r="AI13" s="26">
        <f>IF(C13="Camp Closed",AG13,IF(AG13&lt;'Drilling Spec'!$C$39,,'Drilling Spec'!$C$39))</f>
        <v>0</v>
      </c>
      <c r="AL13" s="16" t="e">
        <f t="shared" si="9"/>
        <v>#N/A</v>
      </c>
      <c r="AM13" s="16" t="e">
        <f t="shared" si="10"/>
        <v>#N/A</v>
      </c>
      <c r="AN13">
        <f>-'Drilling Spec'!$C$29</f>
        <v>-720</v>
      </c>
      <c r="AO13">
        <f>-'Drilling Spec'!$C$27</f>
        <v>-624</v>
      </c>
      <c r="AP13">
        <f>-'Drilling Spec'!$C$28</f>
        <v>-688</v>
      </c>
      <c r="AQ13" t="e">
        <f t="shared" si="11"/>
        <v>#N/A</v>
      </c>
      <c r="AR13" t="e">
        <f>IF(X13=0,NA(),-'Drilling Spec'!$C$29*0.1)</f>
        <v>#N/A</v>
      </c>
      <c r="AS13" t="e">
        <f>IF(Y13=0,NA(),-'Drilling Spec'!$C$29*0.1)</f>
        <v>#N/A</v>
      </c>
      <c r="AT13" t="e">
        <f>IF(AB13=0,NA(),-'Drilling Spec'!$C$29*0.2)</f>
        <v>#N/A</v>
      </c>
      <c r="AU13" t="e">
        <f>IF(AC13=0,NA(),-'Drilling Spec'!$C$29*0.2)</f>
        <v>#N/A</v>
      </c>
      <c r="AV13" t="e">
        <f>IF(AH13=0,NA(),-'Drilling Spec'!$C$29*0.3)</f>
        <v>#N/A</v>
      </c>
      <c r="AW13" t="e">
        <f>IF(AI13=0,NA(),-'Drilling Spec'!$C$29*0.3)</f>
        <v>#N/A</v>
      </c>
      <c r="AX13" s="29">
        <f t="shared" si="12"/>
        <v>0</v>
      </c>
      <c r="AY13" s="29">
        <f t="shared" si="13"/>
        <v>4</v>
      </c>
      <c r="AZ13" s="29">
        <f t="shared" si="17"/>
        <v>0</v>
      </c>
      <c r="BS13" s="35"/>
      <c r="BT13" s="35"/>
      <c r="BU13" s="41" t="s">
        <v>10</v>
      </c>
      <c r="BV13" s="41"/>
      <c r="BW13" s="42" t="s">
        <v>180</v>
      </c>
      <c r="BX13" s="43"/>
      <c r="BY13" s="43"/>
      <c r="BZ13" s="43"/>
      <c r="CA13" s="43"/>
    </row>
    <row r="14" spans="1:79" x14ac:dyDescent="0.35">
      <c r="A14" s="28">
        <f t="shared" si="18"/>
        <v>45984</v>
      </c>
      <c r="B14" t="str">
        <f t="shared" si="0"/>
        <v>Sun</v>
      </c>
      <c r="C14" s="10" t="s">
        <v>4</v>
      </c>
      <c r="D14" s="10">
        <v>12</v>
      </c>
      <c r="E14" s="4">
        <f t="shared" si="1"/>
        <v>0</v>
      </c>
      <c r="F14" s="4">
        <f t="shared" si="2"/>
        <v>0</v>
      </c>
      <c r="G14" s="4">
        <f t="shared" si="3"/>
        <v>0</v>
      </c>
      <c r="H14" s="15" t="e">
        <f>(SQRT(4*I13*I13*V*V + 'Drilling Spec'!$C$42*I13 + W*('Drilling Spec'!$C$43 + 2*l*V*(s*W + 2*V*G14/(1+e)) + 'Drilling Spec'!$C$44)) - 'Drilling Spec'!$C$45)/(2*V)</f>
        <v>#VALUE!</v>
      </c>
      <c r="I14" s="23" t="str">
        <f>IF(AND(OR(I13=0,I13=""),F14=0),IF(F15=0,"",'Drilling Spec'!$C$26),H14)</f>
        <v/>
      </c>
      <c r="J14" s="16" t="e">
        <f>MAX(0,I14-'Drilling Spec'!$C$30)</f>
        <v>#VALUE!</v>
      </c>
      <c r="K14" s="18">
        <f>IFERROR(J14/'Drilling Spec'!$C$31,0)</f>
        <v>0</v>
      </c>
      <c r="L14" s="21">
        <f t="shared" si="4"/>
        <v>0</v>
      </c>
      <c r="M14" s="4">
        <f t="shared" si="14"/>
        <v>0</v>
      </c>
      <c r="N14" s="21">
        <f t="shared" si="5"/>
        <v>0</v>
      </c>
      <c r="O14" s="18">
        <f>(SQRT(4*O13*O13*vB*vB + 'Drilling Spec'!$C$48*O13 + WB*('Drilling Spec'!$C$49 + 2*lB*vB*(sB*WB + 2*vB*N14/(1+eB)) + 'Drilling Spec'!$C$50)) - 'Drilling Spec'!$C$51)/(2*vB)</f>
        <v>0</v>
      </c>
      <c r="P14" s="18">
        <f>IFERROR(((S14-'Drilling Spec'!$C$30)/'Drilling Spec'!$C$31)*'Drilling Spec'!$C$32,0)</f>
        <v>0</v>
      </c>
      <c r="Q14" s="18">
        <f t="shared" si="15"/>
        <v>0</v>
      </c>
      <c r="R14" s="18"/>
      <c r="S14" s="26" t="str">
        <f>IF(AND(OR(T13=0,T13=""),M14=0),IF(M15=0,"",'Drilling Spec'!$C$30),O14)</f>
        <v/>
      </c>
      <c r="U14" s="15">
        <f>E14*'Drilling Spec'!$C$22 + L14*'Drilling Spec'!$C$23</f>
        <v>0</v>
      </c>
      <c r="V14" s="15">
        <f t="shared" si="16"/>
        <v>0</v>
      </c>
      <c r="W14" s="15">
        <f t="shared" si="6"/>
        <v>0</v>
      </c>
      <c r="X14" s="10"/>
      <c r="Y14" s="30">
        <f>IF(W14&lt;U15,'Drilling Spec'!$C$35,0)</f>
        <v>0</v>
      </c>
      <c r="AA14" s="4">
        <f t="shared" si="19"/>
        <v>4</v>
      </c>
      <c r="AB14" s="10"/>
      <c r="AC14" s="30">
        <f>IF('04-07-25-Scen6-Good,16hr'!K15&gt;'04-07-25-Scen6-Good,16hr'!AA14,'Drilling Spec'!$C$36,)</f>
        <v>0</v>
      </c>
      <c r="AE14" s="18" t="e">
        <f>(I14-'Drilling Spec'!$C$26)/'Drilling Spec'!$C$38</f>
        <v>#VALUE!</v>
      </c>
      <c r="AF14" s="18">
        <f t="shared" si="7"/>
        <v>0</v>
      </c>
      <c r="AG14" s="34">
        <f t="shared" si="8"/>
        <v>0</v>
      </c>
      <c r="AH14" s="10"/>
      <c r="AI14" s="26">
        <f>IF(C14="Camp Closed",AG14,IF(AG14&lt;'Drilling Spec'!$C$39,,'Drilling Spec'!$C$39))</f>
        <v>0</v>
      </c>
      <c r="AL14" s="16" t="e">
        <f t="shared" si="9"/>
        <v>#N/A</v>
      </c>
      <c r="AM14" s="16" t="e">
        <f t="shared" si="10"/>
        <v>#N/A</v>
      </c>
      <c r="AN14">
        <f>-'Drilling Spec'!$C$29</f>
        <v>-720</v>
      </c>
      <c r="AO14">
        <f>-'Drilling Spec'!$C$27</f>
        <v>-624</v>
      </c>
      <c r="AP14">
        <f>-'Drilling Spec'!$C$28</f>
        <v>-688</v>
      </c>
      <c r="AQ14" t="e">
        <f t="shared" si="11"/>
        <v>#N/A</v>
      </c>
      <c r="AR14" t="e">
        <f>IF(X14=0,NA(),-'Drilling Spec'!$C$29*0.1)</f>
        <v>#N/A</v>
      </c>
      <c r="AS14" t="e">
        <f>IF(Y14=0,NA(),-'Drilling Spec'!$C$29*0.1)</f>
        <v>#N/A</v>
      </c>
      <c r="AT14" t="e">
        <f>IF(AB14=0,NA(),-'Drilling Spec'!$C$29*0.2)</f>
        <v>#N/A</v>
      </c>
      <c r="AU14" t="e">
        <f>IF(AC14=0,NA(),-'Drilling Spec'!$C$29*0.2)</f>
        <v>#N/A</v>
      </c>
      <c r="AV14" t="e">
        <f>IF(AH14=0,NA(),-'Drilling Spec'!$C$29*0.3)</f>
        <v>#N/A</v>
      </c>
      <c r="AW14" t="e">
        <f>IF(AI14=0,NA(),-'Drilling Spec'!$C$29*0.3)</f>
        <v>#N/A</v>
      </c>
      <c r="AX14" s="29">
        <f t="shared" si="12"/>
        <v>0</v>
      </c>
      <c r="AY14" s="29">
        <f t="shared" si="13"/>
        <v>4</v>
      </c>
      <c r="AZ14" s="29">
        <f t="shared" si="17"/>
        <v>0</v>
      </c>
      <c r="BS14" s="35"/>
      <c r="BT14" s="35"/>
      <c r="BU14" s="44" t="s">
        <v>71</v>
      </c>
      <c r="BV14" s="44"/>
      <c r="BW14" s="42" t="s">
        <v>179</v>
      </c>
      <c r="BX14" s="43"/>
      <c r="BY14" s="43"/>
      <c r="BZ14" s="43"/>
      <c r="CA14" s="43"/>
    </row>
    <row r="15" spans="1:79" x14ac:dyDescent="0.35">
      <c r="A15" s="28">
        <f t="shared" si="18"/>
        <v>45985</v>
      </c>
      <c r="B15" t="str">
        <f t="shared" si="0"/>
        <v>Mon</v>
      </c>
      <c r="C15" s="10" t="s">
        <v>4</v>
      </c>
      <c r="D15" s="10">
        <v>12</v>
      </c>
      <c r="E15" s="4">
        <f t="shared" si="1"/>
        <v>0</v>
      </c>
      <c r="F15" s="4">
        <f t="shared" si="2"/>
        <v>0</v>
      </c>
      <c r="G15" s="4">
        <f t="shared" si="3"/>
        <v>0</v>
      </c>
      <c r="H15" s="15" t="e">
        <f>(SQRT(4*I14*I14*V*V + 'Drilling Spec'!$C$42*I14 + W*('Drilling Spec'!$C$43 + 2*l*V*(s*W + 2*V*G15/(1+e)) + 'Drilling Spec'!$C$44)) - 'Drilling Spec'!$C$45)/(2*V)</f>
        <v>#VALUE!</v>
      </c>
      <c r="I15" s="23" t="str">
        <f>IF(AND(OR(I14=0,I14=""),F15=0),IF(F16=0,"",'Drilling Spec'!$C$26),H15)</f>
        <v/>
      </c>
      <c r="J15" s="16" t="e">
        <f>MAX(0,I15-'Drilling Spec'!$C$30)</f>
        <v>#VALUE!</v>
      </c>
      <c r="K15" s="18">
        <f>IFERROR(J15/'Drilling Spec'!$C$31,0)</f>
        <v>0</v>
      </c>
      <c r="L15" s="21">
        <f t="shared" si="4"/>
        <v>0</v>
      </c>
      <c r="M15" s="4">
        <f t="shared" si="14"/>
        <v>0</v>
      </c>
      <c r="N15" s="21">
        <f t="shared" si="5"/>
        <v>0</v>
      </c>
      <c r="O15" s="18">
        <f>(SQRT(4*O14*O14*vB*vB + 'Drilling Spec'!$C$48*O14 + WB*('Drilling Spec'!$C$49 + 2*lB*vB*(sB*WB + 2*vB*N15/(1+eB)) + 'Drilling Spec'!$C$50)) - 'Drilling Spec'!$C$51)/(2*vB)</f>
        <v>0</v>
      </c>
      <c r="P15" s="18">
        <f>IFERROR(((S15-'Drilling Spec'!$C$30)/'Drilling Spec'!$C$31)*'Drilling Spec'!$C$32,0)</f>
        <v>0</v>
      </c>
      <c r="Q15" s="18">
        <f t="shared" si="15"/>
        <v>0</v>
      </c>
      <c r="R15" s="18"/>
      <c r="S15" s="26" t="str">
        <f>IF(AND(OR(T14=0,T14=""),M15=0),IF(M16=0,"",'Drilling Spec'!$C$30),O15)</f>
        <v/>
      </c>
      <c r="U15" s="15">
        <f>E15*'Drilling Spec'!$C$22 + L15*'Drilling Spec'!$C$23</f>
        <v>0</v>
      </c>
      <c r="V15" s="15">
        <f t="shared" si="16"/>
        <v>0</v>
      </c>
      <c r="W15" s="15">
        <f t="shared" si="6"/>
        <v>0</v>
      </c>
      <c r="X15" s="10"/>
      <c r="Y15" s="30">
        <f>IF(W15&lt;U16,'Drilling Spec'!$C$35,0)</f>
        <v>0</v>
      </c>
      <c r="AA15" s="4">
        <f t="shared" si="19"/>
        <v>4</v>
      </c>
      <c r="AB15" s="10"/>
      <c r="AC15" s="30">
        <f>IF('04-07-25-Scen6-Good,16hr'!K16&gt;'04-07-25-Scen6-Good,16hr'!AA15,'Drilling Spec'!$C$36,)</f>
        <v>0</v>
      </c>
      <c r="AE15" s="18" t="e">
        <f>(I15-'Drilling Spec'!$C$26)/'Drilling Spec'!$C$38</f>
        <v>#VALUE!</v>
      </c>
      <c r="AF15" s="18">
        <f t="shared" si="7"/>
        <v>0</v>
      </c>
      <c r="AG15" s="34">
        <f t="shared" si="8"/>
        <v>0</v>
      </c>
      <c r="AH15" s="10"/>
      <c r="AI15" s="26">
        <f>IF(C15="Camp Closed",AG15,IF(AG15&lt;'Drilling Spec'!$C$39,,'Drilling Spec'!$C$39))</f>
        <v>0</v>
      </c>
      <c r="AL15" s="16" t="e">
        <f t="shared" si="9"/>
        <v>#N/A</v>
      </c>
      <c r="AM15" s="16" t="e">
        <f t="shared" si="10"/>
        <v>#N/A</v>
      </c>
      <c r="AN15">
        <f>-'Drilling Spec'!$C$29</f>
        <v>-720</v>
      </c>
      <c r="AO15">
        <f>-'Drilling Spec'!$C$27</f>
        <v>-624</v>
      </c>
      <c r="AP15">
        <f>-'Drilling Spec'!$C$28</f>
        <v>-688</v>
      </c>
      <c r="AQ15" t="e">
        <f t="shared" si="11"/>
        <v>#N/A</v>
      </c>
      <c r="AR15" t="e">
        <f>IF(X15=0,NA(),-'Drilling Spec'!$C$29*0.1)</f>
        <v>#N/A</v>
      </c>
      <c r="AS15" t="e">
        <f>IF(Y15=0,NA(),-'Drilling Spec'!$C$29*0.1)</f>
        <v>#N/A</v>
      </c>
      <c r="AT15" t="e">
        <f>IF(AB15=0,NA(),-'Drilling Spec'!$C$29*0.2)</f>
        <v>#N/A</v>
      </c>
      <c r="AU15" t="e">
        <f>IF(AC15=0,NA(),-'Drilling Spec'!$C$29*0.2)</f>
        <v>#N/A</v>
      </c>
      <c r="AV15" t="e">
        <f>IF(AH15=0,NA(),-'Drilling Spec'!$C$29*0.3)</f>
        <v>#N/A</v>
      </c>
      <c r="AW15" t="e">
        <f>IF(AI15=0,NA(),-'Drilling Spec'!$C$29*0.3)</f>
        <v>#N/A</v>
      </c>
      <c r="AX15" s="29">
        <f t="shared" si="12"/>
        <v>0</v>
      </c>
      <c r="AY15" s="29">
        <f t="shared" si="13"/>
        <v>4</v>
      </c>
      <c r="AZ15" s="29">
        <f t="shared" si="17"/>
        <v>0</v>
      </c>
      <c r="BS15" s="35"/>
      <c r="BT15" s="35"/>
      <c r="BU15" s="39" t="s">
        <v>185</v>
      </c>
      <c r="BV15" s="39"/>
      <c r="BW15" s="39"/>
      <c r="BX15" s="39"/>
      <c r="BY15" s="39"/>
      <c r="BZ15" s="39"/>
      <c r="CA15" s="39"/>
    </row>
    <row r="16" spans="1:79" x14ac:dyDescent="0.35">
      <c r="A16" s="28">
        <f t="shared" si="18"/>
        <v>45986</v>
      </c>
      <c r="B16" t="str">
        <f t="shared" si="0"/>
        <v>Tue</v>
      </c>
      <c r="C16" s="10" t="s">
        <v>7</v>
      </c>
      <c r="D16" s="10">
        <v>0</v>
      </c>
      <c r="E16" s="4">
        <f t="shared" si="1"/>
        <v>0</v>
      </c>
      <c r="F16" s="4">
        <f t="shared" si="2"/>
        <v>0</v>
      </c>
      <c r="G16" s="4">
        <f t="shared" si="3"/>
        <v>0</v>
      </c>
      <c r="H16" s="15" t="e">
        <f>(SQRT(4*I15*I15*V*V + 'Drilling Spec'!$C$42*I15 + W*('Drilling Spec'!$C$43 + 2*l*V*(s*W + 2*V*G16/(1+e)) + 'Drilling Spec'!$C$44)) - 'Drilling Spec'!$C$45)/(2*V)</f>
        <v>#VALUE!</v>
      </c>
      <c r="I16" s="23">
        <f>IF(AND(OR(I15=0,I15=""),F16=0),IF(F17=0,"",'Drilling Spec'!$C$26),H16)</f>
        <v>70</v>
      </c>
      <c r="J16" s="16">
        <f>MAX(0,I16-'Drilling Spec'!$C$30)</f>
        <v>0</v>
      </c>
      <c r="K16" s="18">
        <f>IFERROR(J16/'Drilling Spec'!$C$31,0)</f>
        <v>0</v>
      </c>
      <c r="L16" s="21">
        <f t="shared" si="4"/>
        <v>0</v>
      </c>
      <c r="M16" s="4">
        <f t="shared" si="14"/>
        <v>0</v>
      </c>
      <c r="N16" s="21">
        <f t="shared" si="5"/>
        <v>0</v>
      </c>
      <c r="O16" s="18">
        <f>(SQRT(4*O15*O15*vB*vB + 'Drilling Spec'!$C$48*O15 + WB*('Drilling Spec'!$C$49 + 2*lB*vB*(sB*WB + 2*vB*N16/(1+eB)) + 'Drilling Spec'!$C$50)) - 'Drilling Spec'!$C$51)/(2*vB)</f>
        <v>0</v>
      </c>
      <c r="P16" s="18">
        <f>IFERROR(((S16-'Drilling Spec'!$C$30)/'Drilling Spec'!$C$31)*'Drilling Spec'!$C$32,0)</f>
        <v>0</v>
      </c>
      <c r="Q16" s="18">
        <f t="shared" si="15"/>
        <v>0</v>
      </c>
      <c r="R16" s="18"/>
      <c r="S16" s="26" t="str">
        <f>IF(AND(OR(T15=0,T15=""),M16=0),IF(M17=0,"",'Drilling Spec'!$C$30),O16)</f>
        <v/>
      </c>
      <c r="U16" s="15">
        <f>E16*'Drilling Spec'!$C$22 + L16*'Drilling Spec'!$C$23</f>
        <v>0</v>
      </c>
      <c r="V16" s="15">
        <f t="shared" si="16"/>
        <v>0</v>
      </c>
      <c r="W16" s="15">
        <f t="shared" si="6"/>
        <v>0</v>
      </c>
      <c r="X16" s="10"/>
      <c r="Y16" s="30">
        <f>IF(W16&lt;U17,'Drilling Spec'!$C$35,0)</f>
        <v>6</v>
      </c>
      <c r="AA16" s="4">
        <f t="shared" si="19"/>
        <v>4</v>
      </c>
      <c r="AB16" s="10"/>
      <c r="AC16" s="30">
        <f>IF('04-07-25-Scen6-Good,16hr'!K17&gt;'04-07-25-Scen6-Good,16hr'!AA16,'Drilling Spec'!$C$36,)</f>
        <v>0</v>
      </c>
      <c r="AE16" s="18">
        <f>(I16-'Drilling Spec'!$C$26)/'Drilling Spec'!$C$38</f>
        <v>0</v>
      </c>
      <c r="AF16" s="18">
        <f t="shared" si="7"/>
        <v>0</v>
      </c>
      <c r="AG16" s="34">
        <f t="shared" si="8"/>
        <v>0</v>
      </c>
      <c r="AH16" s="10"/>
      <c r="AI16" s="26">
        <f>IF(C16="Camp Closed",AG16,IF(AG16&lt;'Drilling Spec'!$C$39,,'Drilling Spec'!$C$39))</f>
        <v>0</v>
      </c>
      <c r="AL16" s="16">
        <f t="shared" si="9"/>
        <v>-70</v>
      </c>
      <c r="AM16" s="16" t="e">
        <f t="shared" si="10"/>
        <v>#N/A</v>
      </c>
      <c r="AN16">
        <f>-'Drilling Spec'!$C$29</f>
        <v>-720</v>
      </c>
      <c r="AO16">
        <f>-'Drilling Spec'!$C$27</f>
        <v>-624</v>
      </c>
      <c r="AP16">
        <f>-'Drilling Spec'!$C$28</f>
        <v>-688</v>
      </c>
      <c r="AQ16" t="e">
        <f t="shared" si="11"/>
        <v>#N/A</v>
      </c>
      <c r="AR16" t="e">
        <f>IF(X16=0,NA(),-'Drilling Spec'!$C$29*0.1)</f>
        <v>#N/A</v>
      </c>
      <c r="AS16">
        <f>IF(Y16=0,NA(),-'Drilling Spec'!$C$29*0.1)</f>
        <v>-72</v>
      </c>
      <c r="AT16" t="e">
        <f>IF(AB16=0,NA(),-'Drilling Spec'!$C$29*0.2)</f>
        <v>#N/A</v>
      </c>
      <c r="AU16" t="e">
        <f>IF(AC16=0,NA(),-'Drilling Spec'!$C$29*0.2)</f>
        <v>#N/A</v>
      </c>
      <c r="AV16" t="e">
        <f>IF(AH16=0,NA(),-'Drilling Spec'!$C$29*0.3)</f>
        <v>#N/A</v>
      </c>
      <c r="AW16" t="e">
        <f>IF(AI16=0,NA(),-'Drilling Spec'!$C$29*0.3)</f>
        <v>#N/A</v>
      </c>
      <c r="AX16" s="29">
        <f t="shared" si="12"/>
        <v>0</v>
      </c>
      <c r="AY16" s="29">
        <f t="shared" si="13"/>
        <v>4</v>
      </c>
      <c r="AZ16" s="29">
        <f t="shared" si="17"/>
        <v>0</v>
      </c>
      <c r="BS16" s="35"/>
      <c r="BT16" s="35"/>
      <c r="BU16" s="39"/>
      <c r="BV16" s="39"/>
      <c r="BW16" s="39"/>
      <c r="BX16" s="39"/>
      <c r="BY16" s="39"/>
      <c r="BZ16" s="39"/>
      <c r="CA16" s="39"/>
    </row>
    <row r="17" spans="1:79" x14ac:dyDescent="0.35">
      <c r="A17" s="28">
        <f t="shared" si="18"/>
        <v>45987</v>
      </c>
      <c r="B17" t="str">
        <f t="shared" si="0"/>
        <v>Wed</v>
      </c>
      <c r="C17" s="10" t="s">
        <v>9</v>
      </c>
      <c r="D17" s="10">
        <v>8</v>
      </c>
      <c r="E17" s="4">
        <f t="shared" si="1"/>
        <v>8</v>
      </c>
      <c r="F17" s="4">
        <f t="shared" si="2"/>
        <v>8</v>
      </c>
      <c r="G17" s="4">
        <f t="shared" si="3"/>
        <v>480</v>
      </c>
      <c r="H17" s="15">
        <f>(SQRT(4*I16*I16*V*V + 'Drilling Spec'!$C$42*I16 + W*('Drilling Spec'!$C$43 + 2*l*V*(s*W + 2*V*G17/(1+e)) + 'Drilling Spec'!$C$44)) - 'Drilling Spec'!$C$45)/(2*V)</f>
        <v>79.833321918590045</v>
      </c>
      <c r="I17" s="23">
        <f>IF(AND(OR(I16=0,I16=""),F17=0),IF(F18=0,"",'Drilling Spec'!$C$26),H17)</f>
        <v>79.833321918590045</v>
      </c>
      <c r="J17" s="16">
        <f>MAX(0,I17-'Drilling Spec'!$C$30)</f>
        <v>0</v>
      </c>
      <c r="K17" s="18">
        <f>IFERROR(J17/'Drilling Spec'!$C$31,0)</f>
        <v>0</v>
      </c>
      <c r="L17" s="21">
        <f t="shared" si="4"/>
        <v>0</v>
      </c>
      <c r="M17" s="4">
        <f t="shared" si="14"/>
        <v>0</v>
      </c>
      <c r="N17" s="21">
        <f t="shared" si="5"/>
        <v>0</v>
      </c>
      <c r="O17" s="18">
        <f>(SQRT(4*O16*O16*vB*vB + 'Drilling Spec'!$C$48*O16 + WB*('Drilling Spec'!$C$49 + 2*lB*vB*(sB*WB + 2*vB*N17/(1+eB)) + 'Drilling Spec'!$C$50)) - 'Drilling Spec'!$C$51)/(2*vB)</f>
        <v>0</v>
      </c>
      <c r="P17" s="18">
        <f>IFERROR(((S17-'Drilling Spec'!$C$30)/'Drilling Spec'!$C$31)*'Drilling Spec'!$C$32,0)</f>
        <v>0</v>
      </c>
      <c r="Q17" s="18">
        <f t="shared" si="15"/>
        <v>0</v>
      </c>
      <c r="R17" s="18"/>
      <c r="S17" s="26" t="str">
        <f>IF(AND(OR(T16=0,T16=""),M17=0),IF(M18=0,"",'Drilling Spec'!$C$30),O17)</f>
        <v/>
      </c>
      <c r="U17" s="15">
        <f>E17*'Drilling Spec'!$C$22 + L17*'Drilling Spec'!$C$23</f>
        <v>0.16032520325203253</v>
      </c>
      <c r="V17" s="15">
        <f t="shared" si="16"/>
        <v>0.16032520325203253</v>
      </c>
      <c r="W17" s="15">
        <f>W16-U17+X16+Y16</f>
        <v>5.8396747967479676</v>
      </c>
      <c r="X17" s="10"/>
      <c r="Y17" s="30">
        <f>IF(W17&lt;U18,'Drilling Spec'!$C$35,0)</f>
        <v>0</v>
      </c>
      <c r="AA17" s="4">
        <f t="shared" si="19"/>
        <v>4</v>
      </c>
      <c r="AB17" s="10"/>
      <c r="AC17" s="30">
        <f>IF('04-07-25-Scen6-Good,16hr'!K18&gt;'04-07-25-Scen6-Good,16hr'!AA17,'Drilling Spec'!$C$36,)</f>
        <v>0</v>
      </c>
      <c r="AE17" s="18">
        <f>(I17-'Drilling Spec'!$C$26)/'Drilling Spec'!$C$38</f>
        <v>1.6388869864316742</v>
      </c>
      <c r="AF17" s="18">
        <f t="shared" si="7"/>
        <v>1.6388869864316742</v>
      </c>
      <c r="AG17" s="34">
        <f t="shared" si="8"/>
        <v>1.6388869864316742</v>
      </c>
      <c r="AH17" s="10"/>
      <c r="AI17" s="26">
        <f>IF(C17="Camp Closed",AG17,IF(AG17&lt;'Drilling Spec'!$C$39,,'Drilling Spec'!$C$39))</f>
        <v>0</v>
      </c>
      <c r="AL17" s="16">
        <f t="shared" si="9"/>
        <v>-79.833321918590045</v>
      </c>
      <c r="AM17" s="16" t="e">
        <f t="shared" si="10"/>
        <v>#N/A</v>
      </c>
      <c r="AN17">
        <f>-'Drilling Spec'!$C$29</f>
        <v>-720</v>
      </c>
      <c r="AO17">
        <f>-'Drilling Spec'!$C$27</f>
        <v>-624</v>
      </c>
      <c r="AP17">
        <f>-'Drilling Spec'!$C$28</f>
        <v>-688</v>
      </c>
      <c r="AQ17" t="e">
        <f t="shared" si="11"/>
        <v>#N/A</v>
      </c>
      <c r="AR17" t="e">
        <f>IF(X17=0,NA(),-'Drilling Spec'!$C$29*0.1)</f>
        <v>#N/A</v>
      </c>
      <c r="AS17" t="e">
        <f>IF(Y17=0,NA(),-'Drilling Spec'!$C$29*0.1)</f>
        <v>#N/A</v>
      </c>
      <c r="AT17" t="e">
        <f>IF(AB17=0,NA(),-'Drilling Spec'!$C$29*0.2)</f>
        <v>#N/A</v>
      </c>
      <c r="AU17" t="e">
        <f>IF(AC17=0,NA(),-'Drilling Spec'!$C$29*0.2)</f>
        <v>#N/A</v>
      </c>
      <c r="AV17" t="e">
        <f>IF(AH17=0,NA(),-'Drilling Spec'!$C$29*0.3)</f>
        <v>#N/A</v>
      </c>
      <c r="AW17" t="e">
        <f>IF(AI17=0,NA(),-'Drilling Spec'!$C$29*0.3)</f>
        <v>#N/A</v>
      </c>
      <c r="AX17" s="29">
        <f t="shared" si="12"/>
        <v>5.8396747967479676</v>
      </c>
      <c r="AY17" s="29">
        <f t="shared" si="13"/>
        <v>4</v>
      </c>
      <c r="AZ17" s="29">
        <f t="shared" si="17"/>
        <v>1.6388869864316742</v>
      </c>
      <c r="BS17" s="35"/>
      <c r="BU17" s="38" t="s">
        <v>186</v>
      </c>
      <c r="BV17" s="38"/>
      <c r="BW17" s="38"/>
      <c r="BX17" s="38"/>
      <c r="BY17" s="38"/>
      <c r="BZ17" s="38"/>
      <c r="CA17" s="38"/>
    </row>
    <row r="18" spans="1:79" x14ac:dyDescent="0.35">
      <c r="A18" s="28">
        <f t="shared" si="18"/>
        <v>45988</v>
      </c>
      <c r="B18" t="str">
        <f t="shared" si="0"/>
        <v>Thu</v>
      </c>
      <c r="C18" s="10" t="s">
        <v>9</v>
      </c>
      <c r="D18" s="10">
        <v>8</v>
      </c>
      <c r="E18" s="4">
        <f t="shared" si="1"/>
        <v>8</v>
      </c>
      <c r="F18" s="4">
        <f t="shared" si="2"/>
        <v>16</v>
      </c>
      <c r="G18" s="4">
        <f t="shared" si="3"/>
        <v>480</v>
      </c>
      <c r="H18" s="15">
        <f>(SQRT(4*I17*I17*V*V + 'Drilling Spec'!$C$42*I17 + W*('Drilling Spec'!$C$43 + 2*l*V*(s*W + 2*V*G18/(1+e)) + 'Drilling Spec'!$C$44)) - 'Drilling Spec'!$C$45)/(2*V)</f>
        <v>89.510213628273647</v>
      </c>
      <c r="I18" s="23">
        <f>IF(AND(OR(I17=0,I17=""),F18=0),IF(F19=0,"",'Drilling Spec'!$C$26),H18)</f>
        <v>89.510213628273647</v>
      </c>
      <c r="J18" s="16">
        <f>MAX(0,I18-'Drilling Spec'!$C$30)</f>
        <v>9.5102136282736467</v>
      </c>
      <c r="K18" s="18">
        <f>IFERROR(J18/'Drilling Spec'!$C$31,0)</f>
        <v>0.63401424188490973</v>
      </c>
      <c r="L18" s="21">
        <f t="shared" si="4"/>
        <v>0</v>
      </c>
      <c r="M18" s="4">
        <f t="shared" si="14"/>
        <v>0</v>
      </c>
      <c r="N18" s="21">
        <f t="shared" si="5"/>
        <v>0</v>
      </c>
      <c r="O18" s="18">
        <f>(SQRT(4*O17*O17*vB*vB + 'Drilling Spec'!$C$48*O17 + WB*('Drilling Spec'!$C$49 + 2*lB*vB*(sB*WB + 2*vB*N18/(1+eB)) + 'Drilling Spec'!$C$50)) - 'Drilling Spec'!$C$51)/(2*vB)</f>
        <v>0</v>
      </c>
      <c r="P18" s="18">
        <f>IFERROR(((S18-'Drilling Spec'!$C$30)/'Drilling Spec'!$C$31)*'Drilling Spec'!$C$32,0)</f>
        <v>0</v>
      </c>
      <c r="Q18" s="18">
        <f t="shared" si="15"/>
        <v>0</v>
      </c>
      <c r="R18" s="18"/>
      <c r="S18" s="26" t="str">
        <f>IF(AND(OR(T17=0,T17=""),M18=0),IF(M19=0,"",'Drilling Spec'!$C$30),O18)</f>
        <v/>
      </c>
      <c r="U18" s="15">
        <f>E18*'Drilling Spec'!$C$22 + L18*'Drilling Spec'!$C$23</f>
        <v>0.16032520325203253</v>
      </c>
      <c r="V18" s="15">
        <f t="shared" si="16"/>
        <v>0.32065040650406507</v>
      </c>
      <c r="W18" s="15">
        <f t="shared" si="6"/>
        <v>5.6793495934959353</v>
      </c>
      <c r="X18" s="10"/>
      <c r="Y18" s="30">
        <f>IF(W18&lt;U19,'Drilling Spec'!$C$35,0)</f>
        <v>0</v>
      </c>
      <c r="AA18" s="4">
        <f t="shared" si="19"/>
        <v>4</v>
      </c>
      <c r="AB18" s="10"/>
      <c r="AC18" s="30">
        <f>IF('04-07-25-Scen6-Good,16hr'!K19&gt;'04-07-25-Scen6-Good,16hr'!AA18,'Drilling Spec'!$C$36,)</f>
        <v>0</v>
      </c>
      <c r="AE18" s="18">
        <f>(I18-'Drilling Spec'!$C$26)/'Drilling Spec'!$C$38</f>
        <v>3.251702271378941</v>
      </c>
      <c r="AF18" s="18">
        <f t="shared" si="7"/>
        <v>1.6128152849472668</v>
      </c>
      <c r="AG18" s="34">
        <f t="shared" si="8"/>
        <v>3.251702271378941</v>
      </c>
      <c r="AH18" s="10"/>
      <c r="AI18" s="26">
        <f>IF(C18="Camp Closed",AG18,IF(AG18&lt;'Drilling Spec'!$C$39,,'Drilling Spec'!$C$39))</f>
        <v>0</v>
      </c>
      <c r="AL18" s="16">
        <f t="shared" si="9"/>
        <v>-89.510213628273647</v>
      </c>
      <c r="AM18" s="16" t="e">
        <f t="shared" si="10"/>
        <v>#N/A</v>
      </c>
      <c r="AN18">
        <f>-'Drilling Spec'!$C$29</f>
        <v>-720</v>
      </c>
      <c r="AO18">
        <f>-'Drilling Spec'!$C$27</f>
        <v>-624</v>
      </c>
      <c r="AP18">
        <f>-'Drilling Spec'!$C$28</f>
        <v>-688</v>
      </c>
      <c r="AQ18" t="e">
        <f t="shared" si="11"/>
        <v>#N/A</v>
      </c>
      <c r="AR18" t="e">
        <f>IF(X18=0,NA(),-'Drilling Spec'!$C$29*0.1)</f>
        <v>#N/A</v>
      </c>
      <c r="AS18" t="e">
        <f>IF(Y18=0,NA(),-'Drilling Spec'!$C$29*0.1)</f>
        <v>#N/A</v>
      </c>
      <c r="AT18" t="e">
        <f>IF(AB18=0,NA(),-'Drilling Spec'!$C$29*0.2)</f>
        <v>#N/A</v>
      </c>
      <c r="AU18" t="e">
        <f>IF(AC18=0,NA(),-'Drilling Spec'!$C$29*0.2)</f>
        <v>#N/A</v>
      </c>
      <c r="AV18" t="e">
        <f>IF(AH18=0,NA(),-'Drilling Spec'!$C$29*0.3)</f>
        <v>#N/A</v>
      </c>
      <c r="AW18" t="e">
        <f>IF(AI18=0,NA(),-'Drilling Spec'!$C$29*0.3)</f>
        <v>#N/A</v>
      </c>
      <c r="AX18" s="29">
        <f t="shared" si="12"/>
        <v>5.6793495934959353</v>
      </c>
      <c r="AY18" s="29">
        <f t="shared" si="13"/>
        <v>3.36598575811509</v>
      </c>
      <c r="AZ18" s="29">
        <f t="shared" si="17"/>
        <v>3.251702271378941</v>
      </c>
      <c r="BS18" s="35"/>
      <c r="BU18" s="38"/>
      <c r="BV18" s="38"/>
      <c r="BW18" s="38"/>
      <c r="BX18" s="38"/>
      <c r="BY18" s="38"/>
      <c r="BZ18" s="38"/>
      <c r="CA18" s="38"/>
    </row>
    <row r="19" spans="1:79" x14ac:dyDescent="0.35">
      <c r="A19" s="28">
        <f t="shared" si="18"/>
        <v>45989</v>
      </c>
      <c r="B19" t="str">
        <f t="shared" si="0"/>
        <v>Fri</v>
      </c>
      <c r="C19" s="10" t="s">
        <v>9</v>
      </c>
      <c r="D19" s="10">
        <v>8</v>
      </c>
      <c r="E19" s="4">
        <f t="shared" si="1"/>
        <v>8</v>
      </c>
      <c r="F19" s="4">
        <f t="shared" si="2"/>
        <v>24</v>
      </c>
      <c r="G19" s="4">
        <f t="shared" si="3"/>
        <v>480</v>
      </c>
      <c r="H19" s="15">
        <f>(SQRT(4*I18*I18*V*V + 'Drilling Spec'!$C$42*I18 + W*('Drilling Spec'!$C$43 + 2*l*V*(s*W + 2*V*G19/(1+e)) + 'Drilling Spec'!$C$44)) - 'Drilling Spec'!$C$45)/(2*V)</f>
        <v>99.037911344051594</v>
      </c>
      <c r="I19" s="23">
        <f>IF(AND(OR(I18=0,I18=""),F19=0),IF(F20=0,"",'Drilling Spec'!$C$26),H19)</f>
        <v>99.037911344051594</v>
      </c>
      <c r="J19" s="16">
        <f>MAX(0,I19-'Drilling Spec'!$C$30)</f>
        <v>19.037911344051594</v>
      </c>
      <c r="K19" s="18">
        <f>IFERROR(J19/'Drilling Spec'!$C$31,0)</f>
        <v>1.2691940896034395</v>
      </c>
      <c r="L19" s="21">
        <f t="shared" si="4"/>
        <v>0</v>
      </c>
      <c r="M19" s="4">
        <f t="shared" si="14"/>
        <v>0</v>
      </c>
      <c r="N19" s="21">
        <f t="shared" si="5"/>
        <v>0</v>
      </c>
      <c r="O19" s="18">
        <f>(SQRT(4*O18*O18*vB*vB + 'Drilling Spec'!$C$48*O18 + WB*('Drilling Spec'!$C$49 + 2*lB*vB*(sB*WB + 2*vB*N19/(1+eB)) + 'Drilling Spec'!$C$50)) - 'Drilling Spec'!$C$51)/(2*vB)</f>
        <v>0</v>
      </c>
      <c r="P19" s="18">
        <f>IFERROR(((S19-'Drilling Spec'!$C$30)/'Drilling Spec'!$C$31)*'Drilling Spec'!$C$32,0)</f>
        <v>0</v>
      </c>
      <c r="Q19" s="18">
        <f t="shared" si="15"/>
        <v>0</v>
      </c>
      <c r="R19" s="18"/>
      <c r="S19" s="26" t="str">
        <f>IF(AND(OR(T18=0,T18=""),M19=0),IF(M20=0,"",'Drilling Spec'!$C$30),O19)</f>
        <v/>
      </c>
      <c r="U19" s="15">
        <f>E19*'Drilling Spec'!$C$22 + L19*'Drilling Spec'!$C$23</f>
        <v>0.16032520325203253</v>
      </c>
      <c r="V19" s="15">
        <f t="shared" si="16"/>
        <v>0.4809756097560976</v>
      </c>
      <c r="W19" s="15">
        <f t="shared" si="6"/>
        <v>5.5190243902439029</v>
      </c>
      <c r="X19" s="10"/>
      <c r="Y19" s="30">
        <f>IF(W19&lt;U20,'Drilling Spec'!$C$35,0)</f>
        <v>0</v>
      </c>
      <c r="AA19" s="4">
        <f t="shared" si="19"/>
        <v>4</v>
      </c>
      <c r="AB19" s="10"/>
      <c r="AC19" s="30">
        <f>IF('04-07-25-Scen6-Good,16hr'!K20&gt;'04-07-25-Scen6-Good,16hr'!AA19,'Drilling Spec'!$C$36,)</f>
        <v>0</v>
      </c>
      <c r="AE19" s="18">
        <f>(I19-'Drilling Spec'!$C$26)/'Drilling Spec'!$C$38</f>
        <v>4.8396518906752659</v>
      </c>
      <c r="AF19" s="18">
        <f t="shared" si="7"/>
        <v>1.5879496192963249</v>
      </c>
      <c r="AG19" s="34">
        <f t="shared" si="8"/>
        <v>4.8396518906752659</v>
      </c>
      <c r="AH19" s="10"/>
      <c r="AI19" s="26">
        <f>IF(C19="Camp Closed",AG19,IF(AG19&lt;'Drilling Spec'!$C$39,,'Drilling Spec'!$C$39))</f>
        <v>0</v>
      </c>
      <c r="AL19" s="16">
        <f t="shared" si="9"/>
        <v>-99.037911344051594</v>
      </c>
      <c r="AM19" s="16" t="e">
        <f t="shared" si="10"/>
        <v>#N/A</v>
      </c>
      <c r="AN19">
        <f>-'Drilling Spec'!$C$29</f>
        <v>-720</v>
      </c>
      <c r="AO19">
        <f>-'Drilling Spec'!$C$27</f>
        <v>-624</v>
      </c>
      <c r="AP19">
        <f>-'Drilling Spec'!$C$28</f>
        <v>-688</v>
      </c>
      <c r="AQ19" t="e">
        <f t="shared" si="11"/>
        <v>#N/A</v>
      </c>
      <c r="AR19" t="e">
        <f>IF(X19=0,NA(),-'Drilling Spec'!$C$29*0.1)</f>
        <v>#N/A</v>
      </c>
      <c r="AS19" t="e">
        <f>IF(Y19=0,NA(),-'Drilling Spec'!$C$29*0.1)</f>
        <v>#N/A</v>
      </c>
      <c r="AT19" t="e">
        <f>IF(AB19=0,NA(),-'Drilling Spec'!$C$29*0.2)</f>
        <v>#N/A</v>
      </c>
      <c r="AU19" t="e">
        <f>IF(AC19=0,NA(),-'Drilling Spec'!$C$29*0.2)</f>
        <v>#N/A</v>
      </c>
      <c r="AV19" t="e">
        <f>IF(AH19=0,NA(),-'Drilling Spec'!$C$29*0.3)</f>
        <v>#N/A</v>
      </c>
      <c r="AW19" t="e">
        <f>IF(AI19=0,NA(),-'Drilling Spec'!$C$29*0.3)</f>
        <v>#N/A</v>
      </c>
      <c r="AX19" s="29">
        <f t="shared" si="12"/>
        <v>5.5190243902439029</v>
      </c>
      <c r="AY19" s="29">
        <f t="shared" si="13"/>
        <v>2.7308059103965605</v>
      </c>
      <c r="AZ19" s="29">
        <f t="shared" si="17"/>
        <v>4.8396518906752659</v>
      </c>
      <c r="BS19" s="35"/>
      <c r="BU19" s="40" t="s">
        <v>187</v>
      </c>
      <c r="BV19" s="40"/>
      <c r="BW19" s="40"/>
      <c r="BX19" s="40"/>
      <c r="BY19" s="40"/>
      <c r="BZ19" s="40"/>
      <c r="CA19" s="40"/>
    </row>
    <row r="20" spans="1:79" x14ac:dyDescent="0.35">
      <c r="A20" s="28">
        <f t="shared" si="18"/>
        <v>45990</v>
      </c>
      <c r="B20" t="str">
        <f t="shared" si="0"/>
        <v>Sat</v>
      </c>
      <c r="C20" s="10" t="s">
        <v>9</v>
      </c>
      <c r="D20" s="10">
        <v>16</v>
      </c>
      <c r="E20" s="4">
        <f t="shared" si="1"/>
        <v>16</v>
      </c>
      <c r="F20" s="4">
        <f t="shared" si="2"/>
        <v>40</v>
      </c>
      <c r="G20" s="4">
        <f t="shared" si="3"/>
        <v>960</v>
      </c>
      <c r="H20" s="15">
        <f>(SQRT(4*I19*I19*V*V + 'Drilling Spec'!$C$42*I19 + W*('Drilling Spec'!$C$43 + 2*l*V*(s*W + 2*V*G20/(1+e)) + 'Drilling Spec'!$C$44)) - 'Drilling Spec'!$C$45)/(2*V)</f>
        <v>117.67201837575895</v>
      </c>
      <c r="I20" s="23">
        <f>IF(AND(OR(I19=0,I19=""),F20=0),IF(F21=0,"",'Drilling Spec'!$C$26),H20)</f>
        <v>117.67201837575895</v>
      </c>
      <c r="J20" s="16">
        <f>MAX(0,I20-'Drilling Spec'!$C$30)</f>
        <v>37.672018375758952</v>
      </c>
      <c r="K20" s="18">
        <f>IFERROR(J20/'Drilling Spec'!$C$31,0)</f>
        <v>2.5114678917172637</v>
      </c>
      <c r="L20" s="21">
        <f t="shared" si="4"/>
        <v>0</v>
      </c>
      <c r="M20" s="4">
        <f t="shared" si="14"/>
        <v>0</v>
      </c>
      <c r="N20" s="21">
        <f t="shared" si="5"/>
        <v>0</v>
      </c>
      <c r="O20" s="18">
        <f>(SQRT(4*O19*O19*vB*vB + 'Drilling Spec'!$C$48*O19 + WB*('Drilling Spec'!$C$49 + 2*lB*vB*(sB*WB + 2*vB*N20/(1+eB)) + 'Drilling Spec'!$C$50)) - 'Drilling Spec'!$C$51)/(2*vB)</f>
        <v>0</v>
      </c>
      <c r="P20" s="18">
        <f>IFERROR(((S20-'Drilling Spec'!$C$30)/'Drilling Spec'!$C$31)*'Drilling Spec'!$C$32,0)</f>
        <v>0</v>
      </c>
      <c r="Q20" s="18">
        <f t="shared" si="15"/>
        <v>0</v>
      </c>
      <c r="R20" s="18"/>
      <c r="S20" s="26" t="str">
        <f>IF(AND(OR(T19=0,T19=""),M20=0),IF(M21=0,"",'Drilling Spec'!$C$30),O20)</f>
        <v/>
      </c>
      <c r="U20" s="15">
        <f>E20*'Drilling Spec'!$C$22 + L20*'Drilling Spec'!$C$23</f>
        <v>0.32065040650406507</v>
      </c>
      <c r="V20" s="15">
        <f t="shared" si="16"/>
        <v>0.80162601626016272</v>
      </c>
      <c r="W20" s="15">
        <f t="shared" si="6"/>
        <v>5.1983739837398382</v>
      </c>
      <c r="X20" s="10"/>
      <c r="Y20" s="30">
        <f>IF(W20&lt;U21,'Drilling Spec'!$C$35,0)</f>
        <v>0</v>
      </c>
      <c r="AA20" s="4">
        <f t="shared" si="19"/>
        <v>4</v>
      </c>
      <c r="AB20" s="10"/>
      <c r="AC20" s="30">
        <f>IF('04-07-25-Scen6-Good,16hr'!K21&gt;'04-07-25-Scen6-Good,16hr'!AA20,'Drilling Spec'!$C$36,)</f>
        <v>0</v>
      </c>
      <c r="AE20" s="18">
        <f>(I20-'Drilling Spec'!$C$26)/'Drilling Spec'!$C$38</f>
        <v>7.9453363959598251</v>
      </c>
      <c r="AF20" s="18">
        <f t="shared" si="7"/>
        <v>3.1056845052845592</v>
      </c>
      <c r="AG20" s="34">
        <f t="shared" si="8"/>
        <v>7.9453363959598251</v>
      </c>
      <c r="AH20" s="10"/>
      <c r="AI20" s="26">
        <f>IF(C20="Camp Closed",AG20,IF(AG20&lt;'Drilling Spec'!$C$39,,'Drilling Spec'!$C$39))</f>
        <v>0</v>
      </c>
      <c r="AL20" s="16">
        <f t="shared" si="9"/>
        <v>-117.67201837575895</v>
      </c>
      <c r="AM20" s="16" t="e">
        <f t="shared" si="10"/>
        <v>#N/A</v>
      </c>
      <c r="AN20">
        <f>-'Drilling Spec'!$C$29</f>
        <v>-720</v>
      </c>
      <c r="AO20">
        <f>-'Drilling Spec'!$C$27</f>
        <v>-624</v>
      </c>
      <c r="AP20">
        <f>-'Drilling Spec'!$C$28</f>
        <v>-688</v>
      </c>
      <c r="AQ20" t="e">
        <f t="shared" si="11"/>
        <v>#N/A</v>
      </c>
      <c r="AR20" t="e">
        <f>IF(X20=0,NA(),-'Drilling Spec'!$C$29*0.1)</f>
        <v>#N/A</v>
      </c>
      <c r="AS20" t="e">
        <f>IF(Y20=0,NA(),-'Drilling Spec'!$C$29*0.1)</f>
        <v>#N/A</v>
      </c>
      <c r="AT20" t="e">
        <f>IF(AB20=0,NA(),-'Drilling Spec'!$C$29*0.2)</f>
        <v>#N/A</v>
      </c>
      <c r="AU20" t="e">
        <f>IF(AC20=0,NA(),-'Drilling Spec'!$C$29*0.2)</f>
        <v>#N/A</v>
      </c>
      <c r="AV20" t="e">
        <f>IF(AH20=0,NA(),-'Drilling Spec'!$C$29*0.3)</f>
        <v>#N/A</v>
      </c>
      <c r="AW20" t="e">
        <f>IF(AI20=0,NA(),-'Drilling Spec'!$C$29*0.3)</f>
        <v>#N/A</v>
      </c>
      <c r="AX20" s="29">
        <f t="shared" si="12"/>
        <v>5.1983739837398382</v>
      </c>
      <c r="AY20" s="29">
        <f t="shared" si="13"/>
        <v>1.4885321082827363</v>
      </c>
      <c r="AZ20" s="29">
        <f t="shared" si="17"/>
        <v>7.9453363959598251</v>
      </c>
      <c r="BS20" s="35"/>
      <c r="BU20" s="40"/>
      <c r="BV20" s="40"/>
      <c r="BW20" s="40"/>
      <c r="BX20" s="40"/>
      <c r="BY20" s="40"/>
      <c r="BZ20" s="40"/>
      <c r="CA20" s="40"/>
    </row>
    <row r="21" spans="1:79" x14ac:dyDescent="0.35">
      <c r="A21" s="28">
        <f t="shared" si="18"/>
        <v>45991</v>
      </c>
      <c r="B21" t="str">
        <f t="shared" si="0"/>
        <v>Sun</v>
      </c>
      <c r="C21" s="10" t="s">
        <v>7</v>
      </c>
      <c r="D21" s="10">
        <v>0</v>
      </c>
      <c r="E21" s="4">
        <f t="shared" si="1"/>
        <v>0</v>
      </c>
      <c r="F21" s="4">
        <f t="shared" si="2"/>
        <v>40</v>
      </c>
      <c r="G21" s="4">
        <f t="shared" si="3"/>
        <v>0</v>
      </c>
      <c r="H21" s="15">
        <f>(SQRT(4*I20*I20*V*V + 'Drilling Spec'!$C$42*I20 + W*('Drilling Spec'!$C$43 + 2*l*V*(s*W + 2*V*G21/(1+e)) + 'Drilling Spec'!$C$44)) - 'Drilling Spec'!$C$45)/(2*V)</f>
        <v>117.67201837575895</v>
      </c>
      <c r="I21" s="23">
        <f>IF(AND(OR(I20=0,I20=""),F21=0),IF(F22=0,"",'Drilling Spec'!$C$26),H21)</f>
        <v>117.67201837575895</v>
      </c>
      <c r="J21" s="16">
        <f>MAX(0,I21-'Drilling Spec'!$C$30)</f>
        <v>37.672018375758952</v>
      </c>
      <c r="K21" s="18">
        <f>IFERROR(J21/'Drilling Spec'!$C$31,0)</f>
        <v>2.5114678917172637</v>
      </c>
      <c r="L21" s="21">
        <f t="shared" si="4"/>
        <v>0</v>
      </c>
      <c r="M21" s="4">
        <f t="shared" si="14"/>
        <v>0</v>
      </c>
      <c r="N21" s="21">
        <f t="shared" si="5"/>
        <v>0</v>
      </c>
      <c r="O21" s="18">
        <f>(SQRT(4*O20*O20*vB*vB + 'Drilling Spec'!$C$48*O20 + WB*('Drilling Spec'!$C$49 + 2*lB*vB*(sB*WB + 2*vB*N21/(1+eB)) + 'Drilling Spec'!$C$50)) - 'Drilling Spec'!$C$51)/(2*vB)</f>
        <v>0</v>
      </c>
      <c r="P21" s="18">
        <f>IFERROR(((S21-'Drilling Spec'!$C$30)/'Drilling Spec'!$C$31)*'Drilling Spec'!$C$32,0)</f>
        <v>0</v>
      </c>
      <c r="Q21" s="18">
        <f t="shared" si="15"/>
        <v>0</v>
      </c>
      <c r="R21" s="18"/>
      <c r="S21" s="26" t="str">
        <f>IF(AND(OR(T20=0,T20=""),M21=0),IF(M22=0,"",'Drilling Spec'!$C$30),O21)</f>
        <v/>
      </c>
      <c r="U21" s="15">
        <f>E21*'Drilling Spec'!$C$22 + L21*'Drilling Spec'!$C$23</f>
        <v>0</v>
      </c>
      <c r="V21" s="15">
        <f t="shared" si="16"/>
        <v>0.80162601626016272</v>
      </c>
      <c r="W21" s="15">
        <f t="shared" si="6"/>
        <v>5.1983739837398382</v>
      </c>
      <c r="X21" s="10"/>
      <c r="Y21" s="30">
        <f>IF(W21&lt;U22,'Drilling Spec'!$C$35,0)</f>
        <v>0</v>
      </c>
      <c r="AA21" s="4">
        <f t="shared" si="19"/>
        <v>4</v>
      </c>
      <c r="AB21" s="10"/>
      <c r="AC21" s="30">
        <f>IF('04-07-25-Scen6-Good,16hr'!K22&gt;'04-07-25-Scen6-Good,16hr'!AA21,'Drilling Spec'!$C$36,)</f>
        <v>0</v>
      </c>
      <c r="AE21" s="18">
        <f>(I21-'Drilling Spec'!$C$26)/'Drilling Spec'!$C$38</f>
        <v>7.9453363959598251</v>
      </c>
      <c r="AF21" s="18">
        <f t="shared" si="7"/>
        <v>0</v>
      </c>
      <c r="AG21" s="34">
        <f t="shared" si="8"/>
        <v>7.9453363959598251</v>
      </c>
      <c r="AH21" s="10"/>
      <c r="AI21" s="26">
        <f>IF(C21="Camp Closed",AG21,IF(AG21&lt;'Drilling Spec'!$C$39,,'Drilling Spec'!$C$39))</f>
        <v>0</v>
      </c>
      <c r="AL21" s="16">
        <f t="shared" si="9"/>
        <v>-117.67201837575895</v>
      </c>
      <c r="AM21" s="16" t="e">
        <f t="shared" si="10"/>
        <v>#N/A</v>
      </c>
      <c r="AN21">
        <f>-'Drilling Spec'!$C$29</f>
        <v>-720</v>
      </c>
      <c r="AO21">
        <f>-'Drilling Spec'!$C$27</f>
        <v>-624</v>
      </c>
      <c r="AP21">
        <f>-'Drilling Spec'!$C$28</f>
        <v>-688</v>
      </c>
      <c r="AQ21" t="e">
        <f t="shared" si="11"/>
        <v>#N/A</v>
      </c>
      <c r="AR21" t="e">
        <f>IF(X21=0,NA(),-'Drilling Spec'!$C$29*0.1)</f>
        <v>#N/A</v>
      </c>
      <c r="AS21" t="e">
        <f>IF(Y21=0,NA(),-'Drilling Spec'!$C$29*0.1)</f>
        <v>#N/A</v>
      </c>
      <c r="AT21" t="e">
        <f>IF(AB21=0,NA(),-'Drilling Spec'!$C$29*0.2)</f>
        <v>#N/A</v>
      </c>
      <c r="AU21" t="e">
        <f>IF(AC21=0,NA(),-'Drilling Spec'!$C$29*0.2)</f>
        <v>#N/A</v>
      </c>
      <c r="AV21" t="e">
        <f>IF(AH21=0,NA(),-'Drilling Spec'!$C$29*0.3)</f>
        <v>#N/A</v>
      </c>
      <c r="AW21" t="e">
        <f>IF(AI21=0,NA(),-'Drilling Spec'!$C$29*0.3)</f>
        <v>#N/A</v>
      </c>
      <c r="AX21" s="29">
        <f t="shared" si="12"/>
        <v>5.1983739837398382</v>
      </c>
      <c r="AY21" s="29">
        <f t="shared" si="13"/>
        <v>1.4885321082827363</v>
      </c>
      <c r="AZ21" s="29">
        <f t="shared" si="17"/>
        <v>7.9453363959598251</v>
      </c>
      <c r="BS21" s="35"/>
      <c r="BU21" s="40"/>
      <c r="BV21" s="40"/>
      <c r="BW21" s="40"/>
      <c r="BX21" s="40"/>
      <c r="BY21" s="40"/>
      <c r="BZ21" s="40"/>
      <c r="CA21" s="40"/>
    </row>
    <row r="22" spans="1:79" x14ac:dyDescent="0.35">
      <c r="A22" s="28">
        <f t="shared" si="18"/>
        <v>45992</v>
      </c>
      <c r="B22" t="str">
        <f t="shared" si="0"/>
        <v>Mon</v>
      </c>
      <c r="C22" s="10" t="s">
        <v>9</v>
      </c>
      <c r="D22" s="10">
        <v>16</v>
      </c>
      <c r="E22" s="4">
        <f t="shared" si="1"/>
        <v>16</v>
      </c>
      <c r="F22" s="4">
        <f t="shared" si="2"/>
        <v>56</v>
      </c>
      <c r="G22" s="4">
        <f t="shared" si="3"/>
        <v>960</v>
      </c>
      <c r="H22" s="15">
        <f>(SQRT(4*I21*I21*V*V + 'Drilling Spec'!$C$42*I21 + W*('Drilling Spec'!$C$43 + 2*l*V*(s*W + 2*V*G22/(1+e)) + 'Drilling Spec'!$C$44)) - 'Drilling Spec'!$C$45)/(2*V)</f>
        <v>135.78365027986609</v>
      </c>
      <c r="I22" s="23">
        <f>IF(AND(OR(I21=0,I21=""),F22=0),IF(F23=0,"",'Drilling Spec'!$C$26),H22)</f>
        <v>135.78365027986609</v>
      </c>
      <c r="J22" s="16">
        <f>MAX(0,I22-'Drilling Spec'!$C$30)</f>
        <v>55.783650279866094</v>
      </c>
      <c r="K22" s="18">
        <f>IFERROR(J22/'Drilling Spec'!$C$31,0)</f>
        <v>3.7189100186577395</v>
      </c>
      <c r="L22" s="21">
        <f t="shared" si="4"/>
        <v>0</v>
      </c>
      <c r="M22" s="4">
        <f t="shared" si="14"/>
        <v>0</v>
      </c>
      <c r="N22" s="21">
        <f t="shared" si="5"/>
        <v>0</v>
      </c>
      <c r="O22" s="18">
        <f>(SQRT(4*O21*O21*vB*vB + 'Drilling Spec'!$C$48*O21 + WB*('Drilling Spec'!$C$49 + 2*lB*vB*(sB*WB + 2*vB*N22/(1+eB)) + 'Drilling Spec'!$C$50)) - 'Drilling Spec'!$C$51)/(2*vB)</f>
        <v>0</v>
      </c>
      <c r="P22" s="18">
        <f>IFERROR(((S22-'Drilling Spec'!$C$30)/'Drilling Spec'!$C$31)*'Drilling Spec'!$C$32,0)</f>
        <v>0</v>
      </c>
      <c r="Q22" s="18">
        <f t="shared" si="15"/>
        <v>0</v>
      </c>
      <c r="R22" s="18"/>
      <c r="S22" s="26" t="str">
        <f>IF(AND(OR(T21=0,T21=""),M22=0),IF(M23=0,"",'Drilling Spec'!$C$30),O22)</f>
        <v/>
      </c>
      <c r="U22" s="15">
        <f>E22*'Drilling Spec'!$C$22 + L22*'Drilling Spec'!$C$23</f>
        <v>0.32065040650406507</v>
      </c>
      <c r="V22" s="15">
        <f t="shared" si="16"/>
        <v>1.1222764227642279</v>
      </c>
      <c r="W22" s="15">
        <f t="shared" si="6"/>
        <v>4.8777235772357734</v>
      </c>
      <c r="X22" s="10"/>
      <c r="Y22" s="30">
        <f>IF(W22&lt;U23,'Drilling Spec'!$C$35,0)</f>
        <v>0</v>
      </c>
      <c r="AA22" s="4">
        <f t="shared" si="19"/>
        <v>4</v>
      </c>
      <c r="AB22" s="10"/>
      <c r="AC22" s="30">
        <f>IF('04-07-25-Scen6-Good,16hr'!K23&gt;'04-07-25-Scen6-Good,16hr'!AA22,'Drilling Spec'!$C$36,)</f>
        <v>6</v>
      </c>
      <c r="AE22" s="18">
        <f>(I22-'Drilling Spec'!$C$26)/'Drilling Spec'!$C$38</f>
        <v>10.963941713311016</v>
      </c>
      <c r="AF22" s="18">
        <f t="shared" si="7"/>
        <v>3.0186053173511906</v>
      </c>
      <c r="AG22" s="34">
        <f t="shared" si="8"/>
        <v>10.963941713311016</v>
      </c>
      <c r="AH22" s="10"/>
      <c r="AI22" s="26">
        <f>IF(C22="Camp Closed",AG22,IF(AG22&lt;'Drilling Spec'!$C$39,,'Drilling Spec'!$C$39))</f>
        <v>0</v>
      </c>
      <c r="AL22" s="16">
        <f t="shared" si="9"/>
        <v>-135.78365027986609</v>
      </c>
      <c r="AM22" s="16" t="e">
        <f t="shared" si="10"/>
        <v>#N/A</v>
      </c>
      <c r="AN22">
        <f>-'Drilling Spec'!$C$29</f>
        <v>-720</v>
      </c>
      <c r="AO22">
        <f>-'Drilling Spec'!$C$27</f>
        <v>-624</v>
      </c>
      <c r="AP22">
        <f>-'Drilling Spec'!$C$28</f>
        <v>-688</v>
      </c>
      <c r="AQ22" t="e">
        <f t="shared" si="11"/>
        <v>#N/A</v>
      </c>
      <c r="AR22" t="e">
        <f>IF(X22=0,NA(),-'Drilling Spec'!$C$29*0.1)</f>
        <v>#N/A</v>
      </c>
      <c r="AS22" t="e">
        <f>IF(Y22=0,NA(),-'Drilling Spec'!$C$29*0.1)</f>
        <v>#N/A</v>
      </c>
      <c r="AT22" t="e">
        <f>IF(AB22=0,NA(),-'Drilling Spec'!$C$29*0.2)</f>
        <v>#N/A</v>
      </c>
      <c r="AU22">
        <f>IF(AC22=0,NA(),-'Drilling Spec'!$C$29*0.2)</f>
        <v>-144</v>
      </c>
      <c r="AV22" t="e">
        <f>IF(AH22=0,NA(),-'Drilling Spec'!$C$29*0.3)</f>
        <v>#N/A</v>
      </c>
      <c r="AW22" t="e">
        <f>IF(AI22=0,NA(),-'Drilling Spec'!$C$29*0.3)</f>
        <v>#N/A</v>
      </c>
      <c r="AX22" s="29">
        <f t="shared" si="12"/>
        <v>4.8777235772357734</v>
      </c>
      <c r="AY22" s="29">
        <f t="shared" si="13"/>
        <v>0.28108998134226049</v>
      </c>
      <c r="AZ22" s="29">
        <f t="shared" si="17"/>
        <v>10.963941713311016</v>
      </c>
      <c r="BS22" s="35"/>
      <c r="BU22" s="40"/>
      <c r="BV22" s="40"/>
      <c r="BW22" s="40"/>
      <c r="BX22" s="40"/>
      <c r="BY22" s="40"/>
      <c r="BZ22" s="40"/>
      <c r="CA22" s="40"/>
    </row>
    <row r="23" spans="1:79" x14ac:dyDescent="0.35">
      <c r="A23" s="28">
        <f t="shared" si="18"/>
        <v>45993</v>
      </c>
      <c r="B23" t="str">
        <f t="shared" si="0"/>
        <v>Tue</v>
      </c>
      <c r="C23" s="10" t="s">
        <v>9</v>
      </c>
      <c r="D23" s="10">
        <v>16</v>
      </c>
      <c r="E23" s="4">
        <f t="shared" si="1"/>
        <v>16</v>
      </c>
      <c r="F23" s="4">
        <f t="shared" si="2"/>
        <v>72</v>
      </c>
      <c r="G23" s="4">
        <f t="shared" si="3"/>
        <v>960</v>
      </c>
      <c r="H23" s="15">
        <f>(SQRT(4*I22*I22*V*V + 'Drilling Spec'!$C$42*I22 + W*('Drilling Spec'!$C$43 + 2*l*V*(s*W + 2*V*G23/(1+e)) + 'Drilling Spec'!$C$44)) - 'Drilling Spec'!$C$45)/(2*V)</f>
        <v>153.41443656587367</v>
      </c>
      <c r="I23" s="23">
        <f>IF(AND(OR(I22=0,I22=""),F23=0),IF(F24=0,"",'Drilling Spec'!$C$26),H23)</f>
        <v>153.41443656587367</v>
      </c>
      <c r="J23" s="16">
        <f>MAX(0,I23-'Drilling Spec'!$C$30)</f>
        <v>73.414436565873672</v>
      </c>
      <c r="K23" s="18">
        <f>IFERROR(J23/'Drilling Spec'!$C$31,0)</f>
        <v>4.8942957710582444</v>
      </c>
      <c r="L23" s="21">
        <f t="shared" si="4"/>
        <v>0</v>
      </c>
      <c r="M23" s="4">
        <f t="shared" si="14"/>
        <v>0</v>
      </c>
      <c r="N23" s="21">
        <f t="shared" si="5"/>
        <v>0</v>
      </c>
      <c r="O23" s="18">
        <f>(SQRT(4*O22*O22*vB*vB + 'Drilling Spec'!$C$48*O22 + WB*('Drilling Spec'!$C$49 + 2*lB*vB*(sB*WB + 2*vB*N23/(1+eB)) + 'Drilling Spec'!$C$50)) - 'Drilling Spec'!$C$51)/(2*vB)</f>
        <v>0</v>
      </c>
      <c r="P23" s="18">
        <f>IFERROR(((S23-'Drilling Spec'!$C$30)/'Drilling Spec'!$C$31)*'Drilling Spec'!$C$32,0)</f>
        <v>0</v>
      </c>
      <c r="Q23" s="18">
        <f t="shared" si="15"/>
        <v>0</v>
      </c>
      <c r="R23" s="18"/>
      <c r="S23" s="26" t="str">
        <f>IF(AND(OR(T22=0,T22=""),M23=0),IF(M24=0,"",'Drilling Spec'!$C$30),O23)</f>
        <v/>
      </c>
      <c r="U23" s="15">
        <f>E23*'Drilling Spec'!$C$22 + L23*'Drilling Spec'!$C$23</f>
        <v>0.32065040650406507</v>
      </c>
      <c r="V23" s="15">
        <f t="shared" si="16"/>
        <v>1.4429268292682931</v>
      </c>
      <c r="W23" s="15">
        <f t="shared" si="6"/>
        <v>4.5570731707317087</v>
      </c>
      <c r="X23" s="10"/>
      <c r="Y23" s="30">
        <f>IF(W23&lt;U24,'Drilling Spec'!$C$35,0)</f>
        <v>0</v>
      </c>
      <c r="AA23" s="4">
        <f t="shared" si="19"/>
        <v>10</v>
      </c>
      <c r="AB23" s="10"/>
      <c r="AC23" s="30">
        <f>IF('04-07-25-Scen6-Good,16hr'!K24&gt;'04-07-25-Scen6-Good,16hr'!AA23,'Drilling Spec'!$C$36,)</f>
        <v>0</v>
      </c>
      <c r="AE23" s="18">
        <f>(I23-'Drilling Spec'!$C$26)/'Drilling Spec'!$C$38</f>
        <v>13.902406094312278</v>
      </c>
      <c r="AF23" s="18">
        <f t="shared" si="7"/>
        <v>2.9384643810012623</v>
      </c>
      <c r="AG23" s="34">
        <f t="shared" si="8"/>
        <v>13.902406094312278</v>
      </c>
      <c r="AH23" s="10"/>
      <c r="AI23" s="26">
        <f>IF(C23="Camp Closed",AG23,IF(AG23&lt;'Drilling Spec'!$C$39,,'Drilling Spec'!$C$39))</f>
        <v>0</v>
      </c>
      <c r="AL23" s="16">
        <f t="shared" si="9"/>
        <v>-153.41443656587367</v>
      </c>
      <c r="AM23" s="16" t="e">
        <f t="shared" si="10"/>
        <v>#N/A</v>
      </c>
      <c r="AN23">
        <f>-'Drilling Spec'!$C$29</f>
        <v>-720</v>
      </c>
      <c r="AO23">
        <f>-'Drilling Spec'!$C$27</f>
        <v>-624</v>
      </c>
      <c r="AP23">
        <f>-'Drilling Spec'!$C$28</f>
        <v>-688</v>
      </c>
      <c r="AQ23" t="e">
        <f t="shared" si="11"/>
        <v>#N/A</v>
      </c>
      <c r="AR23" t="e">
        <f>IF(X23=0,NA(),-'Drilling Spec'!$C$29*0.1)</f>
        <v>#N/A</v>
      </c>
      <c r="AS23" t="e">
        <f>IF(Y23=0,NA(),-'Drilling Spec'!$C$29*0.1)</f>
        <v>#N/A</v>
      </c>
      <c r="AT23" t="e">
        <f>IF(AB23=0,NA(),-'Drilling Spec'!$C$29*0.2)</f>
        <v>#N/A</v>
      </c>
      <c r="AU23" t="e">
        <f>IF(AC23=0,NA(),-'Drilling Spec'!$C$29*0.2)</f>
        <v>#N/A</v>
      </c>
      <c r="AV23" t="e">
        <f>IF(AH23=0,NA(),-'Drilling Spec'!$C$29*0.3)</f>
        <v>#N/A</v>
      </c>
      <c r="AW23" t="e">
        <f>IF(AI23=0,NA(),-'Drilling Spec'!$C$29*0.3)</f>
        <v>#N/A</v>
      </c>
      <c r="AX23" s="29">
        <f t="shared" si="12"/>
        <v>4.5570731707317087</v>
      </c>
      <c r="AY23" s="29">
        <f t="shared" si="13"/>
        <v>5.1057042289417556</v>
      </c>
      <c r="AZ23" s="29">
        <f t="shared" si="17"/>
        <v>13.902406094312278</v>
      </c>
      <c r="BS23" s="35"/>
      <c r="BU23" s="40"/>
      <c r="BV23" s="40"/>
      <c r="BW23" s="40"/>
      <c r="BX23" s="40"/>
      <c r="BY23" s="40"/>
      <c r="BZ23" s="40"/>
      <c r="CA23" s="40"/>
    </row>
    <row r="24" spans="1:79" x14ac:dyDescent="0.35">
      <c r="A24" s="28">
        <f t="shared" si="18"/>
        <v>45994</v>
      </c>
      <c r="B24" t="str">
        <f t="shared" si="0"/>
        <v>Wed</v>
      </c>
      <c r="C24" s="10" t="s">
        <v>9</v>
      </c>
      <c r="D24" s="10">
        <v>16</v>
      </c>
      <c r="E24" s="4">
        <f t="shared" si="1"/>
        <v>16</v>
      </c>
      <c r="F24" s="4">
        <f t="shared" si="2"/>
        <v>88</v>
      </c>
      <c r="G24" s="4">
        <f t="shared" si="3"/>
        <v>960</v>
      </c>
      <c r="H24" s="15">
        <f>(SQRT(4*I23*I23*V*V + 'Drilling Spec'!$C$42*I23 + W*('Drilling Spec'!$C$43 + 2*l*V*(s*W + 2*V*G24/(1+e)) + 'Drilling Spec'!$C$44)) - 'Drilling Spec'!$C$45)/(2*V)</f>
        <v>170.60075568811448</v>
      </c>
      <c r="I24" s="23">
        <f>IF(AND(OR(I23=0,I23=""),F24=0),IF(F25=0,"",'Drilling Spec'!$C$26),H24)</f>
        <v>170.60075568811448</v>
      </c>
      <c r="J24" s="16">
        <f>MAX(0,I24-'Drilling Spec'!$C$30)</f>
        <v>90.600755688114475</v>
      </c>
      <c r="K24" s="18">
        <f>IFERROR(J24/'Drilling Spec'!$C$31,0)</f>
        <v>6.0400503792076314</v>
      </c>
      <c r="L24" s="21">
        <f t="shared" si="4"/>
        <v>0</v>
      </c>
      <c r="M24" s="4">
        <f t="shared" si="14"/>
        <v>0</v>
      </c>
      <c r="N24" s="21">
        <f t="shared" si="5"/>
        <v>0</v>
      </c>
      <c r="O24" s="18">
        <f>(SQRT(4*O23*O23*vB*vB + 'Drilling Spec'!$C$48*O23 + WB*('Drilling Spec'!$C$49 + 2*lB*vB*(sB*WB + 2*vB*N24/(1+eB)) + 'Drilling Spec'!$C$50)) - 'Drilling Spec'!$C$51)/(2*vB)</f>
        <v>0</v>
      </c>
      <c r="P24" s="18">
        <f>IFERROR(((S24-'Drilling Spec'!$C$30)/'Drilling Spec'!$C$31)*'Drilling Spec'!$C$32,0)</f>
        <v>0</v>
      </c>
      <c r="Q24" s="18">
        <f t="shared" si="15"/>
        <v>0</v>
      </c>
      <c r="R24" s="18"/>
      <c r="S24" s="26" t="str">
        <f>IF(AND(OR(T23=0,T23=""),M24=0),IF(M25=0,"",'Drilling Spec'!$C$30),O24)</f>
        <v/>
      </c>
      <c r="U24" s="15">
        <f>E24*'Drilling Spec'!$C$22 + L24*'Drilling Spec'!$C$23</f>
        <v>0.32065040650406507</v>
      </c>
      <c r="V24" s="15">
        <f t="shared" si="16"/>
        <v>1.7635772357723583</v>
      </c>
      <c r="W24" s="15">
        <f t="shared" si="6"/>
        <v>4.236422764227644</v>
      </c>
      <c r="X24" s="10"/>
      <c r="Y24" s="30">
        <f>IF(W24&lt;U25,'Drilling Spec'!$C$35,0)</f>
        <v>0</v>
      </c>
      <c r="AA24" s="4">
        <f t="shared" si="19"/>
        <v>10</v>
      </c>
      <c r="AB24" s="10"/>
      <c r="AC24" s="30">
        <f>IF('04-07-25-Scen6-Good,16hr'!K25&gt;'04-07-25-Scen6-Good,16hr'!AA24,'Drilling Spec'!$C$36,)</f>
        <v>0</v>
      </c>
      <c r="AE24" s="18">
        <f>(I24-'Drilling Spec'!$C$26)/'Drilling Spec'!$C$38</f>
        <v>16.766792614685745</v>
      </c>
      <c r="AF24" s="18">
        <f t="shared" si="7"/>
        <v>2.8643865203734666</v>
      </c>
      <c r="AG24" s="34">
        <f t="shared" si="8"/>
        <v>16.766792614685745</v>
      </c>
      <c r="AH24" s="10"/>
      <c r="AI24" s="26">
        <f>IF(C24="Camp Closed",AG24,IF(AG24&lt;'Drilling Spec'!$C$39,,'Drilling Spec'!$C$39))</f>
        <v>0</v>
      </c>
      <c r="AL24" s="16">
        <f t="shared" si="9"/>
        <v>-170.60075568811448</v>
      </c>
      <c r="AM24" s="16" t="e">
        <f t="shared" si="10"/>
        <v>#N/A</v>
      </c>
      <c r="AN24">
        <f>-'Drilling Spec'!$C$29</f>
        <v>-720</v>
      </c>
      <c r="AO24">
        <f>-'Drilling Spec'!$C$27</f>
        <v>-624</v>
      </c>
      <c r="AP24">
        <f>-'Drilling Spec'!$C$28</f>
        <v>-688</v>
      </c>
      <c r="AQ24" t="e">
        <f t="shared" si="11"/>
        <v>#N/A</v>
      </c>
      <c r="AR24" t="e">
        <f>IF(X24=0,NA(),-'Drilling Spec'!$C$29*0.1)</f>
        <v>#N/A</v>
      </c>
      <c r="AS24" t="e">
        <f>IF(Y24=0,NA(),-'Drilling Spec'!$C$29*0.1)</f>
        <v>#N/A</v>
      </c>
      <c r="AT24" t="e">
        <f>IF(AB24=0,NA(),-'Drilling Spec'!$C$29*0.2)</f>
        <v>#N/A</v>
      </c>
      <c r="AU24" t="e">
        <f>IF(AC24=0,NA(),-'Drilling Spec'!$C$29*0.2)</f>
        <v>#N/A</v>
      </c>
      <c r="AV24" t="e">
        <f>IF(AH24=0,NA(),-'Drilling Spec'!$C$29*0.3)</f>
        <v>#N/A</v>
      </c>
      <c r="AW24" t="e">
        <f>IF(AI24=0,NA(),-'Drilling Spec'!$C$29*0.3)</f>
        <v>#N/A</v>
      </c>
      <c r="AX24" s="29">
        <f t="shared" si="12"/>
        <v>4.236422764227644</v>
      </c>
      <c r="AY24" s="29">
        <f t="shared" si="13"/>
        <v>3.9599496207923686</v>
      </c>
      <c r="AZ24" s="29">
        <f t="shared" si="17"/>
        <v>16.766792614685745</v>
      </c>
      <c r="BS24" s="35"/>
      <c r="BU24" s="38" t="s">
        <v>190</v>
      </c>
      <c r="BV24" s="38"/>
      <c r="BW24" s="38"/>
      <c r="BX24" s="38"/>
      <c r="BY24" s="38"/>
      <c r="BZ24" s="38"/>
      <c r="CA24" s="38"/>
    </row>
    <row r="25" spans="1:79" x14ac:dyDescent="0.35">
      <c r="A25" s="28">
        <f t="shared" si="18"/>
        <v>45995</v>
      </c>
      <c r="B25" t="str">
        <f t="shared" si="0"/>
        <v>Thu</v>
      </c>
      <c r="C25" s="10" t="s">
        <v>9</v>
      </c>
      <c r="D25" s="10">
        <v>16</v>
      </c>
      <c r="E25" s="4">
        <f t="shared" si="1"/>
        <v>16</v>
      </c>
      <c r="F25" s="4">
        <f t="shared" si="2"/>
        <v>104</v>
      </c>
      <c r="G25" s="4">
        <f t="shared" si="3"/>
        <v>960</v>
      </c>
      <c r="H25" s="15">
        <f>(SQRT(4*I24*I24*V*V + 'Drilling Spec'!$C$42*I24 + W*('Drilling Spec'!$C$43 + 2*l*V*(s*W + 2*V*G25/(1+e)) + 'Drilling Spec'!$C$44)) - 'Drilling Spec'!$C$45)/(2*V)</f>
        <v>187.37461805949542</v>
      </c>
      <c r="I25" s="23">
        <f>IF(AND(OR(I24=0,I24=""),F25=0),IF(F26=0,"",'Drilling Spec'!$C$26),H25)</f>
        <v>187.37461805949542</v>
      </c>
      <c r="J25" s="16">
        <f>MAX(0,I25-'Drilling Spec'!$C$30)</f>
        <v>107.37461805949542</v>
      </c>
      <c r="K25" s="18">
        <f>IFERROR(J25/'Drilling Spec'!$C$31,0)</f>
        <v>7.1583078706330276</v>
      </c>
      <c r="L25" s="21">
        <f t="shared" si="4"/>
        <v>0</v>
      </c>
      <c r="M25" s="4">
        <f t="shared" si="14"/>
        <v>0</v>
      </c>
      <c r="N25" s="21">
        <f t="shared" si="5"/>
        <v>0</v>
      </c>
      <c r="O25" s="18">
        <f>(SQRT(4*O24*O24*vB*vB + 'Drilling Spec'!$C$48*O24 + WB*('Drilling Spec'!$C$49 + 2*lB*vB*(sB*WB + 2*vB*N25/(1+eB)) + 'Drilling Spec'!$C$50)) - 'Drilling Spec'!$C$51)/(2*vB)</f>
        <v>0</v>
      </c>
      <c r="P25" s="18">
        <f>IFERROR(((S25-'Drilling Spec'!$C$30)/'Drilling Spec'!$C$31)*'Drilling Spec'!$C$32,0)</f>
        <v>0</v>
      </c>
      <c r="Q25" s="18">
        <f t="shared" si="15"/>
        <v>0</v>
      </c>
      <c r="R25" s="18"/>
      <c r="S25" s="26" t="str">
        <f>IF(AND(OR(T24=0,T24=""),M25=0),IF(M26=0,"",'Drilling Spec'!$C$30),O25)</f>
        <v/>
      </c>
      <c r="U25" s="15">
        <f>E25*'Drilling Spec'!$C$22 + L25*'Drilling Spec'!$C$23</f>
        <v>0.32065040650406507</v>
      </c>
      <c r="V25" s="15">
        <f t="shared" si="16"/>
        <v>2.0842276422764234</v>
      </c>
      <c r="W25" s="15">
        <f t="shared" si="6"/>
        <v>3.9157723577235788</v>
      </c>
      <c r="X25" s="10"/>
      <c r="Y25" s="30">
        <f>IF(W25&lt;U26,'Drilling Spec'!$C$35,0)</f>
        <v>0</v>
      </c>
      <c r="AA25" s="4">
        <f t="shared" si="19"/>
        <v>10</v>
      </c>
      <c r="AB25" s="10"/>
      <c r="AC25" s="30">
        <f>IF('04-07-25-Scen6-Good,16hr'!K26&gt;'04-07-25-Scen6-Good,16hr'!AA25,'Drilling Spec'!$C$36,)</f>
        <v>0</v>
      </c>
      <c r="AE25" s="18">
        <f>(I25-'Drilling Spec'!$C$26)/'Drilling Spec'!$C$38</f>
        <v>19.562436343249235</v>
      </c>
      <c r="AF25" s="18">
        <f t="shared" si="7"/>
        <v>2.7956437285634905</v>
      </c>
      <c r="AG25" s="34">
        <f t="shared" si="8"/>
        <v>19.562436343249235</v>
      </c>
      <c r="AH25" s="10"/>
      <c r="AI25" s="26">
        <f>IF(C25="Camp Closed",AG25,IF(AG25&lt;'Drilling Spec'!$C$39,,'Drilling Spec'!$C$39))</f>
        <v>0</v>
      </c>
      <c r="AL25" s="16">
        <f t="shared" si="9"/>
        <v>-187.37461805949542</v>
      </c>
      <c r="AM25" s="16" t="e">
        <f t="shared" si="10"/>
        <v>#N/A</v>
      </c>
      <c r="AN25">
        <f>-'Drilling Spec'!$C$29</f>
        <v>-720</v>
      </c>
      <c r="AO25">
        <f>-'Drilling Spec'!$C$27</f>
        <v>-624</v>
      </c>
      <c r="AP25">
        <f>-'Drilling Spec'!$C$28</f>
        <v>-688</v>
      </c>
      <c r="AQ25" t="e">
        <f t="shared" si="11"/>
        <v>#N/A</v>
      </c>
      <c r="AR25" t="e">
        <f>IF(X25=0,NA(),-'Drilling Spec'!$C$29*0.1)</f>
        <v>#N/A</v>
      </c>
      <c r="AS25" t="e">
        <f>IF(Y25=0,NA(),-'Drilling Spec'!$C$29*0.1)</f>
        <v>#N/A</v>
      </c>
      <c r="AT25" t="e">
        <f>IF(AB25=0,NA(),-'Drilling Spec'!$C$29*0.2)</f>
        <v>#N/A</v>
      </c>
      <c r="AU25" t="e">
        <f>IF(AC25=0,NA(),-'Drilling Spec'!$C$29*0.2)</f>
        <v>#N/A</v>
      </c>
      <c r="AV25" t="e">
        <f>IF(AH25=0,NA(),-'Drilling Spec'!$C$29*0.3)</f>
        <v>#N/A</v>
      </c>
      <c r="AW25" t="e">
        <f>IF(AI25=0,NA(),-'Drilling Spec'!$C$29*0.3)</f>
        <v>#N/A</v>
      </c>
      <c r="AX25" s="29">
        <f t="shared" si="12"/>
        <v>3.9157723577235788</v>
      </c>
      <c r="AY25" s="29">
        <f t="shared" si="13"/>
        <v>2.8416921293669724</v>
      </c>
      <c r="AZ25" s="29">
        <f t="shared" si="17"/>
        <v>19.562436343249235</v>
      </c>
      <c r="BS25" s="35"/>
      <c r="BU25" s="38"/>
      <c r="BV25" s="38"/>
      <c r="BW25" s="38"/>
      <c r="BX25" s="38"/>
      <c r="BY25" s="38"/>
      <c r="BZ25" s="38"/>
      <c r="CA25" s="38"/>
    </row>
    <row r="26" spans="1:79" x14ac:dyDescent="0.35">
      <c r="A26" s="28">
        <f t="shared" si="18"/>
        <v>45996</v>
      </c>
      <c r="B26" t="str">
        <f t="shared" si="0"/>
        <v>Fri</v>
      </c>
      <c r="C26" s="10" t="s">
        <v>9</v>
      </c>
      <c r="D26" s="10">
        <v>16</v>
      </c>
      <c r="E26" s="4">
        <f t="shared" si="1"/>
        <v>16</v>
      </c>
      <c r="F26" s="4">
        <f t="shared" si="2"/>
        <v>120</v>
      </c>
      <c r="G26" s="4">
        <f t="shared" si="3"/>
        <v>960</v>
      </c>
      <c r="H26" s="15">
        <f>(SQRT(4*I25*I25*V*V + 'Drilling Spec'!$C$42*I25 + W*('Drilling Spec'!$C$43 + 2*l*V*(s*W + 2*V*G26/(1+e)) + 'Drilling Spec'!$C$44)) - 'Drilling Spec'!$C$45)/(2*V)</f>
        <v>203.76436685764563</v>
      </c>
      <c r="I26" s="23">
        <f>IF(AND(OR(I25=0,I25=""),F26=0),IF(F27=0,"",'Drilling Spec'!$C$26),H26)</f>
        <v>203.76436685764563</v>
      </c>
      <c r="J26" s="16">
        <f>MAX(0,I26-'Drilling Spec'!$C$30)</f>
        <v>123.76436685764563</v>
      </c>
      <c r="K26" s="18">
        <f>IFERROR(J26/'Drilling Spec'!$C$31,0)</f>
        <v>8.2509577905097089</v>
      </c>
      <c r="L26" s="21">
        <f t="shared" si="4"/>
        <v>0</v>
      </c>
      <c r="M26" s="4">
        <f t="shared" si="14"/>
        <v>0</v>
      </c>
      <c r="N26" s="21">
        <f t="shared" si="5"/>
        <v>0</v>
      </c>
      <c r="O26" s="18">
        <f>(SQRT(4*O25*O25*vB*vB + 'Drilling Spec'!$C$48*O25 + WB*('Drilling Spec'!$C$49 + 2*lB*vB*(sB*WB + 2*vB*N26/(1+eB)) + 'Drilling Spec'!$C$50)) - 'Drilling Spec'!$C$51)/(2*vB)</f>
        <v>0</v>
      </c>
      <c r="P26" s="18">
        <f>IFERROR(((S26-'Drilling Spec'!$C$30)/'Drilling Spec'!$C$31)*'Drilling Spec'!$C$32,0)</f>
        <v>0</v>
      </c>
      <c r="Q26" s="18">
        <f t="shared" si="15"/>
        <v>0</v>
      </c>
      <c r="R26" s="18"/>
      <c r="S26" s="26" t="str">
        <f>IF(AND(OR(T25=0,T25=""),M26=0),IF(M27=0,"",'Drilling Spec'!$C$30),O26)</f>
        <v/>
      </c>
      <c r="U26" s="15">
        <f>E26*'Drilling Spec'!$C$22 + L26*'Drilling Spec'!$C$23</f>
        <v>0.32065040650406507</v>
      </c>
      <c r="V26" s="15">
        <f t="shared" si="16"/>
        <v>2.4048780487804886</v>
      </c>
      <c r="W26" s="15">
        <f t="shared" si="6"/>
        <v>3.5951219512195136</v>
      </c>
      <c r="X26" s="10"/>
      <c r="Y26" s="30">
        <f>IF(W26&lt;U27,'Drilling Spec'!$C$35,0)</f>
        <v>0</v>
      </c>
      <c r="AA26" s="4">
        <f t="shared" si="19"/>
        <v>10</v>
      </c>
      <c r="AB26" s="10"/>
      <c r="AC26" s="30">
        <f>IF('04-07-25-Scen6-Good,16hr'!K27&gt;'04-07-25-Scen6-Good,16hr'!AA26,'Drilling Spec'!$C$36,)</f>
        <v>0</v>
      </c>
      <c r="AE26" s="18">
        <f>(I26-'Drilling Spec'!$C$26)/'Drilling Spec'!$C$38</f>
        <v>22.294061142940937</v>
      </c>
      <c r="AF26" s="18">
        <f t="shared" si="7"/>
        <v>2.7316247996917014</v>
      </c>
      <c r="AG26" s="34">
        <f t="shared" si="8"/>
        <v>22.294061142940937</v>
      </c>
      <c r="AH26" s="10"/>
      <c r="AI26" s="26">
        <f>IF(C26="Camp Closed",AG26,IF(AG26&lt;'Drilling Spec'!$C$39,,'Drilling Spec'!$C$39))</f>
        <v>20</v>
      </c>
      <c r="AL26" s="16">
        <f t="shared" si="9"/>
        <v>-203.76436685764563</v>
      </c>
      <c r="AM26" s="16" t="e">
        <f t="shared" si="10"/>
        <v>#N/A</v>
      </c>
      <c r="AN26">
        <f>-'Drilling Spec'!$C$29</f>
        <v>-720</v>
      </c>
      <c r="AO26">
        <f>-'Drilling Spec'!$C$27</f>
        <v>-624</v>
      </c>
      <c r="AP26">
        <f>-'Drilling Spec'!$C$28</f>
        <v>-688</v>
      </c>
      <c r="AQ26" t="e">
        <f t="shared" si="11"/>
        <v>#N/A</v>
      </c>
      <c r="AR26" t="e">
        <f>IF(X26=0,NA(),-'Drilling Spec'!$C$29*0.1)</f>
        <v>#N/A</v>
      </c>
      <c r="AS26" t="e">
        <f>IF(Y26=0,NA(),-'Drilling Spec'!$C$29*0.1)</f>
        <v>#N/A</v>
      </c>
      <c r="AT26" t="e">
        <f>IF(AB26=0,NA(),-'Drilling Spec'!$C$29*0.2)</f>
        <v>#N/A</v>
      </c>
      <c r="AU26" t="e">
        <f>IF(AC26=0,NA(),-'Drilling Spec'!$C$29*0.2)</f>
        <v>#N/A</v>
      </c>
      <c r="AV26" t="e">
        <f>IF(AH26=0,NA(),-'Drilling Spec'!$C$29*0.3)</f>
        <v>#N/A</v>
      </c>
      <c r="AW26">
        <f>IF(AI26=0,NA(),-'Drilling Spec'!$C$29*0.3)</f>
        <v>-216</v>
      </c>
      <c r="AX26" s="29">
        <f t="shared" si="12"/>
        <v>3.5951219512195136</v>
      </c>
      <c r="AY26" s="29">
        <f t="shared" si="13"/>
        <v>1.7490422094902911</v>
      </c>
      <c r="AZ26" s="29">
        <f t="shared" si="17"/>
        <v>22.294061142940937</v>
      </c>
      <c r="BS26" s="35"/>
      <c r="BT26" s="39" t="s">
        <v>188</v>
      </c>
      <c r="BU26" s="39"/>
      <c r="BV26" s="39"/>
      <c r="BW26" s="39"/>
      <c r="BX26" s="39"/>
      <c r="BY26" s="39"/>
      <c r="BZ26" s="39"/>
      <c r="CA26" s="39"/>
    </row>
    <row r="27" spans="1:79" x14ac:dyDescent="0.35">
      <c r="A27" s="28">
        <f t="shared" si="18"/>
        <v>45997</v>
      </c>
      <c r="B27" t="str">
        <f t="shared" si="0"/>
        <v>Sat</v>
      </c>
      <c r="C27" s="10" t="s">
        <v>9</v>
      </c>
      <c r="D27" s="10">
        <v>16</v>
      </c>
      <c r="E27" s="4">
        <f t="shared" si="1"/>
        <v>16</v>
      </c>
      <c r="F27" s="4">
        <f t="shared" si="2"/>
        <v>136</v>
      </c>
      <c r="G27" s="4">
        <f t="shared" si="3"/>
        <v>960</v>
      </c>
      <c r="H27" s="15">
        <f>(SQRT(4*I26*I26*V*V + 'Drilling Spec'!$C$42*I26 + W*('Drilling Spec'!$C$43 + 2*l*V*(s*W + 2*V*G27/(1+e)) + 'Drilling Spec'!$C$44)) - 'Drilling Spec'!$C$45)/(2*V)</f>
        <v>219.79524057238655</v>
      </c>
      <c r="I27" s="23">
        <f>IF(AND(OR(I26=0,I26=""),F27=0),IF(F28=0,"",'Drilling Spec'!$C$26),H27)</f>
        <v>219.79524057238655</v>
      </c>
      <c r="J27" s="16">
        <f>MAX(0,I27-'Drilling Spec'!$C$30)</f>
        <v>139.79524057238655</v>
      </c>
      <c r="K27" s="18">
        <f>IFERROR(J27/'Drilling Spec'!$C$31,0)</f>
        <v>9.3196827048257695</v>
      </c>
      <c r="L27" s="21">
        <f t="shared" si="4"/>
        <v>0</v>
      </c>
      <c r="M27" s="4">
        <f t="shared" si="14"/>
        <v>0</v>
      </c>
      <c r="N27" s="21">
        <f t="shared" si="5"/>
        <v>0</v>
      </c>
      <c r="O27" s="18">
        <f>(SQRT(4*O26*O26*vB*vB + 'Drilling Spec'!$C$48*O26 + WB*('Drilling Spec'!$C$49 + 2*lB*vB*(sB*WB + 2*vB*N27/(1+eB)) + 'Drilling Spec'!$C$50)) - 'Drilling Spec'!$C$51)/(2*vB)</f>
        <v>0</v>
      </c>
      <c r="P27" s="18">
        <f>IFERROR(((S27-'Drilling Spec'!$C$30)/'Drilling Spec'!$C$31)*'Drilling Spec'!$C$32,0)</f>
        <v>0</v>
      </c>
      <c r="Q27" s="18">
        <f t="shared" si="15"/>
        <v>0</v>
      </c>
      <c r="R27" s="18"/>
      <c r="S27" s="26" t="str">
        <f>IF(AND(OR(T26=0,T26=""),M27=0),IF(M28=0,"",'Drilling Spec'!$C$30),O27)</f>
        <v/>
      </c>
      <c r="U27" s="15">
        <f>E27*'Drilling Spec'!$C$22 + L27*'Drilling Spec'!$C$23</f>
        <v>0.32065040650406507</v>
      </c>
      <c r="V27" s="15">
        <f t="shared" si="16"/>
        <v>2.7255284552845538</v>
      </c>
      <c r="W27" s="15">
        <f t="shared" si="6"/>
        <v>3.2744715447154484</v>
      </c>
      <c r="X27" s="10"/>
      <c r="Y27" s="30">
        <f>IF(W27&lt;U28,'Drilling Spec'!$C$35,0)</f>
        <v>0</v>
      </c>
      <c r="AA27" s="4">
        <f t="shared" si="19"/>
        <v>10</v>
      </c>
      <c r="AB27" s="10"/>
      <c r="AC27" s="30">
        <f>IF('04-07-25-Scen6-Good,16hr'!K28&gt;'04-07-25-Scen6-Good,16hr'!AA27,'Drilling Spec'!$C$36,)</f>
        <v>0</v>
      </c>
      <c r="AE27" s="18">
        <f>(I27-'Drilling Spec'!$C$26)/'Drilling Spec'!$C$38</f>
        <v>24.96587342873109</v>
      </c>
      <c r="AF27" s="18">
        <f t="shared" si="7"/>
        <v>2.6718122857901534</v>
      </c>
      <c r="AG27" s="34">
        <f t="shared" si="8"/>
        <v>4.9658734287310899</v>
      </c>
      <c r="AH27" s="10"/>
      <c r="AI27" s="26">
        <f>IF(C27="Camp Closed",AG27,IF(AG27&lt;'Drilling Spec'!$C$39,,'Drilling Spec'!$C$39))</f>
        <v>0</v>
      </c>
      <c r="AL27" s="16">
        <f t="shared" si="9"/>
        <v>-219.79524057238655</v>
      </c>
      <c r="AM27" s="16" t="e">
        <f t="shared" si="10"/>
        <v>#N/A</v>
      </c>
      <c r="AN27">
        <f>-'Drilling Spec'!$C$29</f>
        <v>-720</v>
      </c>
      <c r="AO27">
        <f>-'Drilling Spec'!$C$27</f>
        <v>-624</v>
      </c>
      <c r="AP27">
        <f>-'Drilling Spec'!$C$28</f>
        <v>-688</v>
      </c>
      <c r="AQ27" t="e">
        <f t="shared" si="11"/>
        <v>#N/A</v>
      </c>
      <c r="AR27" t="e">
        <f>IF(X27=0,NA(),-'Drilling Spec'!$C$29*0.1)</f>
        <v>#N/A</v>
      </c>
      <c r="AS27" t="e">
        <f>IF(Y27=0,NA(),-'Drilling Spec'!$C$29*0.1)</f>
        <v>#N/A</v>
      </c>
      <c r="AT27" t="e">
        <f>IF(AB27=0,NA(),-'Drilling Spec'!$C$29*0.2)</f>
        <v>#N/A</v>
      </c>
      <c r="AU27" t="e">
        <f>IF(AC27=0,NA(),-'Drilling Spec'!$C$29*0.2)</f>
        <v>#N/A</v>
      </c>
      <c r="AV27" t="e">
        <f>IF(AH27=0,NA(),-'Drilling Spec'!$C$29*0.3)</f>
        <v>#N/A</v>
      </c>
      <c r="AW27" t="e">
        <f>IF(AI27=0,NA(),-'Drilling Spec'!$C$29*0.3)</f>
        <v>#N/A</v>
      </c>
      <c r="AX27" s="29">
        <f t="shared" si="12"/>
        <v>3.2744715447154484</v>
      </c>
      <c r="AY27" s="29">
        <f t="shared" si="13"/>
        <v>0.68031729517423045</v>
      </c>
      <c r="AZ27" s="29">
        <f t="shared" si="17"/>
        <v>4.9658734287310899</v>
      </c>
      <c r="BS27" s="35"/>
      <c r="BT27" s="39"/>
      <c r="BU27" s="39"/>
      <c r="BV27" s="39"/>
      <c r="BW27" s="39"/>
      <c r="BX27" s="39"/>
      <c r="BY27" s="39"/>
      <c r="BZ27" s="39"/>
      <c r="CA27" s="39"/>
    </row>
    <row r="28" spans="1:79" x14ac:dyDescent="0.35">
      <c r="A28" s="28">
        <f t="shared" si="18"/>
        <v>45998</v>
      </c>
      <c r="B28" t="str">
        <f t="shared" si="0"/>
        <v>Sun</v>
      </c>
      <c r="C28" s="10" t="s">
        <v>7</v>
      </c>
      <c r="D28" s="10">
        <v>0</v>
      </c>
      <c r="E28" s="4">
        <f t="shared" si="1"/>
        <v>0</v>
      </c>
      <c r="F28" s="4">
        <f t="shared" si="2"/>
        <v>136</v>
      </c>
      <c r="G28" s="4">
        <f t="shared" si="3"/>
        <v>0</v>
      </c>
      <c r="H28" s="15">
        <f>(SQRT(4*I27*I27*V*V + 'Drilling Spec'!$C$42*I27 + W*('Drilling Spec'!$C$43 + 2*l*V*(s*W + 2*V*G28/(1+e)) + 'Drilling Spec'!$C$44)) - 'Drilling Spec'!$C$45)/(2*V)</f>
        <v>219.79524057238655</v>
      </c>
      <c r="I28" s="23">
        <f>IF(AND(OR(I27=0,I27=""),F28=0),IF(F29=0,"",'Drilling Spec'!$C$26),H28)</f>
        <v>219.79524057238655</v>
      </c>
      <c r="J28" s="16">
        <f>MAX(0,I28-'Drilling Spec'!$C$30)</f>
        <v>139.79524057238655</v>
      </c>
      <c r="K28" s="18">
        <f>IFERROR(J28/'Drilling Spec'!$C$31,0)</f>
        <v>9.3196827048257695</v>
      </c>
      <c r="L28" s="21">
        <f t="shared" si="4"/>
        <v>0</v>
      </c>
      <c r="M28" s="4">
        <f t="shared" si="14"/>
        <v>0</v>
      </c>
      <c r="N28" s="21">
        <f t="shared" si="5"/>
        <v>0</v>
      </c>
      <c r="O28" s="18">
        <f>(SQRT(4*O27*O27*vB*vB + 'Drilling Spec'!$C$48*O27 + WB*('Drilling Spec'!$C$49 + 2*lB*vB*(sB*WB + 2*vB*N28/(1+eB)) + 'Drilling Spec'!$C$50)) - 'Drilling Spec'!$C$51)/(2*vB)</f>
        <v>0</v>
      </c>
      <c r="P28" s="18">
        <f>IFERROR(((S28-'Drilling Spec'!$C$30)/'Drilling Spec'!$C$31)*'Drilling Spec'!$C$32,0)</f>
        <v>0</v>
      </c>
      <c r="Q28" s="18">
        <f t="shared" si="15"/>
        <v>0</v>
      </c>
      <c r="R28" s="18"/>
      <c r="S28" s="26" t="str">
        <f>IF(AND(OR(T27=0,T27=""),M28=0),IF(M29=0,"",'Drilling Spec'!$C$30),O28)</f>
        <v/>
      </c>
      <c r="U28" s="15">
        <f>E28*'Drilling Spec'!$C$22 + L28*'Drilling Spec'!$C$23</f>
        <v>0</v>
      </c>
      <c r="V28" s="15">
        <f t="shared" si="16"/>
        <v>2.7255284552845538</v>
      </c>
      <c r="W28" s="15">
        <f t="shared" si="6"/>
        <v>3.2744715447154484</v>
      </c>
      <c r="X28" s="10"/>
      <c r="Y28" s="30">
        <f>IF(W28&lt;U29,'Drilling Spec'!$C$35,0)</f>
        <v>0</v>
      </c>
      <c r="AA28" s="4">
        <f t="shared" si="19"/>
        <v>10</v>
      </c>
      <c r="AB28" s="10"/>
      <c r="AC28" s="30">
        <f>IF('04-07-25-Scen6-Good,16hr'!K29&gt;'04-07-25-Scen6-Good,16hr'!AA28,'Drilling Spec'!$C$36,)</f>
        <v>6</v>
      </c>
      <c r="AE28" s="18">
        <f>(I28-'Drilling Spec'!$C$26)/'Drilling Spec'!$C$38</f>
        <v>24.96587342873109</v>
      </c>
      <c r="AF28" s="18">
        <f t="shared" si="7"/>
        <v>0</v>
      </c>
      <c r="AG28" s="34">
        <f t="shared" si="8"/>
        <v>4.9658734287310899</v>
      </c>
      <c r="AH28" s="10"/>
      <c r="AI28" s="26">
        <f>IF(C28="Camp Closed",AG28,IF(AG28&lt;'Drilling Spec'!$C$39,,'Drilling Spec'!$C$39))</f>
        <v>0</v>
      </c>
      <c r="AL28" s="16">
        <f t="shared" si="9"/>
        <v>-219.79524057238655</v>
      </c>
      <c r="AM28" s="16" t="e">
        <f t="shared" si="10"/>
        <v>#N/A</v>
      </c>
      <c r="AN28">
        <f>-'Drilling Spec'!$C$29</f>
        <v>-720</v>
      </c>
      <c r="AO28">
        <f>-'Drilling Spec'!$C$27</f>
        <v>-624</v>
      </c>
      <c r="AP28">
        <f>-'Drilling Spec'!$C$28</f>
        <v>-688</v>
      </c>
      <c r="AQ28" t="e">
        <f t="shared" si="11"/>
        <v>#N/A</v>
      </c>
      <c r="AR28" t="e">
        <f>IF(X28=0,NA(),-'Drilling Spec'!$C$29*0.1)</f>
        <v>#N/A</v>
      </c>
      <c r="AS28" t="e">
        <f>IF(Y28=0,NA(),-'Drilling Spec'!$C$29*0.1)</f>
        <v>#N/A</v>
      </c>
      <c r="AT28" t="e">
        <f>IF(AB28=0,NA(),-'Drilling Spec'!$C$29*0.2)</f>
        <v>#N/A</v>
      </c>
      <c r="AU28">
        <f>IF(AC28=0,NA(),-'Drilling Spec'!$C$29*0.2)</f>
        <v>-144</v>
      </c>
      <c r="AV28" t="e">
        <f>IF(AH28=0,NA(),-'Drilling Spec'!$C$29*0.3)</f>
        <v>#N/A</v>
      </c>
      <c r="AW28" t="e">
        <f>IF(AI28=0,NA(),-'Drilling Spec'!$C$29*0.3)</f>
        <v>#N/A</v>
      </c>
      <c r="AX28" s="29">
        <f t="shared" si="12"/>
        <v>3.2744715447154484</v>
      </c>
      <c r="AY28" s="29">
        <f t="shared" si="13"/>
        <v>0.68031729517423045</v>
      </c>
      <c r="AZ28" s="29">
        <f t="shared" si="17"/>
        <v>4.9658734287310899</v>
      </c>
      <c r="BS28" s="35"/>
      <c r="BT28" s="39"/>
      <c r="BU28" s="39"/>
      <c r="BV28" s="39"/>
      <c r="BW28" s="39"/>
      <c r="BX28" s="39"/>
      <c r="BY28" s="39"/>
      <c r="BZ28" s="39"/>
      <c r="CA28" s="39"/>
    </row>
    <row r="29" spans="1:79" x14ac:dyDescent="0.35">
      <c r="A29" s="28">
        <f t="shared" si="18"/>
        <v>45999</v>
      </c>
      <c r="B29" t="str">
        <f t="shared" si="0"/>
        <v>Mon</v>
      </c>
      <c r="C29" s="10" t="s">
        <v>9</v>
      </c>
      <c r="D29" s="10">
        <v>16</v>
      </c>
      <c r="E29" s="4">
        <f t="shared" si="1"/>
        <v>16</v>
      </c>
      <c r="F29" s="4">
        <f t="shared" si="2"/>
        <v>152</v>
      </c>
      <c r="G29" s="4">
        <f t="shared" si="3"/>
        <v>960</v>
      </c>
      <c r="H29" s="15">
        <f>(SQRT(4*I28*I28*V*V + 'Drilling Spec'!$C$42*I28 + W*('Drilling Spec'!$C$43 + 2*l*V*(s*W + 2*V*G29/(1+e)) + 'Drilling Spec'!$C$44)) - 'Drilling Spec'!$C$45)/(2*V)</f>
        <v>235.4898292391706</v>
      </c>
      <c r="I29" s="23">
        <f>IF(AND(OR(I28=0,I28=""),F29=0),IF(F30=0,"",'Drilling Spec'!$C$26),H29)</f>
        <v>235.4898292391706</v>
      </c>
      <c r="J29" s="16">
        <f>MAX(0,I29-'Drilling Spec'!$C$30)</f>
        <v>155.4898292391706</v>
      </c>
      <c r="K29" s="18">
        <f>IFERROR(J29/'Drilling Spec'!$C$31,0)</f>
        <v>10.365988615944707</v>
      </c>
      <c r="L29" s="21">
        <f t="shared" si="4"/>
        <v>0</v>
      </c>
      <c r="M29" s="4">
        <f t="shared" si="14"/>
        <v>0</v>
      </c>
      <c r="N29" s="21">
        <f t="shared" si="5"/>
        <v>0</v>
      </c>
      <c r="O29" s="18">
        <f>(SQRT(4*O28*O28*vB*vB + 'Drilling Spec'!$C$48*O28 + WB*('Drilling Spec'!$C$49 + 2*lB*vB*(sB*WB + 2*vB*N29/(1+eB)) + 'Drilling Spec'!$C$50)) - 'Drilling Spec'!$C$51)/(2*vB)</f>
        <v>0</v>
      </c>
      <c r="P29" s="18">
        <f>IFERROR(((S29-'Drilling Spec'!$C$30)/'Drilling Spec'!$C$31)*'Drilling Spec'!$C$32,0)</f>
        <v>0</v>
      </c>
      <c r="Q29" s="18">
        <f t="shared" si="15"/>
        <v>0</v>
      </c>
      <c r="R29" s="18"/>
      <c r="S29" s="26" t="str">
        <f>IF(AND(OR(T28=0,T28=""),M29=0),IF(M30=0,"",'Drilling Spec'!$C$30),O29)</f>
        <v/>
      </c>
      <c r="U29" s="15">
        <f>E29*'Drilling Spec'!$C$22 + L29*'Drilling Spec'!$C$23</f>
        <v>0.32065040650406507</v>
      </c>
      <c r="V29" s="15">
        <f t="shared" si="16"/>
        <v>3.046178861788619</v>
      </c>
      <c r="W29" s="15">
        <f t="shared" si="6"/>
        <v>2.9538211382113833</v>
      </c>
      <c r="X29" s="10"/>
      <c r="Y29" s="30">
        <f>IF(W29&lt;U30,'Drilling Spec'!$C$35,0)</f>
        <v>0</v>
      </c>
      <c r="AA29" s="4">
        <f t="shared" si="19"/>
        <v>16</v>
      </c>
      <c r="AB29" s="10"/>
      <c r="AC29" s="30">
        <f>IF('04-07-25-Scen6-Good,16hr'!K30&gt;'04-07-25-Scen6-Good,16hr'!AA29,'Drilling Spec'!$C$36,)</f>
        <v>0</v>
      </c>
      <c r="AE29" s="18">
        <f>(I29-'Drilling Spec'!$C$26)/'Drilling Spec'!$C$38</f>
        <v>27.581638206528435</v>
      </c>
      <c r="AF29" s="18">
        <f t="shared" si="7"/>
        <v>2.6157647777973452</v>
      </c>
      <c r="AG29" s="34">
        <f t="shared" si="8"/>
        <v>7.5816382065284351</v>
      </c>
      <c r="AH29" s="10"/>
      <c r="AI29" s="26">
        <f>IF(C29="Camp Closed",AG29,IF(AG29&lt;'Drilling Spec'!$C$39,,'Drilling Spec'!$C$39))</f>
        <v>0</v>
      </c>
      <c r="AL29" s="16">
        <f t="shared" si="9"/>
        <v>-235.4898292391706</v>
      </c>
      <c r="AM29" s="16" t="e">
        <f t="shared" si="10"/>
        <v>#N/A</v>
      </c>
      <c r="AN29">
        <f>-'Drilling Spec'!$C$29</f>
        <v>-720</v>
      </c>
      <c r="AO29">
        <f>-'Drilling Spec'!$C$27</f>
        <v>-624</v>
      </c>
      <c r="AP29">
        <f>-'Drilling Spec'!$C$28</f>
        <v>-688</v>
      </c>
      <c r="AQ29" t="e">
        <f t="shared" si="11"/>
        <v>#N/A</v>
      </c>
      <c r="AR29" t="e">
        <f>IF(X29=0,NA(),-'Drilling Spec'!$C$29*0.1)</f>
        <v>#N/A</v>
      </c>
      <c r="AS29" t="e">
        <f>IF(Y29=0,NA(),-'Drilling Spec'!$C$29*0.1)</f>
        <v>#N/A</v>
      </c>
      <c r="AT29" t="e">
        <f>IF(AB29=0,NA(),-'Drilling Spec'!$C$29*0.2)</f>
        <v>#N/A</v>
      </c>
      <c r="AU29" t="e">
        <f>IF(AC29=0,NA(),-'Drilling Spec'!$C$29*0.2)</f>
        <v>#N/A</v>
      </c>
      <c r="AV29" t="e">
        <f>IF(AH29=0,NA(),-'Drilling Spec'!$C$29*0.3)</f>
        <v>#N/A</v>
      </c>
      <c r="AW29" t="e">
        <f>IF(AI29=0,NA(),-'Drilling Spec'!$C$29*0.3)</f>
        <v>#N/A</v>
      </c>
      <c r="AX29" s="29">
        <f t="shared" si="12"/>
        <v>2.9538211382113833</v>
      </c>
      <c r="AY29" s="29">
        <f t="shared" si="13"/>
        <v>5.6340113840552934</v>
      </c>
      <c r="AZ29" s="29">
        <f t="shared" si="17"/>
        <v>7.5816382065284351</v>
      </c>
      <c r="BS29" s="35"/>
      <c r="BT29" s="39"/>
      <c r="BU29" s="39"/>
      <c r="BV29" s="39"/>
      <c r="BW29" s="39"/>
      <c r="BX29" s="39"/>
      <c r="BY29" s="39"/>
      <c r="BZ29" s="39"/>
      <c r="CA29" s="39"/>
    </row>
    <row r="30" spans="1:79" x14ac:dyDescent="0.35">
      <c r="A30" s="28">
        <f t="shared" si="18"/>
        <v>46000</v>
      </c>
      <c r="B30" t="str">
        <f t="shared" si="0"/>
        <v>Tue</v>
      </c>
      <c r="C30" s="10" t="s">
        <v>9</v>
      </c>
      <c r="D30" s="10">
        <v>16</v>
      </c>
      <c r="E30" s="4">
        <f t="shared" si="1"/>
        <v>16</v>
      </c>
      <c r="F30" s="4">
        <f t="shared" si="2"/>
        <v>168</v>
      </c>
      <c r="G30" s="4">
        <f t="shared" si="3"/>
        <v>960</v>
      </c>
      <c r="H30" s="15">
        <f>(SQRT(4*I29*I29*V*V + 'Drilling Spec'!$C$42*I29 + W*('Drilling Spec'!$C$43 + 2*l*V*(s*W + 2*V*G30/(1+e)) + 'Drilling Spec'!$C$44)) - 'Drilling Spec'!$C$45)/(2*V)</f>
        <v>250.86844793033515</v>
      </c>
      <c r="I30" s="23">
        <f>IF(AND(OR(I29=0,I29=""),F30=0),IF(F31=0,"",'Drilling Spec'!$C$26),H30)</f>
        <v>250.86844793033515</v>
      </c>
      <c r="J30" s="16">
        <f>MAX(0,I30-'Drilling Spec'!$C$30)</f>
        <v>170.86844793033515</v>
      </c>
      <c r="K30" s="18">
        <f>IFERROR(J30/'Drilling Spec'!$C$31,0)</f>
        <v>11.391229862022344</v>
      </c>
      <c r="L30" s="21">
        <f t="shared" si="4"/>
        <v>0</v>
      </c>
      <c r="M30" s="4">
        <f t="shared" si="14"/>
        <v>0</v>
      </c>
      <c r="N30" s="21">
        <f t="shared" si="5"/>
        <v>0</v>
      </c>
      <c r="O30" s="18">
        <f>(SQRT(4*O29*O29*vB*vB + 'Drilling Spec'!$C$48*O29 + WB*('Drilling Spec'!$C$49 + 2*lB*vB*(sB*WB + 2*vB*N30/(1+eB)) + 'Drilling Spec'!$C$50)) - 'Drilling Spec'!$C$51)/(2*vB)</f>
        <v>0</v>
      </c>
      <c r="P30" s="18">
        <f>IFERROR(((S30-'Drilling Spec'!$C$30)/'Drilling Spec'!$C$31)*'Drilling Spec'!$C$32,0)</f>
        <v>0</v>
      </c>
      <c r="Q30" s="18">
        <f t="shared" si="15"/>
        <v>0</v>
      </c>
      <c r="R30" s="18"/>
      <c r="S30" s="26" t="str">
        <f>IF(AND(OR(T29=0,T29=""),M30=0),IF(M31=0,"",'Drilling Spec'!$C$30),O30)</f>
        <v/>
      </c>
      <c r="U30" s="15">
        <f>E30*'Drilling Spec'!$C$22 + L30*'Drilling Spec'!$C$23</f>
        <v>0.32065040650406507</v>
      </c>
      <c r="V30" s="15">
        <f t="shared" si="16"/>
        <v>3.3668292682926841</v>
      </c>
      <c r="W30" s="15">
        <f t="shared" si="6"/>
        <v>2.6331707317073181</v>
      </c>
      <c r="X30" s="10"/>
      <c r="Y30" s="30">
        <f>IF(W30&lt;U31,'Drilling Spec'!$C$35,0)</f>
        <v>0</v>
      </c>
      <c r="AA30" s="4">
        <f t="shared" si="19"/>
        <v>16</v>
      </c>
      <c r="AB30" s="10"/>
      <c r="AC30" s="30">
        <f>IF('04-07-25-Scen6-Good,16hr'!K31&gt;'04-07-25-Scen6-Good,16hr'!AA30,'Drilling Spec'!$C$36,)</f>
        <v>0</v>
      </c>
      <c r="AE30" s="18">
        <f>(I30-'Drilling Spec'!$C$26)/'Drilling Spec'!$C$38</f>
        <v>30.144741321722524</v>
      </c>
      <c r="AF30" s="18">
        <f t="shared" si="7"/>
        <v>2.5631031151940888</v>
      </c>
      <c r="AG30" s="34">
        <f t="shared" si="8"/>
        <v>10.144741321722524</v>
      </c>
      <c r="AH30" s="10"/>
      <c r="AI30" s="26">
        <f>IF(C30="Camp Closed",AG30,IF(AG30&lt;'Drilling Spec'!$C$39,,'Drilling Spec'!$C$39))</f>
        <v>0</v>
      </c>
      <c r="AL30" s="16">
        <f t="shared" si="9"/>
        <v>-250.86844793033515</v>
      </c>
      <c r="AM30" s="16" t="e">
        <f t="shared" si="10"/>
        <v>#N/A</v>
      </c>
      <c r="AN30">
        <f>-'Drilling Spec'!$C$29</f>
        <v>-720</v>
      </c>
      <c r="AO30">
        <f>-'Drilling Spec'!$C$27</f>
        <v>-624</v>
      </c>
      <c r="AP30">
        <f>-'Drilling Spec'!$C$28</f>
        <v>-688</v>
      </c>
      <c r="AQ30" t="e">
        <f t="shared" si="11"/>
        <v>#N/A</v>
      </c>
      <c r="AR30" t="e">
        <f>IF(X30=0,NA(),-'Drilling Spec'!$C$29*0.1)</f>
        <v>#N/A</v>
      </c>
      <c r="AS30" t="e">
        <f>IF(Y30=0,NA(),-'Drilling Spec'!$C$29*0.1)</f>
        <v>#N/A</v>
      </c>
      <c r="AT30" t="e">
        <f>IF(AB30=0,NA(),-'Drilling Spec'!$C$29*0.2)</f>
        <v>#N/A</v>
      </c>
      <c r="AU30" t="e">
        <f>IF(AC30=0,NA(),-'Drilling Spec'!$C$29*0.2)</f>
        <v>#N/A</v>
      </c>
      <c r="AV30" t="e">
        <f>IF(AH30=0,NA(),-'Drilling Spec'!$C$29*0.3)</f>
        <v>#N/A</v>
      </c>
      <c r="AW30" t="e">
        <f>IF(AI30=0,NA(),-'Drilling Spec'!$C$29*0.3)</f>
        <v>#N/A</v>
      </c>
      <c r="AX30" s="29">
        <f t="shared" si="12"/>
        <v>2.6331707317073181</v>
      </c>
      <c r="AY30" s="29">
        <f t="shared" si="13"/>
        <v>4.6087701379776558</v>
      </c>
      <c r="AZ30" s="29">
        <f t="shared" si="17"/>
        <v>10.144741321722524</v>
      </c>
      <c r="BS30" s="35"/>
      <c r="BT30" s="39"/>
      <c r="BU30" s="39"/>
      <c r="BV30" s="39"/>
      <c r="BW30" s="39"/>
      <c r="BX30" s="39"/>
      <c r="BY30" s="39"/>
      <c r="BZ30" s="39"/>
      <c r="CA30" s="39"/>
    </row>
    <row r="31" spans="1:79" x14ac:dyDescent="0.35">
      <c r="A31" s="28">
        <f t="shared" si="18"/>
        <v>46001</v>
      </c>
      <c r="B31" t="str">
        <f t="shared" si="0"/>
        <v>Wed</v>
      </c>
      <c r="C31" s="10" t="s">
        <v>9</v>
      </c>
      <c r="D31" s="10">
        <v>16</v>
      </c>
      <c r="E31" s="4">
        <f t="shared" si="1"/>
        <v>16</v>
      </c>
      <c r="F31" s="4">
        <f t="shared" si="2"/>
        <v>184</v>
      </c>
      <c r="G31" s="4">
        <f t="shared" si="3"/>
        <v>960</v>
      </c>
      <c r="H31" s="15">
        <f>(SQRT(4*I30*I30*V*V + 'Drilling Spec'!$C$42*I30 + W*('Drilling Spec'!$C$43 + 2*l*V*(s*W + 2*V*G31/(1+e)) + 'Drilling Spec'!$C$44)) - 'Drilling Spec'!$C$45)/(2*V)</f>
        <v>265.94944513768297</v>
      </c>
      <c r="I31" s="23">
        <f>IF(AND(OR(I30=0,I30=""),F31=0),IF(F32=0,"",'Drilling Spec'!$C$26),H31)</f>
        <v>265.94944513768297</v>
      </c>
      <c r="J31" s="16">
        <f>MAX(0,I31-'Drilling Spec'!$C$30)</f>
        <v>185.94944513768297</v>
      </c>
      <c r="K31" s="18">
        <f>IFERROR(J31/'Drilling Spec'!$C$31,0)</f>
        <v>12.396629675845531</v>
      </c>
      <c r="L31" s="21">
        <f t="shared" si="4"/>
        <v>0</v>
      </c>
      <c r="M31" s="4">
        <f t="shared" si="14"/>
        <v>0</v>
      </c>
      <c r="N31" s="21">
        <f t="shared" si="5"/>
        <v>0</v>
      </c>
      <c r="O31" s="18">
        <f>(SQRT(4*O30*O30*vB*vB + 'Drilling Spec'!$C$48*O30 + WB*('Drilling Spec'!$C$49 + 2*lB*vB*(sB*WB + 2*vB*N31/(1+eB)) + 'Drilling Spec'!$C$50)) - 'Drilling Spec'!$C$51)/(2*vB)</f>
        <v>0</v>
      </c>
      <c r="P31" s="18">
        <f>IFERROR(((S31-'Drilling Spec'!$C$30)/'Drilling Spec'!$C$31)*'Drilling Spec'!$C$32,0)</f>
        <v>0</v>
      </c>
      <c r="Q31" s="18">
        <f t="shared" si="15"/>
        <v>0</v>
      </c>
      <c r="R31" s="18"/>
      <c r="S31" s="26" t="str">
        <f>IF(AND(OR(T30=0,T30=""),M31=0),IF(M32=0,"",'Drilling Spec'!$C$30),O31)</f>
        <v/>
      </c>
      <c r="U31" s="15">
        <f>E31*'Drilling Spec'!$C$22 + L31*'Drilling Spec'!$C$23</f>
        <v>0.32065040650406507</v>
      </c>
      <c r="V31" s="15">
        <f t="shared" si="16"/>
        <v>3.6874796747967493</v>
      </c>
      <c r="W31" s="15">
        <f t="shared" si="6"/>
        <v>2.3125203252032529</v>
      </c>
      <c r="X31" s="10"/>
      <c r="Y31" s="30">
        <f>IF(W31&lt;U32,'Drilling Spec'!$C$35,0)</f>
        <v>0</v>
      </c>
      <c r="AA31" s="4">
        <f t="shared" si="19"/>
        <v>16</v>
      </c>
      <c r="AB31" s="10"/>
      <c r="AC31" s="30">
        <f>IF('04-07-25-Scen6-Good,16hr'!K32&gt;'04-07-25-Scen6-Good,16hr'!AA31,'Drilling Spec'!$C$36,)</f>
        <v>0</v>
      </c>
      <c r="AE31" s="18">
        <f>(I31-'Drilling Spec'!$C$26)/'Drilling Spec'!$C$38</f>
        <v>32.658240856280493</v>
      </c>
      <c r="AF31" s="18">
        <f t="shared" si="7"/>
        <v>2.5134995345579689</v>
      </c>
      <c r="AG31" s="34">
        <f t="shared" si="8"/>
        <v>12.658240856280493</v>
      </c>
      <c r="AH31" s="10"/>
      <c r="AI31" s="26">
        <f>IF(C31="Camp Closed",AG31,IF(AG31&lt;'Drilling Spec'!$C$39,,'Drilling Spec'!$C$39))</f>
        <v>0</v>
      </c>
      <c r="AL31" s="16">
        <f t="shared" si="9"/>
        <v>-265.94944513768297</v>
      </c>
      <c r="AM31" s="16" t="e">
        <f t="shared" si="10"/>
        <v>#N/A</v>
      </c>
      <c r="AN31">
        <f>-'Drilling Spec'!$C$29</f>
        <v>-720</v>
      </c>
      <c r="AO31">
        <f>-'Drilling Spec'!$C$27</f>
        <v>-624</v>
      </c>
      <c r="AP31">
        <f>-'Drilling Spec'!$C$28</f>
        <v>-688</v>
      </c>
      <c r="AQ31" t="e">
        <f t="shared" si="11"/>
        <v>#N/A</v>
      </c>
      <c r="AR31" t="e">
        <f>IF(X31=0,NA(),-'Drilling Spec'!$C$29*0.1)</f>
        <v>#N/A</v>
      </c>
      <c r="AS31" t="e">
        <f>IF(Y31=0,NA(),-'Drilling Spec'!$C$29*0.1)</f>
        <v>#N/A</v>
      </c>
      <c r="AT31" t="e">
        <f>IF(AB31=0,NA(),-'Drilling Spec'!$C$29*0.2)</f>
        <v>#N/A</v>
      </c>
      <c r="AU31" t="e">
        <f>IF(AC31=0,NA(),-'Drilling Spec'!$C$29*0.2)</f>
        <v>#N/A</v>
      </c>
      <c r="AV31" t="e">
        <f>IF(AH31=0,NA(),-'Drilling Spec'!$C$29*0.3)</f>
        <v>#N/A</v>
      </c>
      <c r="AW31" t="e">
        <f>IF(AI31=0,NA(),-'Drilling Spec'!$C$29*0.3)</f>
        <v>#N/A</v>
      </c>
      <c r="AX31" s="29">
        <f t="shared" si="12"/>
        <v>2.3125203252032529</v>
      </c>
      <c r="AY31" s="29">
        <f t="shared" si="13"/>
        <v>3.6033703241544686</v>
      </c>
      <c r="AZ31" s="29">
        <f t="shared" si="17"/>
        <v>12.658240856280493</v>
      </c>
      <c r="BS31" s="35"/>
      <c r="BT31" s="35"/>
      <c r="BU31" s="39" t="s">
        <v>189</v>
      </c>
      <c r="BV31" s="39"/>
      <c r="BW31" s="39"/>
      <c r="BX31" s="39"/>
      <c r="BY31" s="39"/>
      <c r="BZ31" s="39"/>
      <c r="CA31" s="39"/>
    </row>
    <row r="32" spans="1:79" x14ac:dyDescent="0.35">
      <c r="A32" s="28">
        <f t="shared" si="18"/>
        <v>46002</v>
      </c>
      <c r="B32" t="str">
        <f t="shared" si="0"/>
        <v>Thu</v>
      </c>
      <c r="C32" s="10" t="s">
        <v>9</v>
      </c>
      <c r="D32" s="10">
        <v>16</v>
      </c>
      <c r="E32" s="4">
        <f t="shared" si="1"/>
        <v>16</v>
      </c>
      <c r="F32" s="4">
        <f t="shared" si="2"/>
        <v>200</v>
      </c>
      <c r="G32" s="4">
        <f t="shared" si="3"/>
        <v>960</v>
      </c>
      <c r="H32" s="15">
        <f>(SQRT(4*I31*I31*V*V + 'Drilling Spec'!$C$42*I31 + W*('Drilling Spec'!$C$43 + 2*l*V*(s*W + 2*V*G32/(1+e)) + 'Drilling Spec'!$C$44)) - 'Drilling Spec'!$C$45)/(2*V)</f>
        <v>280.74945940361931</v>
      </c>
      <c r="I32" s="23">
        <f>IF(AND(OR(I31=0,I31=""),F32=0),IF(F33=0,"",'Drilling Spec'!$C$26),H32)</f>
        <v>280.74945940361931</v>
      </c>
      <c r="J32" s="16">
        <f>MAX(0,I32-'Drilling Spec'!$C$30)</f>
        <v>200.74945940361931</v>
      </c>
      <c r="K32" s="18">
        <f>IFERROR(J32/'Drilling Spec'!$C$31,0)</f>
        <v>13.383297293574621</v>
      </c>
      <c r="L32" s="21">
        <f t="shared" si="4"/>
        <v>0</v>
      </c>
      <c r="M32" s="4">
        <f t="shared" si="14"/>
        <v>0</v>
      </c>
      <c r="N32" s="21">
        <f t="shared" si="5"/>
        <v>0</v>
      </c>
      <c r="O32" s="18">
        <f>(SQRT(4*O31*O31*vB*vB + 'Drilling Spec'!$C$48*O31 + WB*('Drilling Spec'!$C$49 + 2*lB*vB*(sB*WB + 2*vB*N32/(1+eB)) + 'Drilling Spec'!$C$50)) - 'Drilling Spec'!$C$51)/(2*vB)</f>
        <v>0</v>
      </c>
      <c r="P32" s="18">
        <f>IFERROR(((S32-'Drilling Spec'!$C$30)/'Drilling Spec'!$C$31)*'Drilling Spec'!$C$32,0)</f>
        <v>0</v>
      </c>
      <c r="Q32" s="18">
        <f t="shared" si="15"/>
        <v>0</v>
      </c>
      <c r="R32" s="18"/>
      <c r="S32" s="26" t="str">
        <f>IF(AND(OR(T31=0,T31=""),M32=0),IF(M33=0,"",'Drilling Spec'!$C$30),O32)</f>
        <v/>
      </c>
      <c r="U32" s="15">
        <f>E32*'Drilling Spec'!$C$22 + L32*'Drilling Spec'!$C$23</f>
        <v>0.32065040650406507</v>
      </c>
      <c r="V32" s="15">
        <f t="shared" si="16"/>
        <v>4.0081300813008145</v>
      </c>
      <c r="W32" s="15">
        <f t="shared" si="6"/>
        <v>1.9918699186991877</v>
      </c>
      <c r="X32" s="10"/>
      <c r="Y32" s="30">
        <f>IF(W32&lt;U33,'Drilling Spec'!$C$35,0)</f>
        <v>0</v>
      </c>
      <c r="AA32" s="4">
        <f t="shared" si="19"/>
        <v>16</v>
      </c>
      <c r="AB32" s="10"/>
      <c r="AC32" s="30">
        <f>IF('04-07-25-Scen6-Good,16hr'!K33&gt;'04-07-25-Scen6-Good,16hr'!AA32,'Drilling Spec'!$C$36,)</f>
        <v>0</v>
      </c>
      <c r="AE32" s="18">
        <f>(I32-'Drilling Spec'!$C$26)/'Drilling Spec'!$C$38</f>
        <v>35.124909900603221</v>
      </c>
      <c r="AF32" s="18">
        <f t="shared" si="7"/>
        <v>2.4666690443227282</v>
      </c>
      <c r="AG32" s="34">
        <f t="shared" si="8"/>
        <v>15.124909900603221</v>
      </c>
      <c r="AH32" s="10"/>
      <c r="AI32" s="26">
        <f>IF(C32="Camp Closed",AG32,IF(AG32&lt;'Drilling Spec'!$C$39,,'Drilling Spec'!$C$39))</f>
        <v>0</v>
      </c>
      <c r="AL32" s="16">
        <f t="shared" si="9"/>
        <v>-280.74945940361931</v>
      </c>
      <c r="AM32" s="16" t="e">
        <f t="shared" si="10"/>
        <v>#N/A</v>
      </c>
      <c r="AN32">
        <f>-'Drilling Spec'!$C$29</f>
        <v>-720</v>
      </c>
      <c r="AO32">
        <f>-'Drilling Spec'!$C$27</f>
        <v>-624</v>
      </c>
      <c r="AP32">
        <f>-'Drilling Spec'!$C$28</f>
        <v>-688</v>
      </c>
      <c r="AQ32" t="e">
        <f t="shared" si="11"/>
        <v>#N/A</v>
      </c>
      <c r="AR32" t="e">
        <f>IF(X32=0,NA(),-'Drilling Spec'!$C$29*0.1)</f>
        <v>#N/A</v>
      </c>
      <c r="AS32" t="e">
        <f>IF(Y32=0,NA(),-'Drilling Spec'!$C$29*0.1)</f>
        <v>#N/A</v>
      </c>
      <c r="AT32" t="e">
        <f>IF(AB32=0,NA(),-'Drilling Spec'!$C$29*0.2)</f>
        <v>#N/A</v>
      </c>
      <c r="AU32" t="e">
        <f>IF(AC32=0,NA(),-'Drilling Spec'!$C$29*0.2)</f>
        <v>#N/A</v>
      </c>
      <c r="AV32" t="e">
        <f>IF(AH32=0,NA(),-'Drilling Spec'!$C$29*0.3)</f>
        <v>#N/A</v>
      </c>
      <c r="AW32" t="e">
        <f>IF(AI32=0,NA(),-'Drilling Spec'!$C$29*0.3)</f>
        <v>#N/A</v>
      </c>
      <c r="AX32" s="29">
        <f t="shared" si="12"/>
        <v>1.9918699186991877</v>
      </c>
      <c r="AY32" s="29">
        <f t="shared" si="13"/>
        <v>2.6167027064253787</v>
      </c>
      <c r="AZ32" s="29">
        <f t="shared" si="17"/>
        <v>15.124909900603221</v>
      </c>
      <c r="BS32" s="35"/>
      <c r="BT32" s="35"/>
      <c r="BU32" s="39"/>
      <c r="BV32" s="39"/>
      <c r="BW32" s="39"/>
      <c r="BX32" s="39"/>
      <c r="BY32" s="39"/>
      <c r="BZ32" s="39"/>
      <c r="CA32" s="39"/>
    </row>
    <row r="33" spans="1:79" x14ac:dyDescent="0.35">
      <c r="A33" s="28">
        <f t="shared" si="18"/>
        <v>46003</v>
      </c>
      <c r="B33" t="str">
        <f t="shared" si="0"/>
        <v>Fri</v>
      </c>
      <c r="C33" s="10" t="s">
        <v>9</v>
      </c>
      <c r="D33" s="10">
        <v>16</v>
      </c>
      <c r="E33" s="4">
        <f t="shared" si="1"/>
        <v>16</v>
      </c>
      <c r="F33" s="4">
        <f t="shared" si="2"/>
        <v>216</v>
      </c>
      <c r="G33" s="4">
        <f t="shared" si="3"/>
        <v>960</v>
      </c>
      <c r="H33" s="15">
        <f>(SQRT(4*I32*I32*V*V + 'Drilling Spec'!$C$42*I32 + W*('Drilling Spec'!$C$43 + 2*l*V*(s*W + 2*V*G33/(1+e)) + 'Drilling Spec'!$C$44)) - 'Drilling Spec'!$C$45)/(2*V)</f>
        <v>295.28363443552183</v>
      </c>
      <c r="I33" s="23">
        <f>IF(AND(OR(I32=0,I32=""),F33=0),IF(F34=0,"",'Drilling Spec'!$C$26),H33)</f>
        <v>295.28363443552183</v>
      </c>
      <c r="J33" s="16">
        <f>MAX(0,I33-'Drilling Spec'!$C$30)</f>
        <v>215.28363443552183</v>
      </c>
      <c r="K33" s="18">
        <f>IFERROR(J33/'Drilling Spec'!$C$31,0)</f>
        <v>14.352242295701455</v>
      </c>
      <c r="L33" s="21">
        <f t="shared" si="4"/>
        <v>0</v>
      </c>
      <c r="M33" s="4">
        <f t="shared" si="14"/>
        <v>0</v>
      </c>
      <c r="N33" s="21">
        <f t="shared" si="5"/>
        <v>0</v>
      </c>
      <c r="O33" s="18">
        <f>(SQRT(4*O32*O32*vB*vB + 'Drilling Spec'!$C$48*O32 + WB*('Drilling Spec'!$C$49 + 2*lB*vB*(sB*WB + 2*vB*N33/(1+eB)) + 'Drilling Spec'!$C$50)) - 'Drilling Spec'!$C$51)/(2*vB)</f>
        <v>0</v>
      </c>
      <c r="P33" s="18">
        <f>IFERROR(((S33-'Drilling Spec'!$C$30)/'Drilling Spec'!$C$31)*'Drilling Spec'!$C$32,0)</f>
        <v>0</v>
      </c>
      <c r="Q33" s="18">
        <f t="shared" si="15"/>
        <v>0</v>
      </c>
      <c r="R33" s="18"/>
      <c r="S33" s="26" t="str">
        <f>IF(AND(OR(T32=0,T32=""),M33=0),IF(M34=0,"",'Drilling Spec'!$C$30),O33)</f>
        <v/>
      </c>
      <c r="U33" s="15">
        <f>E33*'Drilling Spec'!$C$22 + L33*'Drilling Spec'!$C$23</f>
        <v>0.32065040650406507</v>
      </c>
      <c r="V33" s="15">
        <f t="shared" si="16"/>
        <v>4.3287804878048792</v>
      </c>
      <c r="W33" s="15">
        <f t="shared" si="6"/>
        <v>1.6712195121951225</v>
      </c>
      <c r="X33" s="10"/>
      <c r="Y33" s="30">
        <f>IF(W33&lt;U34,'Drilling Spec'!$C$35,0)</f>
        <v>0</v>
      </c>
      <c r="AA33" s="4">
        <f t="shared" si="19"/>
        <v>16</v>
      </c>
      <c r="AB33" s="10"/>
      <c r="AC33" s="30">
        <f>IF('04-07-25-Scen6-Good,16hr'!K34&gt;'04-07-25-Scen6-Good,16hr'!AA33,'Drilling Spec'!$C$36,)</f>
        <v>0</v>
      </c>
      <c r="AE33" s="18">
        <f>(I33-'Drilling Spec'!$C$26)/'Drilling Spec'!$C$38</f>
        <v>37.547272405920303</v>
      </c>
      <c r="AF33" s="18">
        <f t="shared" si="7"/>
        <v>2.4223625053170821</v>
      </c>
      <c r="AG33" s="34">
        <f t="shared" si="8"/>
        <v>17.547272405920303</v>
      </c>
      <c r="AH33" s="10"/>
      <c r="AI33" s="26">
        <f>IF(C33="Camp Closed",AG33,IF(AG33&lt;'Drilling Spec'!$C$39,,'Drilling Spec'!$C$39))</f>
        <v>0</v>
      </c>
      <c r="AL33" s="16">
        <f t="shared" si="9"/>
        <v>-295.28363443552183</v>
      </c>
      <c r="AM33" s="16" t="e">
        <f t="shared" si="10"/>
        <v>#N/A</v>
      </c>
      <c r="AN33">
        <f>-'Drilling Spec'!$C$29</f>
        <v>-720</v>
      </c>
      <c r="AO33">
        <f>-'Drilling Spec'!$C$27</f>
        <v>-624</v>
      </c>
      <c r="AP33">
        <f>-'Drilling Spec'!$C$28</f>
        <v>-688</v>
      </c>
      <c r="AQ33" t="e">
        <f t="shared" si="11"/>
        <v>#N/A</v>
      </c>
      <c r="AR33" t="e">
        <f>IF(X33=0,NA(),-'Drilling Spec'!$C$29*0.1)</f>
        <v>#N/A</v>
      </c>
      <c r="AS33" t="e">
        <f>IF(Y33=0,NA(),-'Drilling Spec'!$C$29*0.1)</f>
        <v>#N/A</v>
      </c>
      <c r="AT33" t="e">
        <f>IF(AB33=0,NA(),-'Drilling Spec'!$C$29*0.2)</f>
        <v>#N/A</v>
      </c>
      <c r="AU33" t="e">
        <f>IF(AC33=0,NA(),-'Drilling Spec'!$C$29*0.2)</f>
        <v>#N/A</v>
      </c>
      <c r="AV33" t="e">
        <f>IF(AH33=0,NA(),-'Drilling Spec'!$C$29*0.3)</f>
        <v>#N/A</v>
      </c>
      <c r="AW33" t="e">
        <f>IF(AI33=0,NA(),-'Drilling Spec'!$C$29*0.3)</f>
        <v>#N/A</v>
      </c>
      <c r="AX33" s="29">
        <f t="shared" si="12"/>
        <v>1.6712195121951225</v>
      </c>
      <c r="AY33" s="29">
        <f t="shared" si="13"/>
        <v>1.6477577042985452</v>
      </c>
      <c r="AZ33" s="29">
        <f t="shared" si="17"/>
        <v>17.547272405920303</v>
      </c>
      <c r="BS33" s="35"/>
      <c r="BT33" s="35"/>
      <c r="BU33" s="38" t="s">
        <v>191</v>
      </c>
      <c r="BV33" s="38"/>
      <c r="BW33" s="38"/>
      <c r="BX33" s="38"/>
      <c r="BY33" s="38"/>
      <c r="BZ33" s="38"/>
      <c r="CA33" s="38"/>
    </row>
    <row r="34" spans="1:79" x14ac:dyDescent="0.35">
      <c r="A34" s="28">
        <f t="shared" si="18"/>
        <v>46004</v>
      </c>
      <c r="B34" t="str">
        <f t="shared" si="0"/>
        <v>Sat</v>
      </c>
      <c r="C34" s="10" t="s">
        <v>9</v>
      </c>
      <c r="D34" s="10">
        <v>16</v>
      </c>
      <c r="E34" s="4">
        <f t="shared" si="1"/>
        <v>16</v>
      </c>
      <c r="F34" s="4">
        <f t="shared" si="2"/>
        <v>232</v>
      </c>
      <c r="G34" s="4">
        <f t="shared" si="3"/>
        <v>960</v>
      </c>
      <c r="H34" s="15">
        <f>(SQRT(4*I33*I33*V*V + 'Drilling Spec'!$C$42*I33 + W*('Drilling Spec'!$C$43 + 2*l*V*(s*W + 2*V*G34/(1+e)) + 'Drilling Spec'!$C$44)) - 'Drilling Spec'!$C$45)/(2*V)</f>
        <v>309.56580062861497</v>
      </c>
      <c r="I34" s="23">
        <f>IF(AND(OR(I33=0,I33=""),F34=0),IF(F35=0,"",'Drilling Spec'!$C$26),H34)</f>
        <v>309.56580062861497</v>
      </c>
      <c r="J34" s="16">
        <f>MAX(0,I34-'Drilling Spec'!$C$30)</f>
        <v>229.56580062861497</v>
      </c>
      <c r="K34" s="18">
        <f>IFERROR(J34/'Drilling Spec'!$C$31,0)</f>
        <v>15.304386708574331</v>
      </c>
      <c r="L34" s="21">
        <f t="shared" si="4"/>
        <v>0</v>
      </c>
      <c r="M34" s="4">
        <f t="shared" si="14"/>
        <v>0</v>
      </c>
      <c r="N34" s="21">
        <f t="shared" si="5"/>
        <v>0</v>
      </c>
      <c r="O34" s="18">
        <f>(SQRT(4*O33*O33*vB*vB + 'Drilling Spec'!$C$48*O33 + WB*('Drilling Spec'!$C$49 + 2*lB*vB*(sB*WB + 2*vB*N34/(1+eB)) + 'Drilling Spec'!$C$50)) - 'Drilling Spec'!$C$51)/(2*vB)</f>
        <v>0</v>
      </c>
      <c r="P34" s="18">
        <f>IFERROR(((S34-'Drilling Spec'!$C$30)/'Drilling Spec'!$C$31)*'Drilling Spec'!$C$32,0)</f>
        <v>0</v>
      </c>
      <c r="Q34" s="18">
        <f t="shared" si="15"/>
        <v>0</v>
      </c>
      <c r="R34" s="18"/>
      <c r="S34" s="26" t="str">
        <f>IF(AND(OR(T33=0,T33=""),M34=0),IF(M35=0,"",'Drilling Spec'!$C$30),O34)</f>
        <v/>
      </c>
      <c r="U34" s="15">
        <f>E34*'Drilling Spec'!$C$22 + L34*'Drilling Spec'!$C$23</f>
        <v>0.32065040650406507</v>
      </c>
      <c r="V34" s="15">
        <f t="shared" si="16"/>
        <v>4.649430894308944</v>
      </c>
      <c r="W34" s="15">
        <f t="shared" si="6"/>
        <v>1.3505691056910574</v>
      </c>
      <c r="X34" s="10"/>
      <c r="Y34" s="30">
        <f>IF(W34&lt;U35,'Drilling Spec'!$C$35,0)</f>
        <v>0</v>
      </c>
      <c r="AA34" s="4">
        <f t="shared" si="19"/>
        <v>16</v>
      </c>
      <c r="AB34" s="10"/>
      <c r="AC34" s="30">
        <f>IF('04-07-25-Scen6-Good,16hr'!K35&gt;'04-07-25-Scen6-Good,16hr'!AA34,'Drilling Spec'!$C$36,)</f>
        <v>0</v>
      </c>
      <c r="AE34" s="18">
        <f>(I34-'Drilling Spec'!$C$26)/'Drilling Spec'!$C$38</f>
        <v>39.927633438102497</v>
      </c>
      <c r="AF34" s="18">
        <f t="shared" si="7"/>
        <v>2.3803610321821935</v>
      </c>
      <c r="AG34" s="34">
        <f t="shared" si="8"/>
        <v>19.927633438102497</v>
      </c>
      <c r="AH34" s="10"/>
      <c r="AI34" s="26">
        <f>IF(C34="Camp Closed",AG34,IF(AG34&lt;'Drilling Spec'!$C$39,,'Drilling Spec'!$C$39))</f>
        <v>0</v>
      </c>
      <c r="AL34" s="16">
        <f t="shared" si="9"/>
        <v>-309.56580062861497</v>
      </c>
      <c r="AM34" s="16" t="e">
        <f t="shared" si="10"/>
        <v>#N/A</v>
      </c>
      <c r="AN34">
        <f>-'Drilling Spec'!$C$29</f>
        <v>-720</v>
      </c>
      <c r="AO34">
        <f>-'Drilling Spec'!$C$27</f>
        <v>-624</v>
      </c>
      <c r="AP34">
        <f>-'Drilling Spec'!$C$28</f>
        <v>-688</v>
      </c>
      <c r="AQ34" t="e">
        <f t="shared" si="11"/>
        <v>#N/A</v>
      </c>
      <c r="AR34" t="e">
        <f>IF(X34=0,NA(),-'Drilling Spec'!$C$29*0.1)</f>
        <v>#N/A</v>
      </c>
      <c r="AS34" t="e">
        <f>IF(Y34=0,NA(),-'Drilling Spec'!$C$29*0.1)</f>
        <v>#N/A</v>
      </c>
      <c r="AT34" t="e">
        <f>IF(AB34=0,NA(),-'Drilling Spec'!$C$29*0.2)</f>
        <v>#N/A</v>
      </c>
      <c r="AU34" t="e">
        <f>IF(AC34=0,NA(),-'Drilling Spec'!$C$29*0.2)</f>
        <v>#N/A</v>
      </c>
      <c r="AV34" t="e">
        <f>IF(AH34=0,NA(),-'Drilling Spec'!$C$29*0.3)</f>
        <v>#N/A</v>
      </c>
      <c r="AW34" t="e">
        <f>IF(AI34=0,NA(),-'Drilling Spec'!$C$29*0.3)</f>
        <v>#N/A</v>
      </c>
      <c r="AX34" s="29">
        <f t="shared" si="12"/>
        <v>1.3505691056910574</v>
      </c>
      <c r="AY34" s="29">
        <f t="shared" si="13"/>
        <v>0.69561329142566919</v>
      </c>
      <c r="AZ34" s="29">
        <f t="shared" si="17"/>
        <v>19.927633438102497</v>
      </c>
      <c r="BS34" s="35"/>
      <c r="BT34" s="35"/>
      <c r="BU34" s="38"/>
      <c r="BV34" s="38"/>
      <c r="BW34" s="38"/>
      <c r="BX34" s="38"/>
      <c r="BY34" s="38"/>
      <c r="BZ34" s="38"/>
      <c r="CA34" s="38"/>
    </row>
    <row r="35" spans="1:79" x14ac:dyDescent="0.35">
      <c r="A35" s="28">
        <f t="shared" si="18"/>
        <v>46005</v>
      </c>
      <c r="B35" t="str">
        <f t="shared" si="0"/>
        <v>Sun</v>
      </c>
      <c r="C35" s="10" t="s">
        <v>7</v>
      </c>
      <c r="D35" s="10">
        <v>0</v>
      </c>
      <c r="E35" s="4">
        <f t="shared" si="1"/>
        <v>0</v>
      </c>
      <c r="F35" s="4">
        <f t="shared" si="2"/>
        <v>232</v>
      </c>
      <c r="G35" s="4">
        <f t="shared" si="3"/>
        <v>0</v>
      </c>
      <c r="H35" s="15">
        <f>(SQRT(4*I34*I34*V*V + 'Drilling Spec'!$C$42*I34 + W*('Drilling Spec'!$C$43 + 2*l*V*(s*W + 2*V*G35/(1+e)) + 'Drilling Spec'!$C$44)) - 'Drilling Spec'!$C$45)/(2*V)</f>
        <v>309.56580062861497</v>
      </c>
      <c r="I35" s="23">
        <f>IF(AND(OR(I34=0,I34=""),F35=0),IF(F36=0,"",'Drilling Spec'!$C$26),H35)</f>
        <v>309.56580062861497</v>
      </c>
      <c r="J35" s="16">
        <f>MAX(0,I35-'Drilling Spec'!$C$30)</f>
        <v>229.56580062861497</v>
      </c>
      <c r="K35" s="18">
        <f>IFERROR(J35/'Drilling Spec'!$C$31,0)</f>
        <v>15.304386708574331</v>
      </c>
      <c r="L35" s="21">
        <f t="shared" si="4"/>
        <v>0</v>
      </c>
      <c r="M35" s="4">
        <f t="shared" si="14"/>
        <v>0</v>
      </c>
      <c r="N35" s="21">
        <f t="shared" si="5"/>
        <v>0</v>
      </c>
      <c r="O35" s="18">
        <f>(SQRT(4*O34*O34*vB*vB + 'Drilling Spec'!$C$48*O34 + WB*('Drilling Spec'!$C$49 + 2*lB*vB*(sB*WB + 2*vB*N35/(1+eB)) + 'Drilling Spec'!$C$50)) - 'Drilling Spec'!$C$51)/(2*vB)</f>
        <v>0</v>
      </c>
      <c r="P35" s="18">
        <f>IFERROR(((S35-'Drilling Spec'!$C$30)/'Drilling Spec'!$C$31)*'Drilling Spec'!$C$32,0)</f>
        <v>0</v>
      </c>
      <c r="Q35" s="18">
        <f t="shared" si="15"/>
        <v>0</v>
      </c>
      <c r="R35" s="18"/>
      <c r="S35" s="26" t="str">
        <f>IF(AND(OR(T34=0,T34=""),M35=0),IF(M36=0,"",'Drilling Spec'!$C$30),O35)</f>
        <v/>
      </c>
      <c r="U35" s="15">
        <f>E35*'Drilling Spec'!$C$22 + L35*'Drilling Spec'!$C$23</f>
        <v>0</v>
      </c>
      <c r="V35" s="15">
        <f t="shared" si="16"/>
        <v>4.649430894308944</v>
      </c>
      <c r="W35" s="15">
        <f t="shared" si="6"/>
        <v>1.3505691056910574</v>
      </c>
      <c r="X35" s="10"/>
      <c r="Y35" s="30">
        <f>IF(W35&lt;U36,'Drilling Spec'!$C$35,0)</f>
        <v>0</v>
      </c>
      <c r="AA35" s="4">
        <f t="shared" si="19"/>
        <v>16</v>
      </c>
      <c r="AB35" s="10"/>
      <c r="AC35" s="30">
        <f>IF('04-07-25-Scen6-Good,16hr'!K36&gt;'04-07-25-Scen6-Good,16hr'!AA35,'Drilling Spec'!$C$36,)</f>
        <v>6</v>
      </c>
      <c r="AE35" s="18">
        <f>(I35-'Drilling Spec'!$C$26)/'Drilling Spec'!$C$38</f>
        <v>39.927633438102497</v>
      </c>
      <c r="AF35" s="18">
        <f t="shared" si="7"/>
        <v>0</v>
      </c>
      <c r="AG35" s="34">
        <f t="shared" si="8"/>
        <v>19.927633438102497</v>
      </c>
      <c r="AH35" s="10"/>
      <c r="AI35" s="26">
        <f>IF(C35="Camp Closed",AG35,IF(AG35&lt;'Drilling Spec'!$C$39,,'Drilling Spec'!$C$39))</f>
        <v>0</v>
      </c>
      <c r="AL35" s="16">
        <f t="shared" si="9"/>
        <v>-309.56580062861497</v>
      </c>
      <c r="AM35" s="16" t="e">
        <f t="shared" si="10"/>
        <v>#N/A</v>
      </c>
      <c r="AN35">
        <f>-'Drilling Spec'!$C$29</f>
        <v>-720</v>
      </c>
      <c r="AO35">
        <f>-'Drilling Spec'!$C$27</f>
        <v>-624</v>
      </c>
      <c r="AP35">
        <f>-'Drilling Spec'!$C$28</f>
        <v>-688</v>
      </c>
      <c r="AQ35" t="e">
        <f t="shared" si="11"/>
        <v>#N/A</v>
      </c>
      <c r="AR35" t="e">
        <f>IF(X35=0,NA(),-'Drilling Spec'!$C$29*0.1)</f>
        <v>#N/A</v>
      </c>
      <c r="AS35" t="e">
        <f>IF(Y35=0,NA(),-'Drilling Spec'!$C$29*0.1)</f>
        <v>#N/A</v>
      </c>
      <c r="AT35" t="e">
        <f>IF(AB35=0,NA(),-'Drilling Spec'!$C$29*0.2)</f>
        <v>#N/A</v>
      </c>
      <c r="AU35">
        <f>IF(AC35=0,NA(),-'Drilling Spec'!$C$29*0.2)</f>
        <v>-144</v>
      </c>
      <c r="AV35" t="e">
        <f>IF(AH35=0,NA(),-'Drilling Spec'!$C$29*0.3)</f>
        <v>#N/A</v>
      </c>
      <c r="AW35" t="e">
        <f>IF(AI35=0,NA(),-'Drilling Spec'!$C$29*0.3)</f>
        <v>#N/A</v>
      </c>
      <c r="AX35" s="29">
        <f t="shared" si="12"/>
        <v>1.3505691056910574</v>
      </c>
      <c r="AY35" s="29">
        <f t="shared" si="13"/>
        <v>0.69561329142566919</v>
      </c>
      <c r="AZ35" s="29">
        <f t="shared" si="17"/>
        <v>19.927633438102497</v>
      </c>
      <c r="BS35" s="35"/>
      <c r="BT35" s="39" t="s">
        <v>192</v>
      </c>
      <c r="BU35" s="39"/>
      <c r="BV35" s="39"/>
      <c r="BW35" s="39"/>
      <c r="BX35" s="39"/>
      <c r="BY35" s="39"/>
      <c r="BZ35" s="39"/>
      <c r="CA35" s="39"/>
    </row>
    <row r="36" spans="1:79" x14ac:dyDescent="0.35">
      <c r="A36" s="28">
        <f t="shared" si="18"/>
        <v>46006</v>
      </c>
      <c r="B36" t="str">
        <f t="shared" si="0"/>
        <v>Mon</v>
      </c>
      <c r="C36" s="10" t="s">
        <v>9</v>
      </c>
      <c r="D36" s="10">
        <v>16</v>
      </c>
      <c r="E36" s="4">
        <f t="shared" si="1"/>
        <v>16</v>
      </c>
      <c r="F36" s="4">
        <f t="shared" si="2"/>
        <v>248</v>
      </c>
      <c r="G36" s="4">
        <f t="shared" si="3"/>
        <v>960</v>
      </c>
      <c r="H36" s="15">
        <f>(SQRT(4*I35*I35*V*V + 'Drilling Spec'!$C$42*I35 + W*('Drilling Spec'!$C$43 + 2*l*V*(s*W + 2*V*G36/(1+e)) + 'Drilling Spec'!$C$44)) - 'Drilling Spec'!$C$45)/(2*V)</f>
        <v>323.60862919440467</v>
      </c>
      <c r="I36" s="23">
        <f>IF(AND(OR(I35=0,I35=""),F36=0),IF(F37=0,"",'Drilling Spec'!$C$26),H36)</f>
        <v>323.60862919440467</v>
      </c>
      <c r="J36" s="16">
        <f>MAX(0,I36-'Drilling Spec'!$C$30)</f>
        <v>243.60862919440467</v>
      </c>
      <c r="K36" s="18">
        <f>IFERROR(J36/'Drilling Spec'!$C$31,0)</f>
        <v>16.240575279626977</v>
      </c>
      <c r="L36" s="21">
        <f t="shared" si="4"/>
        <v>0</v>
      </c>
      <c r="M36" s="4">
        <f t="shared" si="14"/>
        <v>0</v>
      </c>
      <c r="N36" s="21">
        <f t="shared" si="5"/>
        <v>0</v>
      </c>
      <c r="O36" s="18">
        <f>(SQRT(4*O35*O35*vB*vB + 'Drilling Spec'!$C$48*O35 + WB*('Drilling Spec'!$C$49 + 2*lB*vB*(sB*WB + 2*vB*N36/(1+eB)) + 'Drilling Spec'!$C$50)) - 'Drilling Spec'!$C$51)/(2*vB)</f>
        <v>0</v>
      </c>
      <c r="P36" s="18">
        <f>IFERROR(((S36-'Drilling Spec'!$C$30)/'Drilling Spec'!$C$31)*'Drilling Spec'!$C$32,0)</f>
        <v>0</v>
      </c>
      <c r="Q36" s="18">
        <f t="shared" si="15"/>
        <v>0</v>
      </c>
      <c r="R36" s="18"/>
      <c r="S36" s="26" t="str">
        <f>IF(AND(OR(T35=0,T35=""),M36=0),IF(M37=0,"",'Drilling Spec'!$C$30),O36)</f>
        <v/>
      </c>
      <c r="U36" s="15">
        <f>E36*'Drilling Spec'!$C$22 + L36*'Drilling Spec'!$C$23</f>
        <v>0.32065040650406507</v>
      </c>
      <c r="V36" s="15">
        <f t="shared" si="16"/>
        <v>4.9700813008130087</v>
      </c>
      <c r="W36" s="15">
        <f t="shared" si="6"/>
        <v>1.0299186991869922</v>
      </c>
      <c r="X36" s="10"/>
      <c r="Y36" s="30">
        <f>IF(W36&lt;U37,'Drilling Spec'!$C$35,0)</f>
        <v>0</v>
      </c>
      <c r="AA36" s="4">
        <f t="shared" si="19"/>
        <v>22</v>
      </c>
      <c r="AB36" s="10"/>
      <c r="AC36" s="30">
        <f>IF('04-07-25-Scen6-Good,16hr'!K37&gt;'04-07-25-Scen6-Good,16hr'!AA36,'Drilling Spec'!$C$36,)</f>
        <v>0</v>
      </c>
      <c r="AE36" s="18">
        <f>(I36-'Drilling Spec'!$C$26)/'Drilling Spec'!$C$38</f>
        <v>42.268104865734109</v>
      </c>
      <c r="AF36" s="18">
        <f t="shared" si="7"/>
        <v>2.3404714276316128</v>
      </c>
      <c r="AG36" s="34">
        <f t="shared" si="8"/>
        <v>22.268104865734109</v>
      </c>
      <c r="AH36" s="10"/>
      <c r="AI36" s="26">
        <f>IF(C36="Camp Closed",AG36,IF(AG36&lt;'Drilling Spec'!$C$39,,'Drilling Spec'!$C$39))</f>
        <v>20</v>
      </c>
      <c r="AL36" s="16">
        <f t="shared" si="9"/>
        <v>-323.60862919440467</v>
      </c>
      <c r="AM36" s="16" t="e">
        <f t="shared" si="10"/>
        <v>#N/A</v>
      </c>
      <c r="AN36">
        <f>-'Drilling Spec'!$C$29</f>
        <v>-720</v>
      </c>
      <c r="AO36">
        <f>-'Drilling Spec'!$C$27</f>
        <v>-624</v>
      </c>
      <c r="AP36">
        <f>-'Drilling Spec'!$C$28</f>
        <v>-688</v>
      </c>
      <c r="AQ36" t="e">
        <f t="shared" si="11"/>
        <v>#N/A</v>
      </c>
      <c r="AR36" t="e">
        <f>IF(X36=0,NA(),-'Drilling Spec'!$C$29*0.1)</f>
        <v>#N/A</v>
      </c>
      <c r="AS36" t="e">
        <f>IF(Y36=0,NA(),-'Drilling Spec'!$C$29*0.1)</f>
        <v>#N/A</v>
      </c>
      <c r="AT36" t="e">
        <f>IF(AB36=0,NA(),-'Drilling Spec'!$C$29*0.2)</f>
        <v>#N/A</v>
      </c>
      <c r="AU36" t="e">
        <f>IF(AC36=0,NA(),-'Drilling Spec'!$C$29*0.2)</f>
        <v>#N/A</v>
      </c>
      <c r="AV36" t="e">
        <f>IF(AH36=0,NA(),-'Drilling Spec'!$C$29*0.3)</f>
        <v>#N/A</v>
      </c>
      <c r="AW36">
        <f>IF(AI36=0,NA(),-'Drilling Spec'!$C$29*0.3)</f>
        <v>-216</v>
      </c>
      <c r="AX36" s="29">
        <f t="shared" si="12"/>
        <v>1.0299186991869922</v>
      </c>
      <c r="AY36" s="29">
        <f t="shared" si="13"/>
        <v>5.7594247203730227</v>
      </c>
      <c r="AZ36" s="29">
        <f t="shared" si="17"/>
        <v>22.268104865734109</v>
      </c>
      <c r="BS36" s="35"/>
      <c r="BT36" s="39"/>
      <c r="BU36" s="39"/>
      <c r="BV36" s="39"/>
      <c r="BW36" s="39"/>
      <c r="BX36" s="39"/>
      <c r="BY36" s="39"/>
      <c r="BZ36" s="39"/>
      <c r="CA36" s="39"/>
    </row>
    <row r="37" spans="1:79" x14ac:dyDescent="0.35">
      <c r="A37" s="28">
        <f t="shared" si="18"/>
        <v>46007</v>
      </c>
      <c r="B37" t="str">
        <f t="shared" si="0"/>
        <v>Tue</v>
      </c>
      <c r="C37" s="10" t="s">
        <v>9</v>
      </c>
      <c r="D37" s="10">
        <v>16</v>
      </c>
      <c r="E37" s="4">
        <f t="shared" si="1"/>
        <v>16</v>
      </c>
      <c r="F37" s="4">
        <f t="shared" si="2"/>
        <v>264</v>
      </c>
      <c r="G37" s="4">
        <f t="shared" si="3"/>
        <v>960</v>
      </c>
      <c r="H37" s="15">
        <f>(SQRT(4*I36*I36*V*V + 'Drilling Spec'!$C$42*I36 + W*('Drilling Spec'!$C$43 + 2*l*V*(s*W + 2*V*G37/(1+e)) + 'Drilling Spec'!$C$44)) - 'Drilling Spec'!$C$45)/(2*V)</f>
        <v>337.42376378429043</v>
      </c>
      <c r="I37" s="23">
        <f>IF(AND(OR(I36=0,I36=""),F37=0),IF(F38=0,"",'Drilling Spec'!$C$26),H37)</f>
        <v>337.42376378429043</v>
      </c>
      <c r="J37" s="16">
        <f>MAX(0,I37-'Drilling Spec'!$C$30)</f>
        <v>257.42376378429043</v>
      </c>
      <c r="K37" s="18">
        <f>IFERROR(J37/'Drilling Spec'!$C$31,0)</f>
        <v>17.16158425228603</v>
      </c>
      <c r="L37" s="21">
        <f t="shared" si="4"/>
        <v>0</v>
      </c>
      <c r="M37" s="4">
        <f t="shared" si="14"/>
        <v>0</v>
      </c>
      <c r="N37" s="21">
        <f t="shared" si="5"/>
        <v>0</v>
      </c>
      <c r="O37" s="18">
        <f>(SQRT(4*O36*O36*vB*vB + 'Drilling Spec'!$C$48*O36 + WB*('Drilling Spec'!$C$49 + 2*lB*vB*(sB*WB + 2*vB*N37/(1+eB)) + 'Drilling Spec'!$C$50)) - 'Drilling Spec'!$C$51)/(2*vB)</f>
        <v>0</v>
      </c>
      <c r="P37" s="18">
        <f>IFERROR(((S37-'Drilling Spec'!$C$30)/'Drilling Spec'!$C$31)*'Drilling Spec'!$C$32,0)</f>
        <v>0</v>
      </c>
      <c r="Q37" s="18">
        <f t="shared" si="15"/>
        <v>0</v>
      </c>
      <c r="R37" s="18"/>
      <c r="S37" s="26" t="str">
        <f>IF(AND(OR(T36=0,T36=""),M37=0),IF(M38=0,"",'Drilling Spec'!$C$30),O37)</f>
        <v/>
      </c>
      <c r="U37" s="15">
        <f>E37*'Drilling Spec'!$C$22 + L37*'Drilling Spec'!$C$23</f>
        <v>0.32065040650406507</v>
      </c>
      <c r="V37" s="15">
        <f t="shared" si="16"/>
        <v>5.2907317073170734</v>
      </c>
      <c r="W37" s="15">
        <f t="shared" si="6"/>
        <v>0.70926829268292713</v>
      </c>
      <c r="X37" s="10"/>
      <c r="Y37" s="30">
        <f>IF(W37&lt;U38,'Drilling Spec'!$C$35,0)</f>
        <v>0</v>
      </c>
      <c r="AA37" s="4">
        <f t="shared" si="19"/>
        <v>22</v>
      </c>
      <c r="AB37" s="10"/>
      <c r="AC37" s="30">
        <f>IF('04-07-25-Scen6-Good,16hr'!K38&gt;'04-07-25-Scen6-Good,16hr'!AA37,'Drilling Spec'!$C$36,)</f>
        <v>0</v>
      </c>
      <c r="AE37" s="18">
        <f>(I37-'Drilling Spec'!$C$26)/'Drilling Spec'!$C$38</f>
        <v>44.570627297381741</v>
      </c>
      <c r="AF37" s="18">
        <f t="shared" si="7"/>
        <v>2.3025224316476312</v>
      </c>
      <c r="AG37" s="34">
        <f t="shared" si="8"/>
        <v>4.5706272973817406</v>
      </c>
      <c r="AH37" s="10"/>
      <c r="AI37" s="26">
        <f>IF(C37="Camp Closed",AG37,IF(AG37&lt;'Drilling Spec'!$C$39,,'Drilling Spec'!$C$39))</f>
        <v>0</v>
      </c>
      <c r="AL37" s="16">
        <f t="shared" si="9"/>
        <v>-337.42376378429043</v>
      </c>
      <c r="AM37" s="16" t="e">
        <f t="shared" si="10"/>
        <v>#N/A</v>
      </c>
      <c r="AN37">
        <f>-'Drilling Spec'!$C$29</f>
        <v>-720</v>
      </c>
      <c r="AO37">
        <f>-'Drilling Spec'!$C$27</f>
        <v>-624</v>
      </c>
      <c r="AP37">
        <f>-'Drilling Spec'!$C$28</f>
        <v>-688</v>
      </c>
      <c r="AQ37" t="e">
        <f t="shared" si="11"/>
        <v>#N/A</v>
      </c>
      <c r="AR37" t="e">
        <f>IF(X37=0,NA(),-'Drilling Spec'!$C$29*0.1)</f>
        <v>#N/A</v>
      </c>
      <c r="AS37" t="e">
        <f>IF(Y37=0,NA(),-'Drilling Spec'!$C$29*0.1)</f>
        <v>#N/A</v>
      </c>
      <c r="AT37" t="e">
        <f>IF(AB37=0,NA(),-'Drilling Spec'!$C$29*0.2)</f>
        <v>#N/A</v>
      </c>
      <c r="AU37" t="e">
        <f>IF(AC37=0,NA(),-'Drilling Spec'!$C$29*0.2)</f>
        <v>#N/A</v>
      </c>
      <c r="AV37" t="e">
        <f>IF(AH37=0,NA(),-'Drilling Spec'!$C$29*0.3)</f>
        <v>#N/A</v>
      </c>
      <c r="AW37" t="e">
        <f>IF(AI37=0,NA(),-'Drilling Spec'!$C$29*0.3)</f>
        <v>#N/A</v>
      </c>
      <c r="AX37" s="29">
        <f t="shared" si="12"/>
        <v>0.70926829268292713</v>
      </c>
      <c r="AY37" s="29">
        <f t="shared" si="13"/>
        <v>4.8384157477139702</v>
      </c>
      <c r="AZ37" s="29">
        <f t="shared" si="17"/>
        <v>4.5706272973817406</v>
      </c>
      <c r="BS37" s="35"/>
      <c r="BT37" s="39"/>
      <c r="BU37" s="39"/>
      <c r="BV37" s="39"/>
      <c r="BW37" s="39"/>
      <c r="BX37" s="39"/>
      <c r="BY37" s="39"/>
      <c r="BZ37" s="39"/>
      <c r="CA37" s="39"/>
    </row>
    <row r="38" spans="1:79" x14ac:dyDescent="0.35">
      <c r="A38" s="28">
        <f t="shared" si="18"/>
        <v>46008</v>
      </c>
      <c r="B38" t="str">
        <f t="shared" si="0"/>
        <v>Wed</v>
      </c>
      <c r="C38" s="10" t="s">
        <v>9</v>
      </c>
      <c r="D38" s="10">
        <v>16</v>
      </c>
      <c r="E38" s="4">
        <f t="shared" si="1"/>
        <v>16</v>
      </c>
      <c r="F38" s="4">
        <f t="shared" si="2"/>
        <v>280</v>
      </c>
      <c r="G38" s="4">
        <f t="shared" si="3"/>
        <v>960</v>
      </c>
      <c r="H38" s="15">
        <f>(SQRT(4*I37*I37*V*V + 'Drilling Spec'!$C$42*I37 + W*('Drilling Spec'!$C$43 + 2*l*V*(s*W + 2*V*G38/(1+e)) + 'Drilling Spec'!$C$44)) - 'Drilling Spec'!$C$45)/(2*V)</f>
        <v>351.02193349884237</v>
      </c>
      <c r="I38" s="23">
        <f>IF(AND(OR(I37=0,I37=""),F38=0),IF(F39=0,"",'Drilling Spec'!$C$26),H38)</f>
        <v>351.02193349884237</v>
      </c>
      <c r="J38" s="16">
        <f>MAX(0,I38-'Drilling Spec'!$C$30)</f>
        <v>271.02193349884237</v>
      </c>
      <c r="K38" s="18">
        <f>IFERROR(J38/'Drilling Spec'!$C$31,0)</f>
        <v>18.068128899922826</v>
      </c>
      <c r="L38" s="21">
        <f t="shared" si="4"/>
        <v>0</v>
      </c>
      <c r="M38" s="4">
        <f t="shared" si="14"/>
        <v>0</v>
      </c>
      <c r="N38" s="21">
        <f t="shared" si="5"/>
        <v>0</v>
      </c>
      <c r="O38" s="18">
        <f>(SQRT(4*O37*O37*vB*vB + 'Drilling Spec'!$C$48*O37 + WB*('Drilling Spec'!$C$49 + 2*lB*vB*(sB*WB + 2*vB*N38/(1+eB)) + 'Drilling Spec'!$C$50)) - 'Drilling Spec'!$C$51)/(2*vB)</f>
        <v>0</v>
      </c>
      <c r="P38" s="18">
        <f>IFERROR(((S38-'Drilling Spec'!$C$30)/'Drilling Spec'!$C$31)*'Drilling Spec'!$C$32,0)</f>
        <v>0</v>
      </c>
      <c r="Q38" s="18">
        <f t="shared" si="15"/>
        <v>0</v>
      </c>
      <c r="R38" s="18"/>
      <c r="S38" s="26" t="str">
        <f>IF(AND(OR(T37=0,T37=""),M38=0),IF(M39=0,"",'Drilling Spec'!$C$30),O38)</f>
        <v/>
      </c>
      <c r="U38" s="15">
        <f>E38*'Drilling Spec'!$C$22 + L38*'Drilling Spec'!$C$23</f>
        <v>0.32065040650406507</v>
      </c>
      <c r="V38" s="15">
        <f t="shared" si="16"/>
        <v>5.6113821138211382</v>
      </c>
      <c r="W38" s="15">
        <f t="shared" si="6"/>
        <v>0.38861788617886206</v>
      </c>
      <c r="X38" s="10"/>
      <c r="Y38" s="30">
        <f>IF(W38&lt;U39,'Drilling Spec'!$C$35,0)</f>
        <v>0</v>
      </c>
      <c r="AA38" s="4">
        <f t="shared" si="19"/>
        <v>22</v>
      </c>
      <c r="AB38" s="10"/>
      <c r="AC38" s="30">
        <f>IF('04-07-25-Scen6-Good,16hr'!K39&gt;'04-07-25-Scen6-Good,16hr'!AA38,'Drilling Spec'!$C$36,)</f>
        <v>0</v>
      </c>
      <c r="AE38" s="18">
        <f>(I38-'Drilling Spec'!$C$26)/'Drilling Spec'!$C$38</f>
        <v>46.836988916473729</v>
      </c>
      <c r="AF38" s="18">
        <f t="shared" si="7"/>
        <v>2.2663616190919882</v>
      </c>
      <c r="AG38" s="34">
        <f t="shared" si="8"/>
        <v>6.8369889164737288</v>
      </c>
      <c r="AH38" s="10"/>
      <c r="AI38" s="26">
        <f>IF(C38="Camp Closed",AG38,IF(AG38&lt;'Drilling Spec'!$C$39,,'Drilling Spec'!$C$39))</f>
        <v>0</v>
      </c>
      <c r="AL38" s="16">
        <f t="shared" si="9"/>
        <v>-351.02193349884237</v>
      </c>
      <c r="AM38" s="16" t="e">
        <f t="shared" si="10"/>
        <v>#N/A</v>
      </c>
      <c r="AN38">
        <f>-'Drilling Spec'!$C$29</f>
        <v>-720</v>
      </c>
      <c r="AO38">
        <f>-'Drilling Spec'!$C$27</f>
        <v>-624</v>
      </c>
      <c r="AP38">
        <f>-'Drilling Spec'!$C$28</f>
        <v>-688</v>
      </c>
      <c r="AQ38" t="e">
        <f t="shared" si="11"/>
        <v>#N/A</v>
      </c>
      <c r="AR38" t="e">
        <f>IF(X38=0,NA(),-'Drilling Spec'!$C$29*0.1)</f>
        <v>#N/A</v>
      </c>
      <c r="AS38" t="e">
        <f>IF(Y38=0,NA(),-'Drilling Spec'!$C$29*0.1)</f>
        <v>#N/A</v>
      </c>
      <c r="AT38" t="e">
        <f>IF(AB38=0,NA(),-'Drilling Spec'!$C$29*0.2)</f>
        <v>#N/A</v>
      </c>
      <c r="AU38" t="e">
        <f>IF(AC38=0,NA(),-'Drilling Spec'!$C$29*0.2)</f>
        <v>#N/A</v>
      </c>
      <c r="AV38" t="e">
        <f>IF(AH38=0,NA(),-'Drilling Spec'!$C$29*0.3)</f>
        <v>#N/A</v>
      </c>
      <c r="AW38" t="e">
        <f>IF(AI38=0,NA(),-'Drilling Spec'!$C$29*0.3)</f>
        <v>#N/A</v>
      </c>
      <c r="AX38" s="29">
        <f t="shared" si="12"/>
        <v>0.38861788617886206</v>
      </c>
      <c r="AY38" s="29">
        <f t="shared" si="13"/>
        <v>3.9318711000771742</v>
      </c>
      <c r="AZ38" s="29">
        <f t="shared" si="17"/>
        <v>6.8369889164737288</v>
      </c>
      <c r="BS38" s="35"/>
      <c r="BT38" s="39" t="s">
        <v>193</v>
      </c>
      <c r="BU38" s="39"/>
      <c r="BV38" s="39"/>
      <c r="BW38" s="39"/>
      <c r="BX38" s="39"/>
      <c r="BY38" s="39"/>
      <c r="BZ38" s="39"/>
      <c r="CA38" s="39"/>
    </row>
    <row r="39" spans="1:79" x14ac:dyDescent="0.35">
      <c r="A39" s="28">
        <f t="shared" si="18"/>
        <v>46009</v>
      </c>
      <c r="B39" t="str">
        <f t="shared" si="0"/>
        <v>Thu</v>
      </c>
      <c r="C39" s="10" t="s">
        <v>9</v>
      </c>
      <c r="D39" s="10">
        <v>16</v>
      </c>
      <c r="E39" s="4">
        <f t="shared" si="1"/>
        <v>16</v>
      </c>
      <c r="F39" s="4">
        <f t="shared" si="2"/>
        <v>296</v>
      </c>
      <c r="G39" s="4">
        <f t="shared" si="3"/>
        <v>960</v>
      </c>
      <c r="H39" s="15">
        <f>(SQRT(4*I38*I38*V*V + 'Drilling Spec'!$C$42*I38 + W*('Drilling Spec'!$C$43 + 2*l*V*(s*W + 2*V*G39/(1+e)) + 'Drilling Spec'!$C$44)) - 'Drilling Spec'!$C$45)/(2*V)</f>
        <v>364.41305040252013</v>
      </c>
      <c r="I39" s="23">
        <f>IF(AND(OR(I38=0,I38=""),F39=0),IF(F40=0,"",'Drilling Spec'!$C$26),H39)</f>
        <v>364.41305040252013</v>
      </c>
      <c r="J39" s="16">
        <f>MAX(0,I39-'Drilling Spec'!$C$30)</f>
        <v>284.41305040252013</v>
      </c>
      <c r="K39" s="18">
        <f>IFERROR(J39/'Drilling Spec'!$C$31,0)</f>
        <v>18.960870026834677</v>
      </c>
      <c r="L39" s="21">
        <f t="shared" si="4"/>
        <v>0</v>
      </c>
      <c r="M39" s="4">
        <f t="shared" si="14"/>
        <v>0</v>
      </c>
      <c r="N39" s="21">
        <f t="shared" si="5"/>
        <v>0</v>
      </c>
      <c r="O39" s="18">
        <f>(SQRT(4*O38*O38*vB*vB + 'Drilling Spec'!$C$48*O38 + WB*('Drilling Spec'!$C$49 + 2*lB*vB*(sB*WB + 2*vB*N39/(1+eB)) + 'Drilling Spec'!$C$50)) - 'Drilling Spec'!$C$51)/(2*vB)</f>
        <v>0</v>
      </c>
      <c r="P39" s="18">
        <f>IFERROR(((S39-'Drilling Spec'!$C$30)/'Drilling Spec'!$C$31)*'Drilling Spec'!$C$32,0)</f>
        <v>0</v>
      </c>
      <c r="Q39" s="18">
        <f t="shared" si="15"/>
        <v>0</v>
      </c>
      <c r="R39" s="18"/>
      <c r="S39" s="26" t="str">
        <f>IF(AND(OR(T38=0,T38=""),M39=0),IF(M40=0,"",'Drilling Spec'!$C$30),O39)</f>
        <v/>
      </c>
      <c r="U39" s="15">
        <f>E39*'Drilling Spec'!$C$22 + L39*'Drilling Spec'!$C$23</f>
        <v>0.32065040650406507</v>
      </c>
      <c r="V39" s="15">
        <f t="shared" si="16"/>
        <v>5.9320325203252029</v>
      </c>
      <c r="W39" s="15">
        <f t="shared" si="6"/>
        <v>6.7967479674796993E-2</v>
      </c>
      <c r="X39" s="10"/>
      <c r="Y39" s="30">
        <f>IF(W39&lt;U40,'Drilling Spec'!$C$35,0)</f>
        <v>6</v>
      </c>
      <c r="AA39" s="4">
        <f t="shared" si="19"/>
        <v>22</v>
      </c>
      <c r="AB39" s="10"/>
      <c r="AC39" s="30">
        <f>IF('04-07-25-Scen6-Good,16hr'!K40&gt;'04-07-25-Scen6-Good,16hr'!AA39,'Drilling Spec'!$C$36,)</f>
        <v>0</v>
      </c>
      <c r="AE39" s="18">
        <f>(I39-'Drilling Spec'!$C$26)/'Drilling Spec'!$C$38</f>
        <v>49.068841733753352</v>
      </c>
      <c r="AF39" s="18">
        <f t="shared" si="7"/>
        <v>2.2318528172796235</v>
      </c>
      <c r="AG39" s="34">
        <f t="shared" si="8"/>
        <v>9.0688417337533522</v>
      </c>
      <c r="AH39" s="10"/>
      <c r="AI39" s="26">
        <f>IF(C39="Camp Closed",AG39,IF(AG39&lt;'Drilling Spec'!$C$39,,'Drilling Spec'!$C$39))</f>
        <v>0</v>
      </c>
      <c r="AL39" s="16">
        <f t="shared" si="9"/>
        <v>-364.41305040252013</v>
      </c>
      <c r="AM39" s="16" t="e">
        <f t="shared" si="10"/>
        <v>#N/A</v>
      </c>
      <c r="AN39">
        <f>-'Drilling Spec'!$C$29</f>
        <v>-720</v>
      </c>
      <c r="AO39">
        <f>-'Drilling Spec'!$C$27</f>
        <v>-624</v>
      </c>
      <c r="AP39">
        <f>-'Drilling Spec'!$C$28</f>
        <v>-688</v>
      </c>
      <c r="AQ39" t="e">
        <f t="shared" si="11"/>
        <v>#N/A</v>
      </c>
      <c r="AR39" t="e">
        <f>IF(X39=0,NA(),-'Drilling Spec'!$C$29*0.1)</f>
        <v>#N/A</v>
      </c>
      <c r="AS39">
        <f>IF(Y39=0,NA(),-'Drilling Spec'!$C$29*0.1)</f>
        <v>-72</v>
      </c>
      <c r="AT39" t="e">
        <f>IF(AB39=0,NA(),-'Drilling Spec'!$C$29*0.2)</f>
        <v>#N/A</v>
      </c>
      <c r="AU39" t="e">
        <f>IF(AC39=0,NA(),-'Drilling Spec'!$C$29*0.2)</f>
        <v>#N/A</v>
      </c>
      <c r="AV39" t="e">
        <f>IF(AH39=0,NA(),-'Drilling Spec'!$C$29*0.3)</f>
        <v>#N/A</v>
      </c>
      <c r="AW39" t="e">
        <f>IF(AI39=0,NA(),-'Drilling Spec'!$C$29*0.3)</f>
        <v>#N/A</v>
      </c>
      <c r="AX39" s="29">
        <f t="shared" si="12"/>
        <v>6.7967479674796993E-2</v>
      </c>
      <c r="AY39" s="29">
        <f t="shared" si="13"/>
        <v>3.0391299731653234</v>
      </c>
      <c r="AZ39" s="29">
        <f t="shared" si="17"/>
        <v>9.0688417337533522</v>
      </c>
      <c r="BS39" s="35"/>
      <c r="BT39" s="39"/>
      <c r="BU39" s="39"/>
      <c r="BV39" s="39"/>
      <c r="BW39" s="39"/>
      <c r="BX39" s="39"/>
      <c r="BY39" s="39"/>
      <c r="BZ39" s="39"/>
      <c r="CA39" s="39"/>
    </row>
    <row r="40" spans="1:79" x14ac:dyDescent="0.35">
      <c r="A40" s="28">
        <f t="shared" si="18"/>
        <v>46010</v>
      </c>
      <c r="B40" t="str">
        <f t="shared" si="0"/>
        <v>Fri</v>
      </c>
      <c r="C40" s="10" t="s">
        <v>9</v>
      </c>
      <c r="D40" s="10">
        <v>16</v>
      </c>
      <c r="E40" s="4">
        <f t="shared" si="1"/>
        <v>16</v>
      </c>
      <c r="F40" s="4">
        <f t="shared" si="2"/>
        <v>312</v>
      </c>
      <c r="G40" s="4">
        <f t="shared" si="3"/>
        <v>960</v>
      </c>
      <c r="H40" s="15">
        <f>(SQRT(4*I39*I39*V*V + 'Drilling Spec'!$C$42*I39 + W*('Drilling Spec'!$C$43 + 2*l*V*(s*W + 2*V*G40/(1+e)) + 'Drilling Spec'!$C$44)) - 'Drilling Spec'!$C$45)/(2*V)</f>
        <v>377.60629406387062</v>
      </c>
      <c r="I40" s="23">
        <f>IF(AND(OR(I39=0,I39=""),F40=0),IF(F41=0,"",'Drilling Spec'!$C$26),H40)</f>
        <v>377.60629406387062</v>
      </c>
      <c r="J40" s="16">
        <f>MAX(0,I40-'Drilling Spec'!$C$30)</f>
        <v>297.60629406387062</v>
      </c>
      <c r="K40" s="18">
        <f>IFERROR(J40/'Drilling Spec'!$C$31,0)</f>
        <v>19.840419604258042</v>
      </c>
      <c r="L40" s="21">
        <f t="shared" si="4"/>
        <v>0</v>
      </c>
      <c r="M40" s="4">
        <f t="shared" si="14"/>
        <v>0</v>
      </c>
      <c r="N40" s="21">
        <f t="shared" si="5"/>
        <v>0</v>
      </c>
      <c r="O40" s="18">
        <f>(SQRT(4*O39*O39*vB*vB + 'Drilling Spec'!$C$48*O39 + WB*('Drilling Spec'!$C$49 + 2*lB*vB*(sB*WB + 2*vB*N40/(1+eB)) + 'Drilling Spec'!$C$50)) - 'Drilling Spec'!$C$51)/(2*vB)</f>
        <v>0</v>
      </c>
      <c r="P40" s="18">
        <f>IFERROR(((S40-'Drilling Spec'!$C$30)/'Drilling Spec'!$C$31)*'Drilling Spec'!$C$32,0)</f>
        <v>0</v>
      </c>
      <c r="Q40" s="18">
        <f t="shared" si="15"/>
        <v>0</v>
      </c>
      <c r="R40" s="18"/>
      <c r="S40" s="26" t="str">
        <f>IF(AND(OR(T39=0,T39=""),M40=0),IF(M41=0,"",'Drilling Spec'!$C$30),O40)</f>
        <v/>
      </c>
      <c r="U40" s="15">
        <f>E40*'Drilling Spec'!$C$22 + L40*'Drilling Spec'!$C$23</f>
        <v>0.32065040650406507</v>
      </c>
      <c r="V40" s="15">
        <f t="shared" si="16"/>
        <v>6.2526829268292676</v>
      </c>
      <c r="W40" s="15">
        <f t="shared" si="6"/>
        <v>5.7473170731707324</v>
      </c>
      <c r="X40" s="10"/>
      <c r="Y40" s="30">
        <f>IF(W40&lt;U41,'Drilling Spec'!$C$35,0)</f>
        <v>0</v>
      </c>
      <c r="AA40" s="4">
        <f t="shared" si="19"/>
        <v>22</v>
      </c>
      <c r="AB40" s="10"/>
      <c r="AC40" s="30">
        <f>IF('04-07-25-Scen6-Good,16hr'!K41&gt;'04-07-25-Scen6-Good,16hr'!AA40,'Drilling Spec'!$C$36,)</f>
        <v>0</v>
      </c>
      <c r="AE40" s="18">
        <f>(I40-'Drilling Spec'!$C$26)/'Drilling Spec'!$C$38</f>
        <v>51.26771567731177</v>
      </c>
      <c r="AF40" s="18">
        <f t="shared" si="7"/>
        <v>2.1988739435584179</v>
      </c>
      <c r="AG40" s="34">
        <f t="shared" si="8"/>
        <v>11.26771567731177</v>
      </c>
      <c r="AH40" s="10"/>
      <c r="AI40" s="26">
        <f>IF(C40="Camp Closed",AG40,IF(AG40&lt;'Drilling Spec'!$C$39,,'Drilling Spec'!$C$39))</f>
        <v>0</v>
      </c>
      <c r="AL40" s="16">
        <f t="shared" si="9"/>
        <v>-377.60629406387062</v>
      </c>
      <c r="AM40" s="16" t="e">
        <f t="shared" si="10"/>
        <v>#N/A</v>
      </c>
      <c r="AN40">
        <f>-'Drilling Spec'!$C$29</f>
        <v>-720</v>
      </c>
      <c r="AO40">
        <f>-'Drilling Spec'!$C$27</f>
        <v>-624</v>
      </c>
      <c r="AP40">
        <f>-'Drilling Spec'!$C$28</f>
        <v>-688</v>
      </c>
      <c r="AQ40" t="e">
        <f t="shared" si="11"/>
        <v>#N/A</v>
      </c>
      <c r="AR40" t="e">
        <f>IF(X40=0,NA(),-'Drilling Spec'!$C$29*0.1)</f>
        <v>#N/A</v>
      </c>
      <c r="AS40" t="e">
        <f>IF(Y40=0,NA(),-'Drilling Spec'!$C$29*0.1)</f>
        <v>#N/A</v>
      </c>
      <c r="AT40" t="e">
        <f>IF(AB40=0,NA(),-'Drilling Spec'!$C$29*0.2)</f>
        <v>#N/A</v>
      </c>
      <c r="AU40" t="e">
        <f>IF(AC40=0,NA(),-'Drilling Spec'!$C$29*0.2)</f>
        <v>#N/A</v>
      </c>
      <c r="AV40" t="e">
        <f>IF(AH40=0,NA(),-'Drilling Spec'!$C$29*0.3)</f>
        <v>#N/A</v>
      </c>
      <c r="AW40" t="e">
        <f>IF(AI40=0,NA(),-'Drilling Spec'!$C$29*0.3)</f>
        <v>#N/A</v>
      </c>
      <c r="AX40" s="29">
        <f t="shared" si="12"/>
        <v>5.7473170731707324</v>
      </c>
      <c r="AY40" s="29">
        <f t="shared" si="13"/>
        <v>2.1595803957419584</v>
      </c>
      <c r="AZ40" s="29">
        <f t="shared" si="17"/>
        <v>11.26771567731177</v>
      </c>
    </row>
    <row r="41" spans="1:79" x14ac:dyDescent="0.35">
      <c r="A41" s="28">
        <f t="shared" si="18"/>
        <v>46011</v>
      </c>
      <c r="B41" t="str">
        <f t="shared" si="0"/>
        <v>Sat</v>
      </c>
      <c r="C41" s="10" t="s">
        <v>9</v>
      </c>
      <c r="D41" s="10">
        <v>16</v>
      </c>
      <c r="E41" s="4">
        <f t="shared" si="1"/>
        <v>16</v>
      </c>
      <c r="F41" s="4">
        <f t="shared" si="2"/>
        <v>328</v>
      </c>
      <c r="G41" s="4">
        <f t="shared" si="3"/>
        <v>960</v>
      </c>
      <c r="H41" s="15">
        <f>(SQRT(4*I40*I40*V*V + 'Drilling Spec'!$C$42*I40 + W*('Drilling Spec'!$C$43 + 2*l*V*(s*W + 2*V*G41/(1+e)) + 'Drilling Spec'!$C$44)) - 'Drilling Spec'!$C$45)/(2*V)</f>
        <v>390.61018517072768</v>
      </c>
      <c r="I41" s="23">
        <f>IF(AND(OR(I40=0,I40=""),F41=0),IF(F42=0,"",'Drilling Spec'!$C$26),H41)</f>
        <v>390.61018517072768</v>
      </c>
      <c r="J41" s="16">
        <f>MAX(0,I41-'Drilling Spec'!$C$30)</f>
        <v>310.61018517072768</v>
      </c>
      <c r="K41" s="18">
        <f>IFERROR(J41/'Drilling Spec'!$C$31,0)</f>
        <v>20.707345678048512</v>
      </c>
      <c r="L41" s="21">
        <f t="shared" si="4"/>
        <v>0</v>
      </c>
      <c r="M41" s="4">
        <f t="shared" si="14"/>
        <v>0</v>
      </c>
      <c r="N41" s="21">
        <f t="shared" si="5"/>
        <v>0</v>
      </c>
      <c r="O41" s="18">
        <f>(SQRT(4*O40*O40*vB*vB + 'Drilling Spec'!$C$48*O40 + WB*('Drilling Spec'!$C$49 + 2*lB*vB*(sB*WB + 2*vB*N41/(1+eB)) + 'Drilling Spec'!$C$50)) - 'Drilling Spec'!$C$51)/(2*vB)</f>
        <v>0</v>
      </c>
      <c r="P41" s="18">
        <f>IFERROR(((S41-'Drilling Spec'!$C$30)/'Drilling Spec'!$C$31)*'Drilling Spec'!$C$32,0)</f>
        <v>0</v>
      </c>
      <c r="Q41" s="18">
        <f t="shared" si="15"/>
        <v>0</v>
      </c>
      <c r="R41" s="18"/>
      <c r="S41" s="26" t="str">
        <f>IF(AND(OR(T40=0,T40=""),M41=0),IF(M42=0,"",'Drilling Spec'!$C$30),O41)</f>
        <v/>
      </c>
      <c r="U41" s="15">
        <f>E41*'Drilling Spec'!$C$22 + L41*'Drilling Spec'!$C$23</f>
        <v>0.32065040650406507</v>
      </c>
      <c r="V41" s="15">
        <f t="shared" si="16"/>
        <v>6.5733333333333324</v>
      </c>
      <c r="W41" s="15">
        <f t="shared" si="6"/>
        <v>5.4266666666666676</v>
      </c>
      <c r="X41" s="10"/>
      <c r="Y41" s="30">
        <f>IF(W41&lt;U42,'Drilling Spec'!$C$35,0)</f>
        <v>0</v>
      </c>
      <c r="AA41" s="4">
        <f t="shared" si="19"/>
        <v>22</v>
      </c>
      <c r="AB41" s="10"/>
      <c r="AC41" s="30">
        <f>IF('04-07-25-Scen6-Good,16hr'!K42&gt;'04-07-25-Scen6-Good,16hr'!AA41,'Drilling Spec'!$C$36,)</f>
        <v>0</v>
      </c>
      <c r="AE41" s="18">
        <f>(I41-'Drilling Spec'!$C$26)/'Drilling Spec'!$C$38</f>
        <v>53.435030861787943</v>
      </c>
      <c r="AF41" s="18">
        <f t="shared" si="7"/>
        <v>2.1673151844761733</v>
      </c>
      <c r="AG41" s="34">
        <f t="shared" si="8"/>
        <v>13.435030861787943</v>
      </c>
      <c r="AH41" s="10"/>
      <c r="AI41" s="26">
        <f>IF(C41="Camp Closed",AG41,IF(AG41&lt;'Drilling Spec'!$C$39,,'Drilling Spec'!$C$39))</f>
        <v>0</v>
      </c>
      <c r="AL41" s="16">
        <f t="shared" si="9"/>
        <v>-390.61018517072768</v>
      </c>
      <c r="AM41" s="16" t="e">
        <f t="shared" si="10"/>
        <v>#N/A</v>
      </c>
      <c r="AN41">
        <f>-'Drilling Spec'!$C$29</f>
        <v>-720</v>
      </c>
      <c r="AO41">
        <f>-'Drilling Spec'!$C$27</f>
        <v>-624</v>
      </c>
      <c r="AP41">
        <f>-'Drilling Spec'!$C$28</f>
        <v>-688</v>
      </c>
      <c r="AQ41" t="e">
        <f t="shared" si="11"/>
        <v>#N/A</v>
      </c>
      <c r="AR41" t="e">
        <f>IF(X41=0,NA(),-'Drilling Spec'!$C$29*0.1)</f>
        <v>#N/A</v>
      </c>
      <c r="AS41" t="e">
        <f>IF(Y41=0,NA(),-'Drilling Spec'!$C$29*0.1)</f>
        <v>#N/A</v>
      </c>
      <c r="AT41" t="e">
        <f>IF(AB41=0,NA(),-'Drilling Spec'!$C$29*0.2)</f>
        <v>#N/A</v>
      </c>
      <c r="AU41" t="e">
        <f>IF(AC41=0,NA(),-'Drilling Spec'!$C$29*0.2)</f>
        <v>#N/A</v>
      </c>
      <c r="AV41" t="e">
        <f>IF(AH41=0,NA(),-'Drilling Spec'!$C$29*0.3)</f>
        <v>#N/A</v>
      </c>
      <c r="AW41" t="e">
        <f>IF(AI41=0,NA(),-'Drilling Spec'!$C$29*0.3)</f>
        <v>#N/A</v>
      </c>
      <c r="AX41" s="29">
        <f t="shared" si="12"/>
        <v>5.4266666666666676</v>
      </c>
      <c r="AY41" s="29">
        <f t="shared" si="13"/>
        <v>1.2926543219514883</v>
      </c>
      <c r="AZ41" s="29">
        <f t="shared" si="17"/>
        <v>13.435030861787943</v>
      </c>
    </row>
    <row r="42" spans="1:79" x14ac:dyDescent="0.35">
      <c r="A42" s="28">
        <f t="shared" si="18"/>
        <v>46012</v>
      </c>
      <c r="B42" t="str">
        <f t="shared" si="0"/>
        <v>Sun</v>
      </c>
      <c r="C42" s="10" t="s">
        <v>7</v>
      </c>
      <c r="D42" s="10">
        <v>0</v>
      </c>
      <c r="E42" s="4">
        <f t="shared" si="1"/>
        <v>0</v>
      </c>
      <c r="F42" s="4">
        <f t="shared" si="2"/>
        <v>328</v>
      </c>
      <c r="G42" s="4">
        <f t="shared" si="3"/>
        <v>0</v>
      </c>
      <c r="H42" s="15">
        <f>(SQRT(4*I41*I41*V*V + 'Drilling Spec'!$C$42*I41 + W*('Drilling Spec'!$C$43 + 2*l*V*(s*W + 2*V*G42/(1+e)) + 'Drilling Spec'!$C$44)) - 'Drilling Spec'!$C$45)/(2*V)</f>
        <v>390.61018517072768</v>
      </c>
      <c r="I42" s="23">
        <f>IF(AND(OR(I41=0,I41=""),F42=0),IF(F43=0,"",'Drilling Spec'!$C$26),H42)</f>
        <v>390.61018517072768</v>
      </c>
      <c r="J42" s="16">
        <f>MAX(0,I42-'Drilling Spec'!$C$30)</f>
        <v>310.61018517072768</v>
      </c>
      <c r="K42" s="18">
        <f>IFERROR(J42/'Drilling Spec'!$C$31,0)</f>
        <v>20.707345678048512</v>
      </c>
      <c r="L42" s="21">
        <f t="shared" si="4"/>
        <v>0</v>
      </c>
      <c r="M42" s="4">
        <f t="shared" si="14"/>
        <v>0</v>
      </c>
      <c r="N42" s="21">
        <f t="shared" si="5"/>
        <v>0</v>
      </c>
      <c r="O42" s="18">
        <f>(SQRT(4*O41*O41*vB*vB + 'Drilling Spec'!$C$48*O41 + WB*('Drilling Spec'!$C$49 + 2*lB*vB*(sB*WB + 2*vB*N42/(1+eB)) + 'Drilling Spec'!$C$50)) - 'Drilling Spec'!$C$51)/(2*vB)</f>
        <v>0</v>
      </c>
      <c r="P42" s="18">
        <f>IFERROR(((S42-'Drilling Spec'!$C$30)/'Drilling Spec'!$C$31)*'Drilling Spec'!$C$32,0)</f>
        <v>0</v>
      </c>
      <c r="Q42" s="18">
        <f t="shared" si="15"/>
        <v>0</v>
      </c>
      <c r="R42" s="18"/>
      <c r="S42" s="26" t="str">
        <f>IF(AND(OR(T41=0,T41=""),M42=0),IF(M43=0,"",'Drilling Spec'!$C$30),O42)</f>
        <v/>
      </c>
      <c r="U42" s="15">
        <f>E42*'Drilling Spec'!$C$22 + L42*'Drilling Spec'!$C$23</f>
        <v>0</v>
      </c>
      <c r="V42" s="15">
        <f t="shared" si="16"/>
        <v>6.5733333333333324</v>
      </c>
      <c r="W42" s="15">
        <f t="shared" si="6"/>
        <v>5.4266666666666676</v>
      </c>
      <c r="X42" s="10"/>
      <c r="Y42" s="30">
        <f>IF(W42&lt;U43,'Drilling Spec'!$C$35,0)</f>
        <v>0</v>
      </c>
      <c r="AA42" s="4">
        <f t="shared" si="19"/>
        <v>22</v>
      </c>
      <c r="AB42" s="10"/>
      <c r="AC42" s="30">
        <f>IF('04-07-25-Scen6-Good,16hr'!K43&gt;'04-07-25-Scen6-Good,16hr'!AA42,'Drilling Spec'!$C$36,)</f>
        <v>0</v>
      </c>
      <c r="AE42" s="18">
        <f>(I42-'Drilling Spec'!$C$26)/'Drilling Spec'!$C$38</f>
        <v>53.435030861787943</v>
      </c>
      <c r="AF42" s="18">
        <f t="shared" si="7"/>
        <v>0</v>
      </c>
      <c r="AG42" s="34">
        <f t="shared" si="8"/>
        <v>13.435030861787943</v>
      </c>
      <c r="AH42" s="10"/>
      <c r="AI42" s="26">
        <f>IF(C42="Camp Closed",AG42,IF(AG42&lt;'Drilling Spec'!$C$39,,'Drilling Spec'!$C$39))</f>
        <v>0</v>
      </c>
      <c r="AL42" s="16">
        <f t="shared" si="9"/>
        <v>-390.61018517072768</v>
      </c>
      <c r="AM42" s="16" t="e">
        <f t="shared" si="10"/>
        <v>#N/A</v>
      </c>
      <c r="AN42">
        <f>-'Drilling Spec'!$C$29</f>
        <v>-720</v>
      </c>
      <c r="AO42">
        <f>-'Drilling Spec'!$C$27</f>
        <v>-624</v>
      </c>
      <c r="AP42">
        <f>-'Drilling Spec'!$C$28</f>
        <v>-688</v>
      </c>
      <c r="AQ42" t="e">
        <f t="shared" si="11"/>
        <v>#N/A</v>
      </c>
      <c r="AR42" t="e">
        <f>IF(X42=0,NA(),-'Drilling Spec'!$C$29*0.1)</f>
        <v>#N/A</v>
      </c>
      <c r="AS42" t="e">
        <f>IF(Y42=0,NA(),-'Drilling Spec'!$C$29*0.1)</f>
        <v>#N/A</v>
      </c>
      <c r="AT42" t="e">
        <f>IF(AB42=0,NA(),-'Drilling Spec'!$C$29*0.2)</f>
        <v>#N/A</v>
      </c>
      <c r="AU42" t="e">
        <f>IF(AC42=0,NA(),-'Drilling Spec'!$C$29*0.2)</f>
        <v>#N/A</v>
      </c>
      <c r="AV42" t="e">
        <f>IF(AH42=0,NA(),-'Drilling Spec'!$C$29*0.3)</f>
        <v>#N/A</v>
      </c>
      <c r="AW42" t="e">
        <f>IF(AI42=0,NA(),-'Drilling Spec'!$C$29*0.3)</f>
        <v>#N/A</v>
      </c>
      <c r="AX42" s="29">
        <f t="shared" si="12"/>
        <v>5.4266666666666676</v>
      </c>
      <c r="AY42" s="29">
        <f t="shared" si="13"/>
        <v>1.2926543219514883</v>
      </c>
      <c r="AZ42" s="29">
        <f t="shared" si="17"/>
        <v>13.435030861787943</v>
      </c>
    </row>
    <row r="43" spans="1:79" x14ac:dyDescent="0.35">
      <c r="A43" s="28">
        <f t="shared" si="18"/>
        <v>46013</v>
      </c>
      <c r="B43" t="str">
        <f t="shared" si="0"/>
        <v>Mon</v>
      </c>
      <c r="C43" s="10" t="s">
        <v>9</v>
      </c>
      <c r="D43" s="10">
        <v>16</v>
      </c>
      <c r="E43" s="4">
        <f t="shared" si="1"/>
        <v>16</v>
      </c>
      <c r="F43" s="4">
        <f t="shared" si="2"/>
        <v>344</v>
      </c>
      <c r="G43" s="4">
        <f t="shared" si="3"/>
        <v>960</v>
      </c>
      <c r="H43" s="15">
        <f>(SQRT(4*I42*I42*V*V + 'Drilling Spec'!$C$42*I42 + W*('Drilling Spec'!$C$43 + 2*l*V*(s*W + 2*V*G43/(1+e)) + 'Drilling Spec'!$C$44)) - 'Drilling Spec'!$C$45)/(2*V)</f>
        <v>403.43264989796455</v>
      </c>
      <c r="I43" s="23">
        <f>IF(AND(OR(I42=0,I42=""),F43=0),IF(F44=0,"",'Drilling Spec'!$C$26),H43)</f>
        <v>403.43264989796455</v>
      </c>
      <c r="J43" s="16">
        <f>MAX(0,I43-'Drilling Spec'!$C$30)</f>
        <v>323.43264989796455</v>
      </c>
      <c r="K43" s="18">
        <f>IFERROR(J43/'Drilling Spec'!$C$31,0)</f>
        <v>21.562176659864303</v>
      </c>
      <c r="L43" s="21">
        <f t="shared" si="4"/>
        <v>0</v>
      </c>
      <c r="M43" s="4">
        <f t="shared" si="14"/>
        <v>0</v>
      </c>
      <c r="N43" s="21">
        <f t="shared" si="5"/>
        <v>0</v>
      </c>
      <c r="O43" s="18">
        <f>(SQRT(4*O42*O42*vB*vB + 'Drilling Spec'!$C$48*O42 + WB*('Drilling Spec'!$C$49 + 2*lB*vB*(sB*WB + 2*vB*N43/(1+eB)) + 'Drilling Spec'!$C$50)) - 'Drilling Spec'!$C$51)/(2*vB)</f>
        <v>0</v>
      </c>
      <c r="P43" s="18">
        <f>IFERROR(((S43-'Drilling Spec'!$C$30)/'Drilling Spec'!$C$31)*'Drilling Spec'!$C$32,0)</f>
        <v>0</v>
      </c>
      <c r="Q43" s="18">
        <f t="shared" si="15"/>
        <v>0</v>
      </c>
      <c r="R43" s="18"/>
      <c r="S43" s="26" t="str">
        <f>IF(AND(OR(T42=0,T42=""),M43=0),IF(M44=0,"",'Drilling Spec'!$C$30),O43)</f>
        <v/>
      </c>
      <c r="U43" s="15">
        <f>E43*'Drilling Spec'!$C$22 + L43*'Drilling Spec'!$C$23</f>
        <v>0.32065040650406507</v>
      </c>
      <c r="V43" s="15">
        <f t="shared" si="16"/>
        <v>6.8939837398373971</v>
      </c>
      <c r="W43" s="15">
        <f t="shared" si="6"/>
        <v>5.1060162601626029</v>
      </c>
      <c r="X43" s="10"/>
      <c r="Y43" s="30">
        <f>IF(W43&lt;U44,'Drilling Spec'!$C$35,0)</f>
        <v>0</v>
      </c>
      <c r="AA43" s="4">
        <f t="shared" si="19"/>
        <v>22</v>
      </c>
      <c r="AB43" s="10"/>
      <c r="AC43" s="30">
        <f>IF('04-07-25-Scen6-Good,16hr'!K44&gt;'04-07-25-Scen6-Good,16hr'!AA43,'Drilling Spec'!$C$36,)</f>
        <v>6</v>
      </c>
      <c r="AE43" s="18">
        <f>(I43-'Drilling Spec'!$C$26)/'Drilling Spec'!$C$38</f>
        <v>55.572108316327423</v>
      </c>
      <c r="AF43" s="18">
        <f t="shared" si="7"/>
        <v>2.1370774545394795</v>
      </c>
      <c r="AG43" s="34">
        <f t="shared" si="8"/>
        <v>15.572108316327423</v>
      </c>
      <c r="AH43" s="10"/>
      <c r="AI43" s="26">
        <f>IF(C43="Camp Closed",AG43,IF(AG43&lt;'Drilling Spec'!$C$39,,'Drilling Spec'!$C$39))</f>
        <v>0</v>
      </c>
      <c r="AL43" s="16">
        <f t="shared" si="9"/>
        <v>-403.43264989796455</v>
      </c>
      <c r="AM43" s="16" t="e">
        <f t="shared" si="10"/>
        <v>#N/A</v>
      </c>
      <c r="AN43">
        <f>-'Drilling Spec'!$C$29</f>
        <v>-720</v>
      </c>
      <c r="AO43">
        <f>-'Drilling Spec'!$C$27</f>
        <v>-624</v>
      </c>
      <c r="AP43">
        <f>-'Drilling Spec'!$C$28</f>
        <v>-688</v>
      </c>
      <c r="AQ43" t="e">
        <f t="shared" si="11"/>
        <v>#N/A</v>
      </c>
      <c r="AR43" t="e">
        <f>IF(X43=0,NA(),-'Drilling Spec'!$C$29*0.1)</f>
        <v>#N/A</v>
      </c>
      <c r="AS43" t="e">
        <f>IF(Y43=0,NA(),-'Drilling Spec'!$C$29*0.1)</f>
        <v>#N/A</v>
      </c>
      <c r="AT43" t="e">
        <f>IF(AB43=0,NA(),-'Drilling Spec'!$C$29*0.2)</f>
        <v>#N/A</v>
      </c>
      <c r="AU43">
        <f>IF(AC43=0,NA(),-'Drilling Spec'!$C$29*0.2)</f>
        <v>-144</v>
      </c>
      <c r="AV43" t="e">
        <f>IF(AH43=0,NA(),-'Drilling Spec'!$C$29*0.3)</f>
        <v>#N/A</v>
      </c>
      <c r="AW43" t="e">
        <f>IF(AI43=0,NA(),-'Drilling Spec'!$C$29*0.3)</f>
        <v>#N/A</v>
      </c>
      <c r="AX43" s="29">
        <f t="shared" si="12"/>
        <v>5.1060162601626029</v>
      </c>
      <c r="AY43" s="29">
        <f t="shared" si="13"/>
        <v>0.43782334013569724</v>
      </c>
      <c r="AZ43" s="29">
        <f t="shared" si="17"/>
        <v>15.572108316327423</v>
      </c>
    </row>
    <row r="44" spans="1:79" x14ac:dyDescent="0.35">
      <c r="A44" s="28">
        <f t="shared" si="18"/>
        <v>46014</v>
      </c>
      <c r="B44" t="str">
        <f t="shared" si="0"/>
        <v>Tue</v>
      </c>
      <c r="C44" s="10" t="s">
        <v>9</v>
      </c>
      <c r="D44" s="10">
        <v>16</v>
      </c>
      <c r="E44" s="4">
        <f t="shared" si="1"/>
        <v>16</v>
      </c>
      <c r="F44" s="4">
        <f t="shared" si="2"/>
        <v>360</v>
      </c>
      <c r="G44" s="4">
        <f t="shared" si="3"/>
        <v>960</v>
      </c>
      <c r="H44" s="15">
        <f>(SQRT(4*I43*I43*V*V + 'Drilling Spec'!$C$42*I43 + W*('Drilling Spec'!$C$43 + 2*l*V*(s*W + 2*V*G44/(1+e)) + 'Drilling Spec'!$C$44)) - 'Drilling Spec'!$C$45)/(2*V)</f>
        <v>416.08107640916643</v>
      </c>
      <c r="I44" s="23">
        <f>IF(AND(OR(I43=0,I43=""),F44=0),IF(F45=0,"",'Drilling Spec'!$C$26),H44)</f>
        <v>416.08107640916643</v>
      </c>
      <c r="J44" s="16">
        <f>MAX(0,I44-'Drilling Spec'!$C$30)</f>
        <v>336.08107640916643</v>
      </c>
      <c r="K44" s="18">
        <f>IFERROR(J44/'Drilling Spec'!$C$31,0)</f>
        <v>22.405405093944427</v>
      </c>
      <c r="L44" s="21">
        <f t="shared" si="4"/>
        <v>0</v>
      </c>
      <c r="M44" s="4">
        <f t="shared" si="14"/>
        <v>0</v>
      </c>
      <c r="N44" s="21">
        <f t="shared" si="5"/>
        <v>0</v>
      </c>
      <c r="O44" s="18">
        <f>(SQRT(4*O43*O43*vB*vB + 'Drilling Spec'!$C$48*O43 + WB*('Drilling Spec'!$C$49 + 2*lB*vB*(sB*WB + 2*vB*N44/(1+eB)) + 'Drilling Spec'!$C$50)) - 'Drilling Spec'!$C$51)/(2*vB)</f>
        <v>0</v>
      </c>
      <c r="P44" s="18">
        <f>IFERROR(((S44-'Drilling Spec'!$C$30)/'Drilling Spec'!$C$31)*'Drilling Spec'!$C$32,0)</f>
        <v>0</v>
      </c>
      <c r="Q44" s="18">
        <f t="shared" si="15"/>
        <v>0</v>
      </c>
      <c r="R44" s="18"/>
      <c r="S44" s="26" t="str">
        <f>IF(AND(OR(T43=0,T43=""),M44=0),IF(M45=0,"",'Drilling Spec'!$C$30),O44)</f>
        <v/>
      </c>
      <c r="U44" s="15">
        <f>E44*'Drilling Spec'!$C$22 + L44*'Drilling Spec'!$C$23</f>
        <v>0.32065040650406507</v>
      </c>
      <c r="V44" s="15">
        <f t="shared" si="16"/>
        <v>7.2146341463414618</v>
      </c>
      <c r="W44" s="15">
        <f t="shared" si="6"/>
        <v>4.7853658536585382</v>
      </c>
      <c r="X44" s="10"/>
      <c r="Y44" s="30">
        <f>IF(W44&lt;U45,'Drilling Spec'!$C$35,0)</f>
        <v>0</v>
      </c>
      <c r="AA44" s="4">
        <f t="shared" si="19"/>
        <v>28</v>
      </c>
      <c r="AB44" s="10"/>
      <c r="AC44" s="30">
        <f>IF('04-07-25-Scen6-Good,16hr'!K45&gt;'04-07-25-Scen6-Good,16hr'!AA44,'Drilling Spec'!$C$36,)</f>
        <v>0</v>
      </c>
      <c r="AE44" s="18">
        <f>(I44-'Drilling Spec'!$C$26)/'Drilling Spec'!$C$38</f>
        <v>57.680179401527738</v>
      </c>
      <c r="AF44" s="18">
        <f t="shared" si="7"/>
        <v>2.1080710852003151</v>
      </c>
      <c r="AG44" s="34">
        <f t="shared" si="8"/>
        <v>17.680179401527738</v>
      </c>
      <c r="AH44" s="10"/>
      <c r="AI44" s="26">
        <f>IF(C44="Camp Closed",AG44,IF(AG44&lt;'Drilling Spec'!$C$39,,'Drilling Spec'!$C$39))</f>
        <v>0</v>
      </c>
      <c r="AL44" s="16">
        <f t="shared" si="9"/>
        <v>-416.08107640916643</v>
      </c>
      <c r="AM44" s="16" t="e">
        <f t="shared" si="10"/>
        <v>#N/A</v>
      </c>
      <c r="AN44">
        <f>-'Drilling Spec'!$C$29</f>
        <v>-720</v>
      </c>
      <c r="AO44">
        <f>-'Drilling Spec'!$C$27</f>
        <v>-624</v>
      </c>
      <c r="AP44">
        <f>-'Drilling Spec'!$C$28</f>
        <v>-688</v>
      </c>
      <c r="AQ44" t="e">
        <f t="shared" si="11"/>
        <v>#N/A</v>
      </c>
      <c r="AR44" t="e">
        <f>IF(X44=0,NA(),-'Drilling Spec'!$C$29*0.1)</f>
        <v>#N/A</v>
      </c>
      <c r="AS44" t="e">
        <f>IF(Y44=0,NA(),-'Drilling Spec'!$C$29*0.1)</f>
        <v>#N/A</v>
      </c>
      <c r="AT44" t="e">
        <f>IF(AB44=0,NA(),-'Drilling Spec'!$C$29*0.2)</f>
        <v>#N/A</v>
      </c>
      <c r="AU44" t="e">
        <f>IF(AC44=0,NA(),-'Drilling Spec'!$C$29*0.2)</f>
        <v>#N/A</v>
      </c>
      <c r="AV44" t="e">
        <f>IF(AH44=0,NA(),-'Drilling Spec'!$C$29*0.3)</f>
        <v>#N/A</v>
      </c>
      <c r="AW44" t="e">
        <f>IF(AI44=0,NA(),-'Drilling Spec'!$C$29*0.3)</f>
        <v>#N/A</v>
      </c>
      <c r="AX44" s="29">
        <f t="shared" si="12"/>
        <v>4.7853658536585382</v>
      </c>
      <c r="AY44" s="29">
        <f t="shared" si="13"/>
        <v>5.5945949060555726</v>
      </c>
      <c r="AZ44" s="29">
        <f t="shared" si="17"/>
        <v>17.680179401527738</v>
      </c>
    </row>
    <row r="45" spans="1:79" x14ac:dyDescent="0.35">
      <c r="A45" s="28">
        <f t="shared" si="18"/>
        <v>46015</v>
      </c>
      <c r="B45" t="str">
        <f t="shared" si="0"/>
        <v>Wed</v>
      </c>
      <c r="C45" s="10" t="s">
        <v>9</v>
      </c>
      <c r="D45" s="10">
        <v>16</v>
      </c>
      <c r="E45" s="4">
        <f t="shared" si="1"/>
        <v>16</v>
      </c>
      <c r="F45" s="4">
        <f t="shared" si="2"/>
        <v>376</v>
      </c>
      <c r="G45" s="4">
        <f t="shared" si="3"/>
        <v>960</v>
      </c>
      <c r="H45" s="15">
        <f>(SQRT(4*I44*I44*V*V + 'Drilling Spec'!$C$42*I44 + W*('Drilling Spec'!$C$43 + 2*l*V*(s*W + 2*V*G45/(1+e)) + 'Drilling Spec'!$C$44)) - 'Drilling Spec'!$C$45)/(2*V)</f>
        <v>428.56236463615431</v>
      </c>
      <c r="I45" s="23">
        <f>IF(AND(OR(I44=0,I44=""),F45=0),IF(F46=0,"",'Drilling Spec'!$C$26),H45)</f>
        <v>428.56236463615431</v>
      </c>
      <c r="J45" s="16">
        <f>MAX(0,I45-'Drilling Spec'!$C$30)</f>
        <v>348.56236463615431</v>
      </c>
      <c r="K45" s="18">
        <f>IFERROR(J45/'Drilling Spec'!$C$31,0)</f>
        <v>23.237490975743622</v>
      </c>
      <c r="L45" s="21">
        <f t="shared" si="4"/>
        <v>0</v>
      </c>
      <c r="M45" s="4">
        <f t="shared" si="14"/>
        <v>0</v>
      </c>
      <c r="N45" s="21">
        <f t="shared" si="5"/>
        <v>0</v>
      </c>
      <c r="O45" s="18">
        <f>(SQRT(4*O44*O44*vB*vB + 'Drilling Spec'!$C$48*O44 + WB*('Drilling Spec'!$C$49 + 2*lB*vB*(sB*WB + 2*vB*N45/(1+eB)) + 'Drilling Spec'!$C$50)) - 'Drilling Spec'!$C$51)/(2*vB)</f>
        <v>0</v>
      </c>
      <c r="P45" s="18">
        <f>IFERROR(((S45-'Drilling Spec'!$C$30)/'Drilling Spec'!$C$31)*'Drilling Spec'!$C$32,0)</f>
        <v>0</v>
      </c>
      <c r="Q45" s="18">
        <f t="shared" si="15"/>
        <v>0</v>
      </c>
      <c r="R45" s="18"/>
      <c r="S45" s="26" t="str">
        <f>IF(AND(OR(T44=0,T44=""),M45=0),IF(M46=0,"",'Drilling Spec'!$C$30),O45)</f>
        <v/>
      </c>
      <c r="U45" s="15">
        <f>E45*'Drilling Spec'!$C$22 + L45*'Drilling Spec'!$C$23</f>
        <v>0.32065040650406507</v>
      </c>
      <c r="V45" s="15">
        <f t="shared" si="16"/>
        <v>7.5352845528455266</v>
      </c>
      <c r="W45" s="15">
        <f t="shared" si="6"/>
        <v>4.4647154471544734</v>
      </c>
      <c r="X45" s="10"/>
      <c r="Y45" s="30">
        <f>IF(W45&lt;U46,'Drilling Spec'!$C$35,0)</f>
        <v>0</v>
      </c>
      <c r="AA45" s="4">
        <f t="shared" si="19"/>
        <v>28</v>
      </c>
      <c r="AB45" s="10"/>
      <c r="AC45" s="30">
        <f>IF('04-07-25-Scen6-Good,16hr'!K46&gt;'04-07-25-Scen6-Good,16hr'!AA45,'Drilling Spec'!$C$36,)</f>
        <v>0</v>
      </c>
      <c r="AE45" s="18">
        <f>(I45-'Drilling Spec'!$C$26)/'Drilling Spec'!$C$38</f>
        <v>59.760394106025721</v>
      </c>
      <c r="AF45" s="18">
        <f t="shared" si="7"/>
        <v>2.0802147044979833</v>
      </c>
      <c r="AG45" s="34">
        <f t="shared" si="8"/>
        <v>19.760394106025721</v>
      </c>
      <c r="AH45" s="10"/>
      <c r="AI45" s="26">
        <f>IF(C45="Camp Closed",AG45,IF(AG45&lt;'Drilling Spec'!$C$39,,'Drilling Spec'!$C$39))</f>
        <v>0</v>
      </c>
      <c r="AL45" s="16">
        <f t="shared" si="9"/>
        <v>-428.56236463615431</v>
      </c>
      <c r="AM45" s="16" t="e">
        <f t="shared" si="10"/>
        <v>#N/A</v>
      </c>
      <c r="AN45">
        <f>-'Drilling Spec'!$C$29</f>
        <v>-720</v>
      </c>
      <c r="AO45">
        <f>-'Drilling Spec'!$C$27</f>
        <v>-624</v>
      </c>
      <c r="AP45">
        <f>-'Drilling Spec'!$C$28</f>
        <v>-688</v>
      </c>
      <c r="AQ45" t="e">
        <f t="shared" si="11"/>
        <v>#N/A</v>
      </c>
      <c r="AR45" t="e">
        <f>IF(X45=0,NA(),-'Drilling Spec'!$C$29*0.1)</f>
        <v>#N/A</v>
      </c>
      <c r="AS45" t="e">
        <f>IF(Y45=0,NA(),-'Drilling Spec'!$C$29*0.1)</f>
        <v>#N/A</v>
      </c>
      <c r="AT45" t="e">
        <f>IF(AB45=0,NA(),-'Drilling Spec'!$C$29*0.2)</f>
        <v>#N/A</v>
      </c>
      <c r="AU45" t="e">
        <f>IF(AC45=0,NA(),-'Drilling Spec'!$C$29*0.2)</f>
        <v>#N/A</v>
      </c>
      <c r="AV45" t="e">
        <f>IF(AH45=0,NA(),-'Drilling Spec'!$C$29*0.3)</f>
        <v>#N/A</v>
      </c>
      <c r="AW45" t="e">
        <f>IF(AI45=0,NA(),-'Drilling Spec'!$C$29*0.3)</f>
        <v>#N/A</v>
      </c>
      <c r="AX45" s="29">
        <f t="shared" si="12"/>
        <v>4.4647154471544734</v>
      </c>
      <c r="AY45" s="29">
        <f t="shared" si="13"/>
        <v>4.7625090242563779</v>
      </c>
      <c r="AZ45" s="29">
        <f t="shared" si="17"/>
        <v>19.760394106025721</v>
      </c>
    </row>
    <row r="46" spans="1:79" x14ac:dyDescent="0.35">
      <c r="A46" s="28">
        <f t="shared" si="18"/>
        <v>46016</v>
      </c>
      <c r="B46" t="str">
        <f t="shared" si="0"/>
        <v>Thu</v>
      </c>
      <c r="C46" s="10" t="s">
        <v>7</v>
      </c>
      <c r="D46" s="10">
        <v>0</v>
      </c>
      <c r="E46" s="4">
        <f t="shared" si="1"/>
        <v>0</v>
      </c>
      <c r="F46" s="4">
        <f t="shared" si="2"/>
        <v>376</v>
      </c>
      <c r="G46" s="4">
        <f t="shared" si="3"/>
        <v>0</v>
      </c>
      <c r="H46" s="15">
        <f>(SQRT(4*I45*I45*V*V + 'Drilling Spec'!$C$42*I45 + W*('Drilling Spec'!$C$43 + 2*l*V*(s*W + 2*V*G46/(1+e)) + 'Drilling Spec'!$C$44)) - 'Drilling Spec'!$C$45)/(2*V)</f>
        <v>428.56236463615431</v>
      </c>
      <c r="I46" s="23">
        <f>IF(AND(OR(I45=0,I45=""),F46=0),IF(F47=0,"",'Drilling Spec'!$C$26),H46)</f>
        <v>428.56236463615431</v>
      </c>
      <c r="J46" s="16">
        <f>MAX(0,I46-'Drilling Spec'!$C$30)</f>
        <v>348.56236463615431</v>
      </c>
      <c r="K46" s="18">
        <f>IFERROR(J46/'Drilling Spec'!$C$31,0)</f>
        <v>23.237490975743622</v>
      </c>
      <c r="L46" s="21">
        <f t="shared" si="4"/>
        <v>0</v>
      </c>
      <c r="M46" s="4">
        <f t="shared" si="14"/>
        <v>0</v>
      </c>
      <c r="N46" s="21">
        <f t="shared" si="5"/>
        <v>0</v>
      </c>
      <c r="O46" s="18">
        <f>(SQRT(4*O45*O45*vB*vB + 'Drilling Spec'!$C$48*O45 + WB*('Drilling Spec'!$C$49 + 2*lB*vB*(sB*WB + 2*vB*N46/(1+eB)) + 'Drilling Spec'!$C$50)) - 'Drilling Spec'!$C$51)/(2*vB)</f>
        <v>0</v>
      </c>
      <c r="P46" s="18">
        <f>IFERROR(((S46-'Drilling Spec'!$C$30)/'Drilling Spec'!$C$31)*'Drilling Spec'!$C$32,0)</f>
        <v>0</v>
      </c>
      <c r="Q46" s="18">
        <f t="shared" si="15"/>
        <v>0</v>
      </c>
      <c r="R46" s="18"/>
      <c r="S46" s="26" t="str">
        <f>IF(AND(OR(T45=0,T45=""),M46=0),IF(M47=0,"",'Drilling Spec'!$C$30),O46)</f>
        <v/>
      </c>
      <c r="U46" s="15">
        <f>E46*'Drilling Spec'!$C$22 + L46*'Drilling Spec'!$C$23</f>
        <v>0</v>
      </c>
      <c r="V46" s="15">
        <f t="shared" si="16"/>
        <v>7.5352845528455266</v>
      </c>
      <c r="W46" s="15">
        <f t="shared" si="6"/>
        <v>4.4647154471544734</v>
      </c>
      <c r="X46" s="10"/>
      <c r="Y46" s="30">
        <f>IF(W46&lt;U47,'Drilling Spec'!$C$35,0)</f>
        <v>0</v>
      </c>
      <c r="AA46" s="4">
        <f t="shared" si="19"/>
        <v>28</v>
      </c>
      <c r="AB46" s="10"/>
      <c r="AC46" s="30">
        <f>IF('04-07-25-Scen6-Good,16hr'!K47&gt;'04-07-25-Scen6-Good,16hr'!AA46,'Drilling Spec'!$C$36,)</f>
        <v>0</v>
      </c>
      <c r="AE46" s="18">
        <f>(I46-'Drilling Spec'!$C$26)/'Drilling Spec'!$C$38</f>
        <v>59.760394106025721</v>
      </c>
      <c r="AF46" s="18">
        <f t="shared" si="7"/>
        <v>0</v>
      </c>
      <c r="AG46" s="34">
        <f t="shared" si="8"/>
        <v>19.760394106025721</v>
      </c>
      <c r="AH46" s="10"/>
      <c r="AI46" s="26">
        <f>IF(C46="Camp Closed",AG46,IF(AG46&lt;'Drilling Spec'!$C$39,,'Drilling Spec'!$C$39))</f>
        <v>0</v>
      </c>
      <c r="AL46" s="16">
        <f t="shared" si="9"/>
        <v>-428.56236463615431</v>
      </c>
      <c r="AM46" s="16" t="e">
        <f t="shared" si="10"/>
        <v>#N/A</v>
      </c>
      <c r="AN46">
        <f>-'Drilling Spec'!$C$29</f>
        <v>-720</v>
      </c>
      <c r="AO46">
        <f>-'Drilling Spec'!$C$27</f>
        <v>-624</v>
      </c>
      <c r="AP46">
        <f>-'Drilling Spec'!$C$28</f>
        <v>-688</v>
      </c>
      <c r="AQ46" t="e">
        <f t="shared" si="11"/>
        <v>#N/A</v>
      </c>
      <c r="AR46" t="e">
        <f>IF(X46=0,NA(),-'Drilling Spec'!$C$29*0.1)</f>
        <v>#N/A</v>
      </c>
      <c r="AS46" t="e">
        <f>IF(Y46=0,NA(),-'Drilling Spec'!$C$29*0.1)</f>
        <v>#N/A</v>
      </c>
      <c r="AT46" t="e">
        <f>IF(AB46=0,NA(),-'Drilling Spec'!$C$29*0.2)</f>
        <v>#N/A</v>
      </c>
      <c r="AU46" t="e">
        <f>IF(AC46=0,NA(),-'Drilling Spec'!$C$29*0.2)</f>
        <v>#N/A</v>
      </c>
      <c r="AV46" t="e">
        <f>IF(AH46=0,NA(),-'Drilling Spec'!$C$29*0.3)</f>
        <v>#N/A</v>
      </c>
      <c r="AW46" t="e">
        <f>IF(AI46=0,NA(),-'Drilling Spec'!$C$29*0.3)</f>
        <v>#N/A</v>
      </c>
      <c r="AX46" s="29">
        <f t="shared" si="12"/>
        <v>4.4647154471544734</v>
      </c>
      <c r="AY46" s="29">
        <f t="shared" si="13"/>
        <v>4.7625090242563779</v>
      </c>
      <c r="AZ46" s="29">
        <f t="shared" si="17"/>
        <v>19.760394106025721</v>
      </c>
      <c r="BA46" s="5" t="s">
        <v>110</v>
      </c>
      <c r="BB46" s="5">
        <f>COUNTIF(C3:C112,"Drilling")</f>
        <v>52</v>
      </c>
      <c r="BC46" s="5" t="s">
        <v>112</v>
      </c>
      <c r="BD46" s="5">
        <f>MAX(F3:F112)</f>
        <v>808</v>
      </c>
      <c r="BE46" s="5" t="s">
        <v>111</v>
      </c>
    </row>
    <row r="47" spans="1:79" x14ac:dyDescent="0.35">
      <c r="A47" s="28">
        <f t="shared" si="18"/>
        <v>46017</v>
      </c>
      <c r="B47" t="str">
        <f t="shared" si="0"/>
        <v>Fri</v>
      </c>
      <c r="C47" s="10" t="s">
        <v>9</v>
      </c>
      <c r="D47" s="10">
        <v>16</v>
      </c>
      <c r="E47" s="4">
        <f t="shared" si="1"/>
        <v>16</v>
      </c>
      <c r="F47" s="4">
        <f t="shared" si="2"/>
        <v>392</v>
      </c>
      <c r="G47" s="4">
        <f t="shared" si="3"/>
        <v>960</v>
      </c>
      <c r="H47" s="15">
        <f>(SQRT(4*I46*I46*V*V + 'Drilling Spec'!$C$42*I46 + W*('Drilling Spec'!$C$43 + 2*l*V*(s*W + 2*V*G47/(1+e)) + 'Drilling Spec'!$C$44)) - 'Drilling Spec'!$C$45)/(2*V)</f>
        <v>440.88297028873444</v>
      </c>
      <c r="I47" s="23">
        <f>IF(AND(OR(I46=0,I46=""),F47=0),IF(F48=0,"",'Drilling Spec'!$C$26),H47)</f>
        <v>440.88297028873444</v>
      </c>
      <c r="J47" s="16">
        <f>MAX(0,I47-'Drilling Spec'!$C$30)</f>
        <v>360.88297028873444</v>
      </c>
      <c r="K47" s="18">
        <f>IFERROR(J47/'Drilling Spec'!$C$31,0)</f>
        <v>24.05886468591563</v>
      </c>
      <c r="L47" s="21">
        <f t="shared" si="4"/>
        <v>0</v>
      </c>
      <c r="M47" s="4">
        <f t="shared" si="14"/>
        <v>0</v>
      </c>
      <c r="N47" s="21">
        <f t="shared" si="5"/>
        <v>0</v>
      </c>
      <c r="O47" s="18">
        <f>(SQRT(4*O46*O46*vB*vB + 'Drilling Spec'!$C$48*O46 + WB*('Drilling Spec'!$C$49 + 2*lB*vB*(sB*WB + 2*vB*N47/(1+eB)) + 'Drilling Spec'!$C$50)) - 'Drilling Spec'!$C$51)/(2*vB)</f>
        <v>0</v>
      </c>
      <c r="P47" s="18">
        <f>IFERROR(((S47-'Drilling Spec'!$C$30)/'Drilling Spec'!$C$31)*'Drilling Spec'!$C$32,0)</f>
        <v>0</v>
      </c>
      <c r="Q47" s="18">
        <f t="shared" si="15"/>
        <v>0</v>
      </c>
      <c r="R47" s="18"/>
      <c r="S47" s="26" t="str">
        <f>IF(AND(OR(T46=0,T46=""),M47=0),IF(M48=0,"",'Drilling Spec'!$C$30),O47)</f>
        <v/>
      </c>
      <c r="U47" s="15">
        <f>E47*'Drilling Spec'!$C$22 + L47*'Drilling Spec'!$C$23</f>
        <v>0.32065040650406507</v>
      </c>
      <c r="V47" s="15">
        <f t="shared" si="16"/>
        <v>7.8559349593495913</v>
      </c>
      <c r="W47" s="15">
        <f t="shared" si="6"/>
        <v>4.1440650406504087</v>
      </c>
      <c r="X47" s="10"/>
      <c r="Y47" s="30">
        <f>IF(W47&lt;U48,'Drilling Spec'!$C$35,0)</f>
        <v>0</v>
      </c>
      <c r="AA47" s="4">
        <f t="shared" si="19"/>
        <v>28</v>
      </c>
      <c r="AB47" s="10"/>
      <c r="AC47" s="30">
        <f>IF('04-07-25-Scen6-Good,16hr'!K48&gt;'04-07-25-Scen6-Good,16hr'!AA47,'Drilling Spec'!$C$36,)</f>
        <v>0</v>
      </c>
      <c r="AE47" s="18">
        <f>(I47-'Drilling Spec'!$C$26)/'Drilling Spec'!$C$38</f>
        <v>61.813828381455743</v>
      </c>
      <c r="AF47" s="18">
        <f t="shared" si="7"/>
        <v>2.0534342754300212</v>
      </c>
      <c r="AG47" s="34">
        <f t="shared" si="8"/>
        <v>21.813828381455743</v>
      </c>
      <c r="AH47" s="10"/>
      <c r="AI47" s="26">
        <f>IF(C47="Camp Closed",AG47,IF(AG47&lt;'Drilling Spec'!$C$39,,'Drilling Spec'!$C$39))</f>
        <v>20</v>
      </c>
      <c r="AL47" s="16">
        <f t="shared" si="9"/>
        <v>-440.88297028873444</v>
      </c>
      <c r="AM47" s="16" t="e">
        <f t="shared" si="10"/>
        <v>#N/A</v>
      </c>
      <c r="AN47">
        <f>-'Drilling Spec'!$C$29</f>
        <v>-720</v>
      </c>
      <c r="AO47">
        <f>-'Drilling Spec'!$C$27</f>
        <v>-624</v>
      </c>
      <c r="AP47">
        <f>-'Drilling Spec'!$C$28</f>
        <v>-688</v>
      </c>
      <c r="AQ47" t="e">
        <f t="shared" si="11"/>
        <v>#N/A</v>
      </c>
      <c r="AR47" t="e">
        <f>IF(X47=0,NA(),-'Drilling Spec'!$C$29*0.1)</f>
        <v>#N/A</v>
      </c>
      <c r="AS47" t="e">
        <f>IF(Y47=0,NA(),-'Drilling Spec'!$C$29*0.1)</f>
        <v>#N/A</v>
      </c>
      <c r="AT47" t="e">
        <f>IF(AB47=0,NA(),-'Drilling Spec'!$C$29*0.2)</f>
        <v>#N/A</v>
      </c>
      <c r="AU47" t="e">
        <f>IF(AC47=0,NA(),-'Drilling Spec'!$C$29*0.2)</f>
        <v>#N/A</v>
      </c>
      <c r="AV47" t="e">
        <f>IF(AH47=0,NA(),-'Drilling Spec'!$C$29*0.3)</f>
        <v>#N/A</v>
      </c>
      <c r="AW47">
        <f>IF(AI47=0,NA(),-'Drilling Spec'!$C$29*0.3)</f>
        <v>-216</v>
      </c>
      <c r="AX47" s="29">
        <f t="shared" si="12"/>
        <v>4.1440650406504087</v>
      </c>
      <c r="AY47" s="29">
        <f t="shared" si="13"/>
        <v>3.9411353140843701</v>
      </c>
      <c r="AZ47" s="29">
        <f t="shared" si="17"/>
        <v>21.813828381455743</v>
      </c>
      <c r="BA47" s="5" t="s">
        <v>109</v>
      </c>
      <c r="BB47" s="5">
        <f>COUNTIF(C3:C112,"Bailing")</f>
        <v>9</v>
      </c>
      <c r="BC47" s="5" t="s">
        <v>112</v>
      </c>
      <c r="BD47" s="5">
        <f>MAX(M3:M112)</f>
        <v>131</v>
      </c>
      <c r="BE47" s="5" t="s">
        <v>111</v>
      </c>
    </row>
    <row r="48" spans="1:79" x14ac:dyDescent="0.35">
      <c r="A48" s="28">
        <f t="shared" si="18"/>
        <v>46018</v>
      </c>
      <c r="B48" t="str">
        <f t="shared" si="0"/>
        <v>Sat</v>
      </c>
      <c r="C48" s="10" t="s">
        <v>9</v>
      </c>
      <c r="D48" s="10">
        <v>16</v>
      </c>
      <c r="E48" s="4">
        <f t="shared" si="1"/>
        <v>16</v>
      </c>
      <c r="F48" s="4">
        <f t="shared" si="2"/>
        <v>408</v>
      </c>
      <c r="G48" s="4">
        <f t="shared" si="3"/>
        <v>960</v>
      </c>
      <c r="H48" s="15">
        <f>(SQRT(4*I47*I47*V*V + 'Drilling Spec'!$C$42*I47 + W*('Drilling Spec'!$C$43 + 2*l*V*(s*W + 2*V*G48/(1+e)) + 'Drilling Spec'!$C$44)) - 'Drilling Spec'!$C$45)/(2*V)</f>
        <v>453.04894389157988</v>
      </c>
      <c r="I48" s="23">
        <f>IF(AND(OR(I47=0,I47=""),F48=0),IF(F49=0,"",'Drilling Spec'!$C$26),H48)</f>
        <v>453.04894389157988</v>
      </c>
      <c r="J48" s="16">
        <f>MAX(0,I48-'Drilling Spec'!$C$30)</f>
        <v>373.04894389157988</v>
      </c>
      <c r="K48" s="18">
        <f>IFERROR(J48/'Drilling Spec'!$C$31,0)</f>
        <v>24.869929592771992</v>
      </c>
      <c r="L48" s="21">
        <f t="shared" si="4"/>
        <v>0</v>
      </c>
      <c r="M48" s="4">
        <f t="shared" si="14"/>
        <v>0</v>
      </c>
      <c r="N48" s="21">
        <f t="shared" si="5"/>
        <v>0</v>
      </c>
      <c r="O48" s="18">
        <f>(SQRT(4*O47*O47*vB*vB + 'Drilling Spec'!$C$48*O47 + WB*('Drilling Spec'!$C$49 + 2*lB*vB*(sB*WB + 2*vB*N48/(1+eB)) + 'Drilling Spec'!$C$50)) - 'Drilling Spec'!$C$51)/(2*vB)</f>
        <v>0</v>
      </c>
      <c r="P48" s="18">
        <f>IFERROR(((S48-'Drilling Spec'!$C$30)/'Drilling Spec'!$C$31)*'Drilling Spec'!$C$32,0)</f>
        <v>0</v>
      </c>
      <c r="Q48" s="18">
        <f t="shared" si="15"/>
        <v>0</v>
      </c>
      <c r="R48" s="18"/>
      <c r="S48" s="26" t="str">
        <f>IF(AND(OR(T47=0,T47=""),M48=0),IF(M49=0,"",'Drilling Spec'!$C$30),O48)</f>
        <v/>
      </c>
      <c r="U48" s="15">
        <f>E48*'Drilling Spec'!$C$22 + L48*'Drilling Spec'!$C$23</f>
        <v>0.32065040650406507</v>
      </c>
      <c r="V48" s="15">
        <f t="shared" si="16"/>
        <v>8.176585365853656</v>
      </c>
      <c r="W48" s="15">
        <f t="shared" si="6"/>
        <v>3.8234146341463435</v>
      </c>
      <c r="X48" s="10"/>
      <c r="Y48" s="30">
        <f>IF(W48&lt;U49,'Drilling Spec'!$C$35,0)</f>
        <v>0</v>
      </c>
      <c r="AA48" s="4">
        <f t="shared" si="19"/>
        <v>28</v>
      </c>
      <c r="AB48" s="10"/>
      <c r="AC48" s="30">
        <f>IF('04-07-25-Scen6-Good,16hr'!K49&gt;'04-07-25-Scen6-Good,16hr'!AA48,'Drilling Spec'!$C$36,)</f>
        <v>0</v>
      </c>
      <c r="AE48" s="18">
        <f>(I48-'Drilling Spec'!$C$26)/'Drilling Spec'!$C$38</f>
        <v>63.841490648596647</v>
      </c>
      <c r="AF48" s="18">
        <f t="shared" si="7"/>
        <v>2.0276622671409044</v>
      </c>
      <c r="AG48" s="34">
        <f t="shared" si="8"/>
        <v>3.8414906485966469</v>
      </c>
      <c r="AH48" s="10"/>
      <c r="AI48" s="26">
        <f>IF(C48="Camp Closed",AG48,IF(AG48&lt;'Drilling Spec'!$C$39,,'Drilling Spec'!$C$39))</f>
        <v>0</v>
      </c>
      <c r="AL48" s="16">
        <f t="shared" si="9"/>
        <v>-453.04894389157988</v>
      </c>
      <c r="AM48" s="16" t="e">
        <f t="shared" si="10"/>
        <v>#N/A</v>
      </c>
      <c r="AN48">
        <f>-'Drilling Spec'!$C$29</f>
        <v>-720</v>
      </c>
      <c r="AO48">
        <f>-'Drilling Spec'!$C$27</f>
        <v>-624</v>
      </c>
      <c r="AP48">
        <f>-'Drilling Spec'!$C$28</f>
        <v>-688</v>
      </c>
      <c r="AQ48" t="e">
        <f t="shared" si="11"/>
        <v>#N/A</v>
      </c>
      <c r="AR48" t="e">
        <f>IF(X48=0,NA(),-'Drilling Spec'!$C$29*0.1)</f>
        <v>#N/A</v>
      </c>
      <c r="AS48" t="e">
        <f>IF(Y48=0,NA(),-'Drilling Spec'!$C$29*0.1)</f>
        <v>#N/A</v>
      </c>
      <c r="AT48" t="e">
        <f>IF(AB48=0,NA(),-'Drilling Spec'!$C$29*0.2)</f>
        <v>#N/A</v>
      </c>
      <c r="AU48" t="e">
        <f>IF(AC48=0,NA(),-'Drilling Spec'!$C$29*0.2)</f>
        <v>#N/A</v>
      </c>
      <c r="AV48" t="e">
        <f>IF(AH48=0,NA(),-'Drilling Spec'!$C$29*0.3)</f>
        <v>#N/A</v>
      </c>
      <c r="AW48" t="e">
        <f>IF(AI48=0,NA(),-'Drilling Spec'!$C$29*0.3)</f>
        <v>#N/A</v>
      </c>
      <c r="AX48" s="29">
        <f t="shared" si="12"/>
        <v>3.8234146341463435</v>
      </c>
      <c r="AY48" s="29">
        <f t="shared" si="13"/>
        <v>3.1300704072280077</v>
      </c>
      <c r="AZ48" s="29">
        <f t="shared" si="17"/>
        <v>3.8414906485966469</v>
      </c>
    </row>
    <row r="49" spans="1:57" x14ac:dyDescent="0.35">
      <c r="A49" s="28">
        <f t="shared" si="18"/>
        <v>46019</v>
      </c>
      <c r="B49" t="str">
        <f t="shared" si="0"/>
        <v>Sun</v>
      </c>
      <c r="C49" s="10" t="s">
        <v>9</v>
      </c>
      <c r="D49" s="10">
        <v>16</v>
      </c>
      <c r="E49" s="4">
        <f t="shared" si="1"/>
        <v>16</v>
      </c>
      <c r="F49" s="4">
        <f t="shared" si="2"/>
        <v>424</v>
      </c>
      <c r="G49" s="4">
        <f t="shared" si="3"/>
        <v>960</v>
      </c>
      <c r="H49" s="15">
        <f>(SQRT(4*I48*I48*V*V + 'Drilling Spec'!$C$42*I48 + W*('Drilling Spec'!$C$43 + 2*l*V*(s*W + 2*V*G49/(1+e)) + 'Drilling Spec'!$C$44)) - 'Drilling Spec'!$C$45)/(2*V)</f>
        <v>465.06596551824731</v>
      </c>
      <c r="I49" s="23">
        <f>IF(AND(OR(I48=0,I48=""),F49=0),IF(F50=0,"",'Drilling Spec'!$C$26),H49)</f>
        <v>465.06596551824731</v>
      </c>
      <c r="J49" s="16">
        <f>MAX(0,I49-'Drilling Spec'!$C$30)</f>
        <v>385.06596551824731</v>
      </c>
      <c r="K49" s="18">
        <f>IFERROR(J49/'Drilling Spec'!$C$31,0)</f>
        <v>25.671064367883154</v>
      </c>
      <c r="L49" s="21">
        <f t="shared" si="4"/>
        <v>0</v>
      </c>
      <c r="M49" s="4">
        <f t="shared" si="14"/>
        <v>0</v>
      </c>
      <c r="N49" s="21">
        <f t="shared" si="5"/>
        <v>0</v>
      </c>
      <c r="O49" s="18">
        <f>(SQRT(4*O48*O48*vB*vB + 'Drilling Spec'!$C$48*O48 + WB*('Drilling Spec'!$C$49 + 2*lB*vB*(sB*WB + 2*vB*N49/(1+eB)) + 'Drilling Spec'!$C$50)) - 'Drilling Spec'!$C$51)/(2*vB)</f>
        <v>0</v>
      </c>
      <c r="P49" s="18">
        <f>IFERROR(((S49-'Drilling Spec'!$C$30)/'Drilling Spec'!$C$31)*'Drilling Spec'!$C$32,0)</f>
        <v>0</v>
      </c>
      <c r="Q49" s="18">
        <f t="shared" si="15"/>
        <v>0</v>
      </c>
      <c r="R49" s="18"/>
      <c r="S49" s="26" t="str">
        <f>IF(AND(OR(T48=0,T48=""),M49=0),IF(M50=0,"",'Drilling Spec'!$C$30),O49)</f>
        <v/>
      </c>
      <c r="U49" s="15">
        <f>E49*'Drilling Spec'!$C$22 + L49*'Drilling Spec'!$C$23</f>
        <v>0.32065040650406507</v>
      </c>
      <c r="V49" s="15">
        <f t="shared" si="16"/>
        <v>8.4972357723577208</v>
      </c>
      <c r="W49" s="15">
        <f t="shared" si="6"/>
        <v>3.5027642276422783</v>
      </c>
      <c r="X49" s="10"/>
      <c r="Y49" s="30">
        <f>IF(W49&lt;U50,'Drilling Spec'!$C$35,0)</f>
        <v>0</v>
      </c>
      <c r="AA49" s="4">
        <f t="shared" si="19"/>
        <v>28</v>
      </c>
      <c r="AB49" s="10"/>
      <c r="AC49" s="30">
        <f>IF('04-07-25-Scen6-Good,16hr'!K50&gt;'04-07-25-Scen6-Good,16hr'!AA49,'Drilling Spec'!$C$36,)</f>
        <v>0</v>
      </c>
      <c r="AE49" s="18">
        <f>(I49-'Drilling Spec'!$C$26)/'Drilling Spec'!$C$38</f>
        <v>65.844327586374547</v>
      </c>
      <c r="AF49" s="18">
        <f t="shared" si="7"/>
        <v>2.0028369377779001</v>
      </c>
      <c r="AG49" s="34">
        <f t="shared" si="8"/>
        <v>5.844327586374547</v>
      </c>
      <c r="AH49" s="10"/>
      <c r="AI49" s="26">
        <f>IF(C49="Camp Closed",AG49,IF(AG49&lt;'Drilling Spec'!$C$39,,'Drilling Spec'!$C$39))</f>
        <v>0</v>
      </c>
      <c r="AL49" s="16">
        <f t="shared" si="9"/>
        <v>-465.06596551824731</v>
      </c>
      <c r="AM49" s="16" t="e">
        <f t="shared" si="10"/>
        <v>#N/A</v>
      </c>
      <c r="AN49">
        <f>-'Drilling Spec'!$C$29</f>
        <v>-720</v>
      </c>
      <c r="AO49">
        <f>-'Drilling Spec'!$C$27</f>
        <v>-624</v>
      </c>
      <c r="AP49">
        <f>-'Drilling Spec'!$C$28</f>
        <v>-688</v>
      </c>
      <c r="AQ49" t="e">
        <f t="shared" si="11"/>
        <v>#N/A</v>
      </c>
      <c r="AR49" t="e">
        <f>IF(X49=0,NA(),-'Drilling Spec'!$C$29*0.1)</f>
        <v>#N/A</v>
      </c>
      <c r="AS49" t="e">
        <f>IF(Y49=0,NA(),-'Drilling Spec'!$C$29*0.1)</f>
        <v>#N/A</v>
      </c>
      <c r="AT49" t="e">
        <f>IF(AB49=0,NA(),-'Drilling Spec'!$C$29*0.2)</f>
        <v>#N/A</v>
      </c>
      <c r="AU49" t="e">
        <f>IF(AC49=0,NA(),-'Drilling Spec'!$C$29*0.2)</f>
        <v>#N/A</v>
      </c>
      <c r="AV49" t="e">
        <f>IF(AH49=0,NA(),-'Drilling Spec'!$C$29*0.3)</f>
        <v>#N/A</v>
      </c>
      <c r="AW49" t="e">
        <f>IF(AI49=0,NA(),-'Drilling Spec'!$C$29*0.3)</f>
        <v>#N/A</v>
      </c>
      <c r="AX49" s="29">
        <f t="shared" si="12"/>
        <v>3.5027642276422783</v>
      </c>
      <c r="AY49" s="29">
        <f t="shared" si="13"/>
        <v>2.3289356321168455</v>
      </c>
      <c r="AZ49" s="29">
        <f t="shared" si="17"/>
        <v>5.844327586374547</v>
      </c>
      <c r="BA49" s="5" t="s">
        <v>117</v>
      </c>
      <c r="BB49" s="5">
        <f>BB52-BB50</f>
        <v>79</v>
      </c>
      <c r="BC49" s="5" t="s">
        <v>112</v>
      </c>
      <c r="BD49" s="5">
        <f>SUM(D3:D112)</f>
        <v>1167</v>
      </c>
      <c r="BE49" s="5" t="s">
        <v>111</v>
      </c>
    </row>
    <row r="50" spans="1:57" x14ac:dyDescent="0.35">
      <c r="A50" s="28">
        <f t="shared" si="18"/>
        <v>46020</v>
      </c>
      <c r="B50" t="str">
        <f t="shared" si="0"/>
        <v>Mon</v>
      </c>
      <c r="C50" s="10" t="s">
        <v>9</v>
      </c>
      <c r="D50" s="10">
        <v>16</v>
      </c>
      <c r="E50" s="4">
        <f t="shared" si="1"/>
        <v>16</v>
      </c>
      <c r="F50" s="4">
        <f t="shared" si="2"/>
        <v>440</v>
      </c>
      <c r="G50" s="4">
        <f t="shared" si="3"/>
        <v>960</v>
      </c>
      <c r="H50" s="15">
        <f>(SQRT(4*I49*I49*V*V + 'Drilling Spec'!$C$42*I49 + W*('Drilling Spec'!$C$43 + 2*l*V*(s*W + 2*V*G50/(1+e)) + 'Drilling Spec'!$C$44)) - 'Drilling Spec'!$C$45)/(2*V)</f>
        <v>476.93937578819299</v>
      </c>
      <c r="I50" s="23">
        <f>IF(AND(OR(I49=0,I49=""),F50=0),IF(F51=0,"",'Drilling Spec'!$C$26),H50)</f>
        <v>476.93937578819299</v>
      </c>
      <c r="J50" s="16">
        <f>MAX(0,I50-'Drilling Spec'!$C$30)</f>
        <v>396.93937578819299</v>
      </c>
      <c r="K50" s="18">
        <f>IFERROR(J50/'Drilling Spec'!$C$31,0)</f>
        <v>26.462625052546198</v>
      </c>
      <c r="L50" s="21">
        <f t="shared" si="4"/>
        <v>0</v>
      </c>
      <c r="M50" s="4">
        <f t="shared" si="14"/>
        <v>0</v>
      </c>
      <c r="N50" s="21">
        <f t="shared" si="5"/>
        <v>0</v>
      </c>
      <c r="O50" s="18">
        <f>(SQRT(4*O49*O49*vB*vB + 'Drilling Spec'!$C$48*O49 + WB*('Drilling Spec'!$C$49 + 2*lB*vB*(sB*WB + 2*vB*N50/(1+eB)) + 'Drilling Spec'!$C$50)) - 'Drilling Spec'!$C$51)/(2*vB)</f>
        <v>0</v>
      </c>
      <c r="P50" s="18">
        <f>IFERROR(((S50-'Drilling Spec'!$C$30)/'Drilling Spec'!$C$31)*'Drilling Spec'!$C$32,0)</f>
        <v>0</v>
      </c>
      <c r="Q50" s="18">
        <f t="shared" si="15"/>
        <v>0</v>
      </c>
      <c r="R50" s="18"/>
      <c r="S50" s="26" t="str">
        <f>IF(AND(OR(T49=0,T49=""),M50=0),IF(M51=0,"",'Drilling Spec'!$C$30),O50)</f>
        <v/>
      </c>
      <c r="U50" s="15">
        <f>E50*'Drilling Spec'!$C$22 + L50*'Drilling Spec'!$C$23</f>
        <v>0.32065040650406507</v>
      </c>
      <c r="V50" s="15">
        <f t="shared" si="16"/>
        <v>8.8178861788617855</v>
      </c>
      <c r="W50" s="15">
        <f t="shared" si="6"/>
        <v>3.1821138211382132</v>
      </c>
      <c r="X50" s="10"/>
      <c r="Y50" s="30">
        <f>IF(W50&lt;U51,'Drilling Spec'!$C$35,0)</f>
        <v>0</v>
      </c>
      <c r="AA50" s="4">
        <f t="shared" si="19"/>
        <v>28</v>
      </c>
      <c r="AB50" s="10"/>
      <c r="AC50" s="30">
        <f>IF('04-07-25-Scen6-Good,16hr'!K51&gt;'04-07-25-Scen6-Good,16hr'!AA50,'Drilling Spec'!$C$36,)</f>
        <v>0</v>
      </c>
      <c r="AE50" s="18">
        <f>(I50-'Drilling Spec'!$C$26)/'Drilling Spec'!$C$38</f>
        <v>67.82322929803216</v>
      </c>
      <c r="AF50" s="18">
        <f t="shared" si="7"/>
        <v>1.9789017116576133</v>
      </c>
      <c r="AG50" s="34">
        <f t="shared" si="8"/>
        <v>7.8232292980321603</v>
      </c>
      <c r="AH50" s="10"/>
      <c r="AI50" s="26">
        <f>IF(C50="Camp Closed",AG50,IF(AG50&lt;'Drilling Spec'!$C$39,,'Drilling Spec'!$C$39))</f>
        <v>0</v>
      </c>
      <c r="AL50" s="16">
        <f t="shared" si="9"/>
        <v>-476.93937578819299</v>
      </c>
      <c r="AM50" s="16" t="e">
        <f t="shared" si="10"/>
        <v>#N/A</v>
      </c>
      <c r="AN50">
        <f>-'Drilling Spec'!$C$29</f>
        <v>-720</v>
      </c>
      <c r="AO50">
        <f>-'Drilling Spec'!$C$27</f>
        <v>-624</v>
      </c>
      <c r="AP50">
        <f>-'Drilling Spec'!$C$28</f>
        <v>-688</v>
      </c>
      <c r="AQ50" t="e">
        <f t="shared" si="11"/>
        <v>#N/A</v>
      </c>
      <c r="AR50" t="e">
        <f>IF(X50=0,NA(),-'Drilling Spec'!$C$29*0.1)</f>
        <v>#N/A</v>
      </c>
      <c r="AS50" t="e">
        <f>IF(Y50=0,NA(),-'Drilling Spec'!$C$29*0.1)</f>
        <v>#N/A</v>
      </c>
      <c r="AT50" t="e">
        <f>IF(AB50=0,NA(),-'Drilling Spec'!$C$29*0.2)</f>
        <v>#N/A</v>
      </c>
      <c r="AU50" t="e">
        <f>IF(AC50=0,NA(),-'Drilling Spec'!$C$29*0.2)</f>
        <v>#N/A</v>
      </c>
      <c r="AV50" t="e">
        <f>IF(AH50=0,NA(),-'Drilling Spec'!$C$29*0.3)</f>
        <v>#N/A</v>
      </c>
      <c r="AW50" t="e">
        <f>IF(AI50=0,NA(),-'Drilling Spec'!$C$29*0.3)</f>
        <v>#N/A</v>
      </c>
      <c r="AX50" s="29">
        <f t="shared" si="12"/>
        <v>3.1821138211382132</v>
      </c>
      <c r="AY50" s="29">
        <f t="shared" si="13"/>
        <v>1.5373749474538023</v>
      </c>
      <c r="AZ50" s="29">
        <f t="shared" si="17"/>
        <v>7.8232292980321603</v>
      </c>
      <c r="BA50" s="5" t="s">
        <v>108</v>
      </c>
      <c r="BB50" s="5">
        <f>COUNTIF(C3:C112,"REST")</f>
        <v>13</v>
      </c>
      <c r="BC50" s="5" t="s">
        <v>112</v>
      </c>
    </row>
    <row r="51" spans="1:57" x14ac:dyDescent="0.35">
      <c r="A51" s="28">
        <f t="shared" si="18"/>
        <v>46021</v>
      </c>
      <c r="B51" t="str">
        <f t="shared" si="0"/>
        <v>Tue</v>
      </c>
      <c r="C51" s="10" t="s">
        <v>9</v>
      </c>
      <c r="D51" s="10">
        <v>16</v>
      </c>
      <c r="E51" s="4">
        <f t="shared" si="1"/>
        <v>16</v>
      </c>
      <c r="F51" s="4">
        <f t="shared" si="2"/>
        <v>456</v>
      </c>
      <c r="G51" s="4">
        <f t="shared" si="3"/>
        <v>960</v>
      </c>
      <c r="H51" s="15">
        <f>(SQRT(4*I50*I50*V*V + 'Drilling Spec'!$C$42*I50 + W*('Drilling Spec'!$C$43 + 2*l*V*(s*W + 2*V*G51/(1+e)) + 'Drilling Spec'!$C$44)) - 'Drilling Spec'!$C$45)/(2*V)</f>
        <v>488.67420360675334</v>
      </c>
      <c r="I51" s="23">
        <f>IF(AND(OR(I50=0,I50=""),F51=0),IF(F52=0,"",'Drilling Spec'!$C$26),H51)</f>
        <v>488.67420360675334</v>
      </c>
      <c r="J51" s="16">
        <f>MAX(0,I51-'Drilling Spec'!$C$30)</f>
        <v>408.67420360675334</v>
      </c>
      <c r="K51" s="18">
        <f>IFERROR(J51/'Drilling Spec'!$C$31,0)</f>
        <v>27.244946907116891</v>
      </c>
      <c r="L51" s="21">
        <f t="shared" si="4"/>
        <v>0</v>
      </c>
      <c r="M51" s="4">
        <f>(M50+L51)</f>
        <v>0</v>
      </c>
      <c r="N51" s="21">
        <f t="shared" si="5"/>
        <v>0</v>
      </c>
      <c r="O51" s="18">
        <f>(SQRT(4*O50*O50*vB*vB + 'Drilling Spec'!$C$48*O50 + WB*('Drilling Spec'!$C$49 + 2*lB*vB*(sB*WB + 2*vB*N51/(1+eB)) + 'Drilling Spec'!$C$50)) - 'Drilling Spec'!$C$51)/(2*vB)</f>
        <v>0</v>
      </c>
      <c r="P51" s="18">
        <f>IFERROR(((S51-'Drilling Spec'!$C$30)/'Drilling Spec'!$C$31)*'Drilling Spec'!$C$32,0)</f>
        <v>0</v>
      </c>
      <c r="Q51" s="18">
        <f t="shared" si="15"/>
        <v>0</v>
      </c>
      <c r="R51" s="18"/>
      <c r="S51" s="26" t="str">
        <f>IF(AND(OR(T50=0,T50=""),M51=0),IF(M52=0,"",'Drilling Spec'!$C$30),O51)</f>
        <v/>
      </c>
      <c r="U51" s="15">
        <f>E51*'Drilling Spec'!$C$22 + L51*'Drilling Spec'!$C$23</f>
        <v>0.32065040650406507</v>
      </c>
      <c r="V51" s="15">
        <f t="shared" si="16"/>
        <v>9.1385365853658502</v>
      </c>
      <c r="W51" s="15">
        <f t="shared" si="6"/>
        <v>2.861463414634148</v>
      </c>
      <c r="X51" s="10"/>
      <c r="Y51" s="30">
        <f>IF(W51&lt;U52,'Drilling Spec'!$C$35,0)</f>
        <v>0</v>
      </c>
      <c r="AA51" s="4">
        <f t="shared" si="19"/>
        <v>28</v>
      </c>
      <c r="AB51" s="10"/>
      <c r="AC51" s="30">
        <f>IF('04-07-25-Scen6-Good,16hr'!K52&gt;'04-07-25-Scen6-Good,16hr'!AA51,'Drilling Spec'!$C$36,)</f>
        <v>0</v>
      </c>
      <c r="AE51" s="18">
        <f>(I51-'Drilling Spec'!$C$26)/'Drilling Spec'!$C$38</f>
        <v>69.779033934458894</v>
      </c>
      <c r="AF51" s="18">
        <f t="shared" si="7"/>
        <v>1.9558046364267341</v>
      </c>
      <c r="AG51" s="34">
        <f t="shared" si="8"/>
        <v>9.7790339344588944</v>
      </c>
      <c r="AH51" s="10"/>
      <c r="AI51" s="26">
        <f>IF(C51="Camp Closed",AG51,IF(AG51&lt;'Drilling Spec'!$C$39,,'Drilling Spec'!$C$39))</f>
        <v>0</v>
      </c>
      <c r="AL51" s="16">
        <f t="shared" si="9"/>
        <v>-488.67420360675334</v>
      </c>
      <c r="AM51" s="16" t="e">
        <f t="shared" si="10"/>
        <v>#N/A</v>
      </c>
      <c r="AN51">
        <f>-'Drilling Spec'!$C$29</f>
        <v>-720</v>
      </c>
      <c r="AO51">
        <f>-'Drilling Spec'!$C$27</f>
        <v>-624</v>
      </c>
      <c r="AP51">
        <f>-'Drilling Spec'!$C$28</f>
        <v>-688</v>
      </c>
      <c r="AQ51" t="e">
        <f t="shared" si="11"/>
        <v>#N/A</v>
      </c>
      <c r="AR51" t="e">
        <f>IF(X51=0,NA(),-'Drilling Spec'!$C$29*0.1)</f>
        <v>#N/A</v>
      </c>
      <c r="AS51" t="e">
        <f>IF(Y51=0,NA(),-'Drilling Spec'!$C$29*0.1)</f>
        <v>#N/A</v>
      </c>
      <c r="AT51" t="e">
        <f>IF(AB51=0,NA(),-'Drilling Spec'!$C$29*0.2)</f>
        <v>#N/A</v>
      </c>
      <c r="AU51" t="e">
        <f>IF(AC51=0,NA(),-'Drilling Spec'!$C$29*0.2)</f>
        <v>#N/A</v>
      </c>
      <c r="AV51" t="e">
        <f>IF(AH51=0,NA(),-'Drilling Spec'!$C$29*0.3)</f>
        <v>#N/A</v>
      </c>
      <c r="AW51" t="e">
        <f>IF(AI51=0,NA(),-'Drilling Spec'!$C$29*0.3)</f>
        <v>#N/A</v>
      </c>
      <c r="AX51" s="29">
        <f t="shared" si="12"/>
        <v>2.861463414634148</v>
      </c>
      <c r="AY51" s="29">
        <f t="shared" si="13"/>
        <v>0.7550530928831094</v>
      </c>
      <c r="AZ51" s="29">
        <f t="shared" si="17"/>
        <v>9.7790339344588944</v>
      </c>
    </row>
    <row r="52" spans="1:57" x14ac:dyDescent="0.35">
      <c r="A52" s="28">
        <f t="shared" si="18"/>
        <v>46022</v>
      </c>
      <c r="B52" t="str">
        <f t="shared" si="0"/>
        <v>Wed</v>
      </c>
      <c r="C52" s="10" t="s">
        <v>7</v>
      </c>
      <c r="D52" s="10">
        <v>0</v>
      </c>
      <c r="E52" s="4">
        <f t="shared" si="1"/>
        <v>0</v>
      </c>
      <c r="F52" s="4">
        <f t="shared" si="2"/>
        <v>456</v>
      </c>
      <c r="G52" s="4">
        <f t="shared" si="3"/>
        <v>0</v>
      </c>
      <c r="H52" s="15">
        <f>(SQRT(4*I51*I51*V*V + 'Drilling Spec'!$C$42*I51 + W*('Drilling Spec'!$C$43 + 2*l*V*(s*W + 2*V*G52/(1+e)) + 'Drilling Spec'!$C$44)) - 'Drilling Spec'!$C$45)/(2*V)</f>
        <v>488.67420360675334</v>
      </c>
      <c r="I52" s="23">
        <f>IF(AND(OR(I51=0,I51=""),F52=0),IF(F53=0,"",'Drilling Spec'!$C$26),H52)</f>
        <v>488.67420360675334</v>
      </c>
      <c r="J52" s="16">
        <f>MAX(0,I52-'Drilling Spec'!$C$30)</f>
        <v>408.67420360675334</v>
      </c>
      <c r="K52" s="18">
        <f>IFERROR(J52/'Drilling Spec'!$C$31,0)</f>
        <v>27.244946907116891</v>
      </c>
      <c r="L52" s="21">
        <f t="shared" si="4"/>
        <v>0</v>
      </c>
      <c r="M52" s="4">
        <f t="shared" si="14"/>
        <v>0</v>
      </c>
      <c r="N52" s="21">
        <f t="shared" si="5"/>
        <v>0</v>
      </c>
      <c r="O52" s="18">
        <f>(SQRT(4*O51*O51*vB*vB + 'Drilling Spec'!$C$48*O51 + WB*('Drilling Spec'!$C$49 + 2*lB*vB*(sB*WB + 2*vB*N52/(1+eB)) + 'Drilling Spec'!$C$50)) - 'Drilling Spec'!$C$51)/(2*vB)</f>
        <v>0</v>
      </c>
      <c r="P52" s="18">
        <f>IFERROR(((S52-'Drilling Spec'!$C$30)/'Drilling Spec'!$C$31)*'Drilling Spec'!$C$32,0)</f>
        <v>0</v>
      </c>
      <c r="Q52" s="18">
        <f t="shared" si="15"/>
        <v>0</v>
      </c>
      <c r="R52" s="18"/>
      <c r="S52" s="26" t="str">
        <f>IF(AND(OR(T51=0,T51=""),M52=0),IF(M53=0,"",'Drilling Spec'!$C$30),O52)</f>
        <v/>
      </c>
      <c r="U52" s="15">
        <f>E52*'Drilling Spec'!$C$22 + L52*'Drilling Spec'!$C$23</f>
        <v>0</v>
      </c>
      <c r="V52" s="15">
        <f t="shared" si="16"/>
        <v>9.1385365853658502</v>
      </c>
      <c r="W52" s="15">
        <f t="shared" si="6"/>
        <v>2.861463414634148</v>
      </c>
      <c r="X52" s="10"/>
      <c r="Y52" s="30">
        <f>IF(W52&lt;U53,'Drilling Spec'!$C$35,0)</f>
        <v>0</v>
      </c>
      <c r="AA52" s="4">
        <f t="shared" si="19"/>
        <v>28</v>
      </c>
      <c r="AB52" s="10"/>
      <c r="AC52" s="30">
        <f>IF('04-07-25-Scen6-Good,16hr'!K53&gt;'04-07-25-Scen6-Good,16hr'!AA52,'Drilling Spec'!$C$36,)</f>
        <v>6</v>
      </c>
      <c r="AE52" s="18">
        <f>(I52-'Drilling Spec'!$C$26)/'Drilling Spec'!$C$38</f>
        <v>69.779033934458894</v>
      </c>
      <c r="AF52" s="18">
        <f t="shared" si="7"/>
        <v>0</v>
      </c>
      <c r="AG52" s="34">
        <f t="shared" si="8"/>
        <v>9.7790339344588944</v>
      </c>
      <c r="AH52" s="10"/>
      <c r="AI52" s="26">
        <f>IF(C52="Camp Closed",AG52,IF(AG52&lt;'Drilling Spec'!$C$39,,'Drilling Spec'!$C$39))</f>
        <v>0</v>
      </c>
      <c r="AL52" s="16">
        <f t="shared" si="9"/>
        <v>-488.67420360675334</v>
      </c>
      <c r="AM52" s="16" t="e">
        <f t="shared" si="10"/>
        <v>#N/A</v>
      </c>
      <c r="AN52">
        <f>-'Drilling Spec'!$C$29</f>
        <v>-720</v>
      </c>
      <c r="AO52">
        <f>-'Drilling Spec'!$C$27</f>
        <v>-624</v>
      </c>
      <c r="AP52">
        <f>-'Drilling Spec'!$C$28</f>
        <v>-688</v>
      </c>
      <c r="AQ52" t="e">
        <f t="shared" si="11"/>
        <v>#N/A</v>
      </c>
      <c r="AR52" t="e">
        <f>IF(X52=0,NA(),-'Drilling Spec'!$C$29*0.1)</f>
        <v>#N/A</v>
      </c>
      <c r="AS52" t="e">
        <f>IF(Y52=0,NA(),-'Drilling Spec'!$C$29*0.1)</f>
        <v>#N/A</v>
      </c>
      <c r="AT52" t="e">
        <f>IF(AB52=0,NA(),-'Drilling Spec'!$C$29*0.2)</f>
        <v>#N/A</v>
      </c>
      <c r="AU52">
        <f>IF(AC52=0,NA(),-'Drilling Spec'!$C$29*0.2)</f>
        <v>-144</v>
      </c>
      <c r="AV52" t="e">
        <f>IF(AH52=0,NA(),-'Drilling Spec'!$C$29*0.3)</f>
        <v>#N/A</v>
      </c>
      <c r="AW52" t="e">
        <f>IF(AI52=0,NA(),-'Drilling Spec'!$C$29*0.3)</f>
        <v>#N/A</v>
      </c>
      <c r="AX52" s="29">
        <f t="shared" si="12"/>
        <v>2.861463414634148</v>
      </c>
      <c r="AY52" s="29">
        <f t="shared" si="13"/>
        <v>0.7550530928831094</v>
      </c>
      <c r="AZ52" s="29">
        <f t="shared" si="17"/>
        <v>9.7790339344588944</v>
      </c>
      <c r="BA52" s="5" t="s">
        <v>113</v>
      </c>
      <c r="BB52" s="5">
        <f>_xlfn.XLOOKUP("Camp Closed",C3:C112,A3:A112)-_xlfn.XLOOKUP("Open Camp",C3:C112,A3:A112)</f>
        <v>92</v>
      </c>
      <c r="BC52" s="5" t="s">
        <v>112</v>
      </c>
    </row>
    <row r="53" spans="1:57" x14ac:dyDescent="0.35">
      <c r="A53" s="28">
        <f t="shared" si="18"/>
        <v>46023</v>
      </c>
      <c r="B53" t="str">
        <f t="shared" si="0"/>
        <v>Thu</v>
      </c>
      <c r="C53" s="10" t="s">
        <v>9</v>
      </c>
      <c r="D53" s="10">
        <v>16</v>
      </c>
      <c r="E53" s="4">
        <f t="shared" si="1"/>
        <v>16</v>
      </c>
      <c r="F53" s="4">
        <f t="shared" si="2"/>
        <v>472</v>
      </c>
      <c r="G53" s="4">
        <f t="shared" si="3"/>
        <v>960</v>
      </c>
      <c r="H53" s="15">
        <f>(SQRT(4*I52*I52*V*V + 'Drilling Spec'!$C$42*I52 + W*('Drilling Spec'!$C$43 + 2*l*V*(s*W + 2*V*G53/(1+e)) + 'Drilling Spec'!$C$44)) - 'Drilling Spec'!$C$45)/(2*V)</f>
        <v>500.27519105685997</v>
      </c>
      <c r="I53" s="23">
        <f>IF(AND(OR(I52=0,I52=""),F53=0),IF(F54=0,"",'Drilling Spec'!$C$26),H53)</f>
        <v>500.27519105685997</v>
      </c>
      <c r="J53" s="16">
        <f>MAX(0,I53-'Drilling Spec'!$C$30)</f>
        <v>420.27519105685997</v>
      </c>
      <c r="K53" s="18">
        <f>IFERROR(J53/'Drilling Spec'!$C$31,0)</f>
        <v>28.01834607045733</v>
      </c>
      <c r="L53" s="21">
        <f t="shared" si="4"/>
        <v>0</v>
      </c>
      <c r="M53" s="4">
        <f>(M52+L53)</f>
        <v>0</v>
      </c>
      <c r="N53" s="21">
        <f t="shared" si="5"/>
        <v>0</v>
      </c>
      <c r="O53" s="18">
        <f>(SQRT(4*O52*O52*vB*vB + 'Drilling Spec'!$C$48*O52 + WB*('Drilling Spec'!$C$49 + 2*lB*vB*(sB*WB + 2*vB*N53/(1+eB)) + 'Drilling Spec'!$C$50)) - 'Drilling Spec'!$C$51)/(2*vB)</f>
        <v>0</v>
      </c>
      <c r="P53" s="18">
        <f>IFERROR(((S53-'Drilling Spec'!$C$30)/'Drilling Spec'!$C$31)*'Drilling Spec'!$C$32,0)</f>
        <v>0</v>
      </c>
      <c r="Q53" s="18">
        <f t="shared" si="15"/>
        <v>0</v>
      </c>
      <c r="R53" s="18"/>
      <c r="S53" s="26" t="str">
        <f>IF(AND(OR(T52=0,T52=""),M53=0),IF(M54=0,"",'Drilling Spec'!$C$30),O53)</f>
        <v/>
      </c>
      <c r="U53" s="15">
        <f>E53*'Drilling Spec'!$C$22 + L53*'Drilling Spec'!$C$23</f>
        <v>0.32065040650406507</v>
      </c>
      <c r="V53" s="15">
        <f t="shared" si="16"/>
        <v>9.459186991869915</v>
      </c>
      <c r="W53" s="15">
        <f t="shared" si="6"/>
        <v>2.5408130081300828</v>
      </c>
      <c r="X53" s="10"/>
      <c r="Y53" s="30">
        <f>IF(W53&lt;U54,'Drilling Spec'!$C$35,0)</f>
        <v>0</v>
      </c>
      <c r="AA53" s="4">
        <f t="shared" si="19"/>
        <v>34</v>
      </c>
      <c r="AB53" s="10"/>
      <c r="AC53" s="30">
        <f>IF('04-07-25-Scen6-Good,16hr'!K54&gt;'04-07-25-Scen6-Good,16hr'!AA53,'Drilling Spec'!$C$36,)</f>
        <v>0</v>
      </c>
      <c r="AE53" s="18">
        <f>(I53-'Drilling Spec'!$C$26)/'Drilling Spec'!$C$38</f>
        <v>71.712531842809994</v>
      </c>
      <c r="AF53" s="18">
        <f t="shared" si="7"/>
        <v>1.9334979083511001</v>
      </c>
      <c r="AG53" s="34">
        <f t="shared" si="8"/>
        <v>11.712531842809994</v>
      </c>
      <c r="AH53" s="10"/>
      <c r="AI53" s="26">
        <f>IF(C53="Camp Closed",AG53,IF(AG53&lt;'Drilling Spec'!$C$39,,'Drilling Spec'!$C$39))</f>
        <v>0</v>
      </c>
      <c r="AL53" s="16">
        <f t="shared" si="9"/>
        <v>-500.27519105685997</v>
      </c>
      <c r="AM53" s="16" t="e">
        <f t="shared" si="10"/>
        <v>#N/A</v>
      </c>
      <c r="AN53">
        <f>-'Drilling Spec'!$C$29</f>
        <v>-720</v>
      </c>
      <c r="AO53">
        <f>-'Drilling Spec'!$C$27</f>
        <v>-624</v>
      </c>
      <c r="AP53">
        <f>-'Drilling Spec'!$C$28</f>
        <v>-688</v>
      </c>
      <c r="AQ53" t="e">
        <f t="shared" si="11"/>
        <v>#N/A</v>
      </c>
      <c r="AR53" t="e">
        <f>IF(X53=0,NA(),-'Drilling Spec'!$C$29*0.1)</f>
        <v>#N/A</v>
      </c>
      <c r="AS53" t="e">
        <f>IF(Y53=0,NA(),-'Drilling Spec'!$C$29*0.1)</f>
        <v>#N/A</v>
      </c>
      <c r="AT53" t="e">
        <f>IF(AB53=0,NA(),-'Drilling Spec'!$C$29*0.2)</f>
        <v>#N/A</v>
      </c>
      <c r="AU53" t="e">
        <f>IF(AC53=0,NA(),-'Drilling Spec'!$C$29*0.2)</f>
        <v>#N/A</v>
      </c>
      <c r="AV53" t="e">
        <f>IF(AH53=0,NA(),-'Drilling Spec'!$C$29*0.3)</f>
        <v>#N/A</v>
      </c>
      <c r="AW53" t="e">
        <f>IF(AI53=0,NA(),-'Drilling Spec'!$C$29*0.3)</f>
        <v>#N/A</v>
      </c>
      <c r="AX53" s="29">
        <f t="shared" si="12"/>
        <v>2.5408130081300828</v>
      </c>
      <c r="AY53" s="29">
        <f t="shared" si="13"/>
        <v>5.9816539295426701</v>
      </c>
      <c r="AZ53" s="29">
        <f t="shared" si="17"/>
        <v>11.712531842809994</v>
      </c>
      <c r="BA53" s="5" t="s">
        <v>114</v>
      </c>
      <c r="BB53" s="5">
        <f>'04-07-25-Scen6-Good,16hr'!BF5-A3 - BB52</f>
        <v>-10</v>
      </c>
      <c r="BC53" s="5" t="s">
        <v>112</v>
      </c>
    </row>
    <row r="54" spans="1:57" x14ac:dyDescent="0.35">
      <c r="A54" s="28">
        <f t="shared" si="18"/>
        <v>46024</v>
      </c>
      <c r="B54" t="str">
        <f t="shared" si="0"/>
        <v>Fri</v>
      </c>
      <c r="C54" s="10" t="s">
        <v>9</v>
      </c>
      <c r="D54" s="10">
        <v>16</v>
      </c>
      <c r="E54" s="4">
        <f t="shared" si="1"/>
        <v>16</v>
      </c>
      <c r="F54" s="4">
        <f t="shared" si="2"/>
        <v>488</v>
      </c>
      <c r="G54" s="4">
        <f t="shared" si="3"/>
        <v>960</v>
      </c>
      <c r="H54" s="15">
        <f>(SQRT(4*I53*I53*V*V + 'Drilling Spec'!$C$42*I53 + W*('Drilling Spec'!$C$43 + 2*l*V*(s*W + 2*V*G54/(1+e)) + 'Drilling Spec'!$C$44)) - 'Drilling Spec'!$C$45)/(2*V)</f>
        <v>511.74681579197869</v>
      </c>
      <c r="I54" s="23">
        <f>IF(AND(OR(I53=0,I53=""),F54=0),IF(F55=0,"",'Drilling Spec'!$C$26),H54)</f>
        <v>511.74681579197869</v>
      </c>
      <c r="J54" s="16">
        <f>MAX(0,I54-'Drilling Spec'!$C$30)</f>
        <v>431.74681579197869</v>
      </c>
      <c r="K54" s="18">
        <f>IFERROR(J54/'Drilling Spec'!$C$31,0)</f>
        <v>28.783121052798581</v>
      </c>
      <c r="L54" s="21">
        <f t="shared" si="4"/>
        <v>0</v>
      </c>
      <c r="M54" s="4">
        <f t="shared" si="14"/>
        <v>0</v>
      </c>
      <c r="N54" s="21">
        <f t="shared" si="5"/>
        <v>0</v>
      </c>
      <c r="O54" s="18">
        <f>(SQRT(4*O53*O53*vB*vB + 'Drilling Spec'!$C$48*O53 + WB*('Drilling Spec'!$C$49 + 2*lB*vB*(sB*WB + 2*vB*N54/(1+eB)) + 'Drilling Spec'!$C$50)) - 'Drilling Spec'!$C$51)/(2*vB)</f>
        <v>0</v>
      </c>
      <c r="P54" s="18">
        <f>IFERROR(((S54-'Drilling Spec'!$C$30)/'Drilling Spec'!$C$31)*'Drilling Spec'!$C$32,0)</f>
        <v>0</v>
      </c>
      <c r="Q54" s="18">
        <f t="shared" si="15"/>
        <v>0</v>
      </c>
      <c r="R54" s="18"/>
      <c r="S54" s="26" t="str">
        <f>IF(AND(OR(T53=0,T53=""),M54=0),IF(M55=0,"",'Drilling Spec'!$C$30),O54)</f>
        <v/>
      </c>
      <c r="U54" s="15">
        <f>E54*'Drilling Spec'!$C$22 + L54*'Drilling Spec'!$C$23</f>
        <v>0.32065040650406507</v>
      </c>
      <c r="V54" s="15">
        <f t="shared" si="16"/>
        <v>9.7798373983739797</v>
      </c>
      <c r="W54" s="15">
        <f t="shared" si="6"/>
        <v>2.2201626016260176</v>
      </c>
      <c r="X54" s="10"/>
      <c r="Y54" s="30">
        <f>IF(W54&lt;U55,'Drilling Spec'!$C$35,0)</f>
        <v>0</v>
      </c>
      <c r="AA54" s="4">
        <f t="shared" si="19"/>
        <v>34</v>
      </c>
      <c r="AB54" s="10"/>
      <c r="AC54" s="30">
        <f>IF('04-07-25-Scen6-Good,16hr'!K55&gt;'04-07-25-Scen6-Good,16hr'!AA54,'Drilling Spec'!$C$36,)</f>
        <v>0</v>
      </c>
      <c r="AE54" s="18">
        <f>(I54-'Drilling Spec'!$C$26)/'Drilling Spec'!$C$38</f>
        <v>73.624469298663115</v>
      </c>
      <c r="AF54" s="18">
        <f t="shared" si="7"/>
        <v>1.9119374558531206</v>
      </c>
      <c r="AG54" s="34">
        <f t="shared" si="8"/>
        <v>13.624469298663115</v>
      </c>
      <c r="AH54" s="10"/>
      <c r="AI54" s="26">
        <f>IF(C54="Camp Closed",AG54,IF(AG54&lt;'Drilling Spec'!$C$39,,'Drilling Spec'!$C$39))</f>
        <v>0</v>
      </c>
      <c r="AL54" s="16">
        <f t="shared" si="9"/>
        <v>-511.74681579197869</v>
      </c>
      <c r="AM54" s="16" t="e">
        <f t="shared" si="10"/>
        <v>#N/A</v>
      </c>
      <c r="AN54">
        <f>-'Drilling Spec'!$C$29</f>
        <v>-720</v>
      </c>
      <c r="AO54">
        <f>-'Drilling Spec'!$C$27</f>
        <v>-624</v>
      </c>
      <c r="AP54">
        <f>-'Drilling Spec'!$C$28</f>
        <v>-688</v>
      </c>
      <c r="AQ54" t="e">
        <f t="shared" si="11"/>
        <v>#N/A</v>
      </c>
      <c r="AR54" t="e">
        <f>IF(X54=0,NA(),-'Drilling Spec'!$C$29*0.1)</f>
        <v>#N/A</v>
      </c>
      <c r="AS54" t="e">
        <f>IF(Y54=0,NA(),-'Drilling Spec'!$C$29*0.1)</f>
        <v>#N/A</v>
      </c>
      <c r="AT54" t="e">
        <f>IF(AB54=0,NA(),-'Drilling Spec'!$C$29*0.2)</f>
        <v>#N/A</v>
      </c>
      <c r="AU54" t="e">
        <f>IF(AC54=0,NA(),-'Drilling Spec'!$C$29*0.2)</f>
        <v>#N/A</v>
      </c>
      <c r="AV54" t="e">
        <f>IF(AH54=0,NA(),-'Drilling Spec'!$C$29*0.3)</f>
        <v>#N/A</v>
      </c>
      <c r="AW54" t="e">
        <f>IF(AI54=0,NA(),-'Drilling Spec'!$C$29*0.3)</f>
        <v>#N/A</v>
      </c>
      <c r="AX54" s="29">
        <f t="shared" si="12"/>
        <v>2.2201626016260176</v>
      </c>
      <c r="AY54" s="29">
        <f t="shared" si="13"/>
        <v>5.216878947201419</v>
      </c>
      <c r="AZ54" s="29">
        <f t="shared" si="17"/>
        <v>13.624469298663115</v>
      </c>
    </row>
    <row r="55" spans="1:57" x14ac:dyDescent="0.35">
      <c r="A55" s="28">
        <f>A54+1</f>
        <v>46025</v>
      </c>
      <c r="B55" t="str">
        <f t="shared" si="0"/>
        <v>Sat</v>
      </c>
      <c r="C55" s="10" t="s">
        <v>9</v>
      </c>
      <c r="D55" s="10">
        <v>16</v>
      </c>
      <c r="E55" s="4">
        <f t="shared" si="1"/>
        <v>16</v>
      </c>
      <c r="F55" s="4">
        <f t="shared" si="2"/>
        <v>504</v>
      </c>
      <c r="G55" s="4">
        <f t="shared" si="3"/>
        <v>960</v>
      </c>
      <c r="H55" s="15">
        <f>(SQRT(4*I54*I54*V*V + 'Drilling Spec'!$C$42*I54 + W*('Drilling Spec'!$C$43 + 2*l*V*(s*W + 2*V*G55/(1+e)) + 'Drilling Spec'!$C$44)) - 'Drilling Spec'!$C$45)/(2*V)</f>
        <v>523.09331123018478</v>
      </c>
      <c r="I55" s="23">
        <f>IF(AND(OR(I54=0,I54=""),F55=0),IF(F56=0,"",'Drilling Spec'!$C$26),H55)</f>
        <v>523.09331123018478</v>
      </c>
      <c r="J55" s="16">
        <f>MAX(0,I55-'Drilling Spec'!$C$30)</f>
        <v>443.09331123018478</v>
      </c>
      <c r="K55" s="18">
        <f>IFERROR(J55/'Drilling Spec'!$C$31,0)</f>
        <v>29.539554082012319</v>
      </c>
      <c r="L55" s="21">
        <f t="shared" si="4"/>
        <v>0</v>
      </c>
      <c r="M55" s="4">
        <f t="shared" si="14"/>
        <v>0</v>
      </c>
      <c r="N55" s="21">
        <f t="shared" si="5"/>
        <v>0</v>
      </c>
      <c r="O55" s="18">
        <f>(SQRT(4*O54*O54*vB*vB + 'Drilling Spec'!$C$48*O54 + WB*('Drilling Spec'!$C$49 + 2*lB*vB*(sB*WB + 2*vB*N55/(1+eB)) + 'Drilling Spec'!$C$50)) - 'Drilling Spec'!$C$51)/(2*vB)</f>
        <v>0</v>
      </c>
      <c r="P55" s="18">
        <f>IFERROR(((S55-'Drilling Spec'!$C$30)/'Drilling Spec'!$C$31)*'Drilling Spec'!$C$32,0)</f>
        <v>0</v>
      </c>
      <c r="Q55" s="18">
        <f t="shared" si="15"/>
        <v>0</v>
      </c>
      <c r="R55" s="18"/>
      <c r="S55" s="26" t="str">
        <f>IF(AND(OR(T54=0,T54=""),M55=0),IF(M56=0,"",'Drilling Spec'!$C$30),O55)</f>
        <v/>
      </c>
      <c r="U55" s="15">
        <f>E55*'Drilling Spec'!$C$22 + L55*'Drilling Spec'!$C$23</f>
        <v>0.32065040650406507</v>
      </c>
      <c r="V55" s="15">
        <f t="shared" si="16"/>
        <v>10.100487804878044</v>
      </c>
      <c r="W55" s="15">
        <f t="shared" si="6"/>
        <v>1.8995121951219525</v>
      </c>
      <c r="X55" s="10"/>
      <c r="Y55" s="30">
        <f>IF(W55&lt;U56,'Drilling Spec'!$C$35,0)</f>
        <v>0</v>
      </c>
      <c r="AA55" s="4">
        <f t="shared" si="19"/>
        <v>34</v>
      </c>
      <c r="AB55" s="10"/>
      <c r="AC55" s="30">
        <f>IF('04-07-25-Scen6-Good,16hr'!K56&gt;'04-07-25-Scen6-Good,16hr'!AA55,'Drilling Spec'!$C$36,)</f>
        <v>0</v>
      </c>
      <c r="AE55" s="18">
        <f>(I55-'Drilling Spec'!$C$26)/'Drilling Spec'!$C$38</f>
        <v>75.515551871697468</v>
      </c>
      <c r="AF55" s="18">
        <f t="shared" si="7"/>
        <v>1.8910825730343532</v>
      </c>
      <c r="AG55" s="34">
        <f t="shared" si="8"/>
        <v>15.515551871697468</v>
      </c>
      <c r="AH55" s="10"/>
      <c r="AI55" s="26">
        <f>IF(C55="Camp Closed",AG55,IF(AG55&lt;'Drilling Spec'!$C$39,,'Drilling Spec'!$C$39))</f>
        <v>0</v>
      </c>
      <c r="AL55" s="16">
        <f t="shared" si="9"/>
        <v>-523.09331123018478</v>
      </c>
      <c r="AM55" s="16" t="e">
        <f t="shared" si="10"/>
        <v>#N/A</v>
      </c>
      <c r="AN55">
        <f>-'Drilling Spec'!$C$29</f>
        <v>-720</v>
      </c>
      <c r="AO55">
        <f>-'Drilling Spec'!$C$27</f>
        <v>-624</v>
      </c>
      <c r="AP55">
        <f>-'Drilling Spec'!$C$28</f>
        <v>-688</v>
      </c>
      <c r="AQ55" t="e">
        <f t="shared" si="11"/>
        <v>#N/A</v>
      </c>
      <c r="AR55" t="e">
        <f>IF(X55=0,NA(),-'Drilling Spec'!$C$29*0.1)</f>
        <v>#N/A</v>
      </c>
      <c r="AS55" t="e">
        <f>IF(Y55=0,NA(),-'Drilling Spec'!$C$29*0.1)</f>
        <v>#N/A</v>
      </c>
      <c r="AT55" t="e">
        <f>IF(AB55=0,NA(),-'Drilling Spec'!$C$29*0.2)</f>
        <v>#N/A</v>
      </c>
      <c r="AU55" t="e">
        <f>IF(AC55=0,NA(),-'Drilling Spec'!$C$29*0.2)</f>
        <v>#N/A</v>
      </c>
      <c r="AV55" t="e">
        <f>IF(AH55=0,NA(),-'Drilling Spec'!$C$29*0.3)</f>
        <v>#N/A</v>
      </c>
      <c r="AW55" t="e">
        <f>IF(AI55=0,NA(),-'Drilling Spec'!$C$29*0.3)</f>
        <v>#N/A</v>
      </c>
      <c r="AX55" s="29">
        <f t="shared" si="12"/>
        <v>1.8995121951219525</v>
      </c>
      <c r="AY55" s="29">
        <f t="shared" si="13"/>
        <v>4.4604459179876805</v>
      </c>
      <c r="AZ55" s="29">
        <f t="shared" si="17"/>
        <v>15.515551871697468</v>
      </c>
    </row>
    <row r="56" spans="1:57" x14ac:dyDescent="0.35">
      <c r="A56" s="28">
        <f t="shared" si="18"/>
        <v>46026</v>
      </c>
      <c r="B56" t="str">
        <f t="shared" si="0"/>
        <v>Sun</v>
      </c>
      <c r="C56" s="10" t="s">
        <v>7</v>
      </c>
      <c r="D56" s="10">
        <v>0</v>
      </c>
      <c r="E56" s="4">
        <f t="shared" si="1"/>
        <v>0</v>
      </c>
      <c r="F56" s="4">
        <f t="shared" si="2"/>
        <v>504</v>
      </c>
      <c r="G56" s="4">
        <f t="shared" si="3"/>
        <v>0</v>
      </c>
      <c r="H56" s="15">
        <f>(SQRT(4*I55*I55*V*V + 'Drilling Spec'!$C$42*I55 + W*('Drilling Spec'!$C$43 + 2*l*V*(s*W + 2*V*G56/(1+e)) + 'Drilling Spec'!$C$44)) - 'Drilling Spec'!$C$45)/(2*V)</f>
        <v>523.09331123018478</v>
      </c>
      <c r="I56" s="23">
        <f>IF(AND(OR(I55=0,I55=""),F56=0),IF(F57=0,"",'Drilling Spec'!$C$26),H56)</f>
        <v>523.09331123018478</v>
      </c>
      <c r="J56" s="16">
        <f>MAX(0,I56-'Drilling Spec'!$C$30)</f>
        <v>443.09331123018478</v>
      </c>
      <c r="K56" s="18">
        <f>IFERROR(J56/'Drilling Spec'!$C$31,0)</f>
        <v>29.539554082012319</v>
      </c>
      <c r="L56" s="21">
        <f t="shared" si="4"/>
        <v>0</v>
      </c>
      <c r="M56" s="4">
        <f t="shared" si="14"/>
        <v>0</v>
      </c>
      <c r="N56" s="21">
        <f t="shared" si="5"/>
        <v>0</v>
      </c>
      <c r="O56" s="18">
        <f>(SQRT(4*O55*O55*vB*vB + 'Drilling Spec'!$C$48*O55 + WB*('Drilling Spec'!$C$49 + 2*lB*vB*(sB*WB + 2*vB*N56/(1+eB)) + 'Drilling Spec'!$C$50)) - 'Drilling Spec'!$C$51)/(2*vB)</f>
        <v>0</v>
      </c>
      <c r="P56" s="18">
        <f>IFERROR(((S56-'Drilling Spec'!$C$30)/'Drilling Spec'!$C$31)*'Drilling Spec'!$C$32,0)</f>
        <v>0</v>
      </c>
      <c r="Q56" s="18">
        <f t="shared" si="15"/>
        <v>0</v>
      </c>
      <c r="R56" s="18"/>
      <c r="S56" s="26" t="str">
        <f>IF(AND(OR(T55=0,T55=""),M56=0),IF(M57=0,"",'Drilling Spec'!$C$30),O56)</f>
        <v/>
      </c>
      <c r="U56" s="15">
        <f>E56*'Drilling Spec'!$C$22 + L56*'Drilling Spec'!$C$23</f>
        <v>0</v>
      </c>
      <c r="V56" s="15">
        <f t="shared" si="16"/>
        <v>10.100487804878044</v>
      </c>
      <c r="W56" s="15">
        <f t="shared" si="6"/>
        <v>1.8995121951219525</v>
      </c>
      <c r="X56" s="10"/>
      <c r="Y56" s="30">
        <f>IF(W56&lt;U57,'Drilling Spec'!$C$35,0)</f>
        <v>0</v>
      </c>
      <c r="AA56" s="4">
        <f t="shared" si="19"/>
        <v>34</v>
      </c>
      <c r="AB56" s="10"/>
      <c r="AC56" s="30">
        <f>IF('04-07-25-Scen6-Good,16hr'!K57&gt;'04-07-25-Scen6-Good,16hr'!AA56,'Drilling Spec'!$C$36,)</f>
        <v>0</v>
      </c>
      <c r="AE56" s="18">
        <f>(I56-'Drilling Spec'!$C$26)/'Drilling Spec'!$C$38</f>
        <v>75.515551871697468</v>
      </c>
      <c r="AF56" s="18">
        <f t="shared" si="7"/>
        <v>0</v>
      </c>
      <c r="AG56" s="34">
        <f t="shared" si="8"/>
        <v>15.515551871697468</v>
      </c>
      <c r="AH56" s="10"/>
      <c r="AI56" s="26">
        <f>IF(C56="Camp Closed",AG56,IF(AG56&lt;'Drilling Spec'!$C$39,,'Drilling Spec'!$C$39))</f>
        <v>0</v>
      </c>
      <c r="AL56" s="16">
        <f t="shared" si="9"/>
        <v>-523.09331123018478</v>
      </c>
      <c r="AM56" s="16" t="e">
        <f t="shared" si="10"/>
        <v>#N/A</v>
      </c>
      <c r="AN56">
        <f>-'Drilling Spec'!$C$29</f>
        <v>-720</v>
      </c>
      <c r="AO56">
        <f>-'Drilling Spec'!$C$27</f>
        <v>-624</v>
      </c>
      <c r="AP56">
        <f>-'Drilling Spec'!$C$28</f>
        <v>-688</v>
      </c>
      <c r="AQ56" t="e">
        <f t="shared" si="11"/>
        <v>#N/A</v>
      </c>
      <c r="AR56" t="e">
        <f>IF(X56=0,NA(),-'Drilling Spec'!$C$29*0.1)</f>
        <v>#N/A</v>
      </c>
      <c r="AS56" t="e">
        <f>IF(Y56=0,NA(),-'Drilling Spec'!$C$29*0.1)</f>
        <v>#N/A</v>
      </c>
      <c r="AT56" t="e">
        <f>IF(AB56=0,NA(),-'Drilling Spec'!$C$29*0.2)</f>
        <v>#N/A</v>
      </c>
      <c r="AU56" t="e">
        <f>IF(AC56=0,NA(),-'Drilling Spec'!$C$29*0.2)</f>
        <v>#N/A</v>
      </c>
      <c r="AV56" t="e">
        <f>IF(AH56=0,NA(),-'Drilling Spec'!$C$29*0.3)</f>
        <v>#N/A</v>
      </c>
      <c r="AW56" t="e">
        <f>IF(AI56=0,NA(),-'Drilling Spec'!$C$29*0.3)</f>
        <v>#N/A</v>
      </c>
      <c r="AX56" s="29">
        <f t="shared" si="12"/>
        <v>1.8995121951219525</v>
      </c>
      <c r="AY56" s="29">
        <f t="shared" si="13"/>
        <v>4.4604459179876805</v>
      </c>
      <c r="AZ56" s="29">
        <f t="shared" si="17"/>
        <v>15.515551871697468</v>
      </c>
    </row>
    <row r="57" spans="1:57" x14ac:dyDescent="0.35">
      <c r="A57" s="28">
        <f t="shared" si="18"/>
        <v>46027</v>
      </c>
      <c r="B57" t="str">
        <f t="shared" si="0"/>
        <v>Mon</v>
      </c>
      <c r="C57" s="10" t="s">
        <v>9</v>
      </c>
      <c r="D57" s="10">
        <v>16</v>
      </c>
      <c r="E57" s="4">
        <f t="shared" si="1"/>
        <v>16</v>
      </c>
      <c r="F57" s="4">
        <f t="shared" si="2"/>
        <v>520</v>
      </c>
      <c r="G57" s="4">
        <f t="shared" si="3"/>
        <v>960</v>
      </c>
      <c r="H57" s="15">
        <f>(SQRT(4*I56*I56*V*V + 'Drilling Spec'!$C$42*I56 + W*('Drilling Spec'!$C$43 + 2*l*V*(s*W + 2*V*G57/(1+e)) + 'Drilling Spec'!$C$44)) - 'Drilling Spec'!$C$45)/(2*V)</f>
        <v>534.31868480765161</v>
      </c>
      <c r="I57" s="23">
        <f>IF(AND(OR(I56=0,I56=""),F57=0),IF(F58=0,"",'Drilling Spec'!$C$26),H57)</f>
        <v>534.31868480765161</v>
      </c>
      <c r="J57" s="16">
        <f>MAX(0,I57-'Drilling Spec'!$C$30)</f>
        <v>454.31868480765161</v>
      </c>
      <c r="K57" s="18">
        <f>IFERROR(J57/'Drilling Spec'!$C$31,0)</f>
        <v>30.287912320510106</v>
      </c>
      <c r="L57" s="21">
        <f t="shared" si="4"/>
        <v>0</v>
      </c>
      <c r="M57" s="4">
        <f t="shared" si="14"/>
        <v>0</v>
      </c>
      <c r="N57" s="21">
        <f t="shared" si="5"/>
        <v>0</v>
      </c>
      <c r="O57" s="18">
        <f>(SQRT(4*O56*O56*vB*vB + 'Drilling Spec'!$C$48*O56 + WB*('Drilling Spec'!$C$49 + 2*lB*vB*(sB*WB + 2*vB*N57/(1+eB)) + 'Drilling Spec'!$C$50)) - 'Drilling Spec'!$C$51)/(2*vB)</f>
        <v>0</v>
      </c>
      <c r="P57" s="18">
        <f>IFERROR(((S57-'Drilling Spec'!$C$30)/'Drilling Spec'!$C$31)*'Drilling Spec'!$C$32,0)</f>
        <v>0</v>
      </c>
      <c r="Q57" s="18">
        <f t="shared" si="15"/>
        <v>0</v>
      </c>
      <c r="R57" s="18"/>
      <c r="S57" s="26" t="str">
        <f>IF(AND(OR(T56=0,T56=""),M57=0),IF(M58=0,"",'Drilling Spec'!$C$30),O57)</f>
        <v/>
      </c>
      <c r="U57" s="15">
        <f>E57*'Drilling Spec'!$C$22 + L57*'Drilling Spec'!$C$23</f>
        <v>0.32065040650406507</v>
      </c>
      <c r="V57" s="15">
        <f t="shared" si="16"/>
        <v>10.421138211382109</v>
      </c>
      <c r="W57" s="15">
        <f t="shared" si="6"/>
        <v>1.5788617886178873</v>
      </c>
      <c r="X57" s="10"/>
      <c r="Y57" s="30">
        <f>IF(W57&lt;U58,'Drilling Spec'!$C$35,0)</f>
        <v>0</v>
      </c>
      <c r="AA57" s="4">
        <f t="shared" si="19"/>
        <v>34</v>
      </c>
      <c r="AB57" s="10"/>
      <c r="AC57" s="30">
        <f>IF('04-07-25-Scen6-Good,16hr'!K58&gt;'04-07-25-Scen6-Good,16hr'!AA57,'Drilling Spec'!$C$36,)</f>
        <v>0</v>
      </c>
      <c r="AE57" s="18">
        <f>(I57-'Drilling Spec'!$C$26)/'Drilling Spec'!$C$38</f>
        <v>77.386447467941935</v>
      </c>
      <c r="AF57" s="18">
        <f t="shared" si="7"/>
        <v>1.8708955962444662</v>
      </c>
      <c r="AG57" s="34">
        <f t="shared" si="8"/>
        <v>17.386447467941935</v>
      </c>
      <c r="AH57" s="10"/>
      <c r="AI57" s="26">
        <f>IF(C57="Camp Closed",AG57,IF(AG57&lt;'Drilling Spec'!$C$39,,'Drilling Spec'!$C$39))</f>
        <v>0</v>
      </c>
      <c r="AL57" s="16">
        <f t="shared" si="9"/>
        <v>-534.31868480765161</v>
      </c>
      <c r="AM57" s="16" t="e">
        <f t="shared" si="10"/>
        <v>#N/A</v>
      </c>
      <c r="AN57">
        <f>-'Drilling Spec'!$C$29</f>
        <v>-720</v>
      </c>
      <c r="AO57">
        <f>-'Drilling Spec'!$C$27</f>
        <v>-624</v>
      </c>
      <c r="AP57">
        <f>-'Drilling Spec'!$C$28</f>
        <v>-688</v>
      </c>
      <c r="AQ57" t="e">
        <f t="shared" si="11"/>
        <v>#N/A</v>
      </c>
      <c r="AR57" t="e">
        <f>IF(X57=0,NA(),-'Drilling Spec'!$C$29*0.1)</f>
        <v>#N/A</v>
      </c>
      <c r="AS57" t="e">
        <f>IF(Y57=0,NA(),-'Drilling Spec'!$C$29*0.1)</f>
        <v>#N/A</v>
      </c>
      <c r="AT57" t="e">
        <f>IF(AB57=0,NA(),-'Drilling Spec'!$C$29*0.2)</f>
        <v>#N/A</v>
      </c>
      <c r="AU57" t="e">
        <f>IF(AC57=0,NA(),-'Drilling Spec'!$C$29*0.2)</f>
        <v>#N/A</v>
      </c>
      <c r="AV57" t="e">
        <f>IF(AH57=0,NA(),-'Drilling Spec'!$C$29*0.3)</f>
        <v>#N/A</v>
      </c>
      <c r="AW57" t="e">
        <f>IF(AI57=0,NA(),-'Drilling Spec'!$C$29*0.3)</f>
        <v>#N/A</v>
      </c>
      <c r="AX57" s="29">
        <f t="shared" si="12"/>
        <v>1.5788617886178873</v>
      </c>
      <c r="AY57" s="29">
        <f t="shared" si="13"/>
        <v>3.712087679489894</v>
      </c>
      <c r="AZ57" s="29">
        <f t="shared" si="17"/>
        <v>17.386447467941935</v>
      </c>
    </row>
    <row r="58" spans="1:57" x14ac:dyDescent="0.35">
      <c r="A58" s="28">
        <f t="shared" si="18"/>
        <v>46028</v>
      </c>
      <c r="B58" t="str">
        <f t="shared" si="0"/>
        <v>Tue</v>
      </c>
      <c r="C58" s="10" t="s">
        <v>9</v>
      </c>
      <c r="D58" s="10">
        <v>16</v>
      </c>
      <c r="E58" s="4">
        <f t="shared" si="1"/>
        <v>16</v>
      </c>
      <c r="F58" s="4">
        <f t="shared" si="2"/>
        <v>536</v>
      </c>
      <c r="G58" s="4">
        <f t="shared" si="3"/>
        <v>960</v>
      </c>
      <c r="H58" s="15">
        <f>(SQRT(4*I57*I57*V*V + 'Drilling Spec'!$C$42*I57 + W*('Drilling Spec'!$C$43 + 2*l*V*(s*W + 2*V*G58/(1+e)) + 'Drilling Spec'!$C$44)) - 'Drilling Spec'!$C$45)/(2*V)</f>
        <v>545.42673451472353</v>
      </c>
      <c r="I58" s="23">
        <f>IF(AND(OR(I57=0,I57=""),F58=0),IF(F59=0,"",'Drilling Spec'!$C$26),H58)</f>
        <v>545.42673451472353</v>
      </c>
      <c r="J58" s="16">
        <f>MAX(0,I58-'Drilling Spec'!$C$30)</f>
        <v>465.42673451472353</v>
      </c>
      <c r="K58" s="18">
        <f>IFERROR(J58/'Drilling Spec'!$C$31,0)</f>
        <v>31.028448967648234</v>
      </c>
      <c r="L58" s="21">
        <f t="shared" si="4"/>
        <v>0</v>
      </c>
      <c r="M58" s="4">
        <f t="shared" si="14"/>
        <v>0</v>
      </c>
      <c r="N58" s="21">
        <f t="shared" si="5"/>
        <v>0</v>
      </c>
      <c r="O58" s="18">
        <f>(SQRT(4*O57*O57*vB*vB + 'Drilling Spec'!$C$48*O57 + WB*('Drilling Spec'!$C$49 + 2*lB*vB*(sB*WB + 2*vB*N58/(1+eB)) + 'Drilling Spec'!$C$50)) - 'Drilling Spec'!$C$51)/(2*vB)</f>
        <v>0</v>
      </c>
      <c r="P58" s="18">
        <f>IFERROR(((S58-'Drilling Spec'!$C$30)/'Drilling Spec'!$C$31)*'Drilling Spec'!$C$32,0)</f>
        <v>0</v>
      </c>
      <c r="Q58" s="18">
        <f t="shared" si="15"/>
        <v>0</v>
      </c>
      <c r="R58" s="18"/>
      <c r="S58" s="26" t="str">
        <f>IF(AND(OR(T57=0,T57=""),M58=0),IF(M59=0,"",'Drilling Spec'!$C$30),O58)</f>
        <v/>
      </c>
      <c r="U58" s="15">
        <f>E58*'Drilling Spec'!$C$22 + L58*'Drilling Spec'!$C$23</f>
        <v>0.32065040650406507</v>
      </c>
      <c r="V58" s="15">
        <f t="shared" si="16"/>
        <v>10.741788617886174</v>
      </c>
      <c r="W58" s="15">
        <f t="shared" si="6"/>
        <v>1.2582113821138221</v>
      </c>
      <c r="X58" s="10"/>
      <c r="Y58" s="30">
        <f>IF(W58&lt;U59,'Drilling Spec'!$C$35,0)</f>
        <v>0</v>
      </c>
      <c r="AA58" s="4">
        <f t="shared" si="19"/>
        <v>34</v>
      </c>
      <c r="AB58" s="10"/>
      <c r="AC58" s="30">
        <f>IF('04-07-25-Scen6-Good,16hr'!K59&gt;'04-07-25-Scen6-Good,16hr'!AA58,'Drilling Spec'!$C$36,)</f>
        <v>0</v>
      </c>
      <c r="AE58" s="18">
        <f>(I58-'Drilling Spec'!$C$26)/'Drilling Spec'!$C$38</f>
        <v>79.237789085787256</v>
      </c>
      <c r="AF58" s="18">
        <f t="shared" si="7"/>
        <v>1.8513416178453213</v>
      </c>
      <c r="AG58" s="34">
        <f t="shared" si="8"/>
        <v>19.237789085787256</v>
      </c>
      <c r="AH58" s="10"/>
      <c r="AI58" s="26">
        <f>IF(C58="Camp Closed",AG58,IF(AG58&lt;'Drilling Spec'!$C$39,,'Drilling Spec'!$C$39))</f>
        <v>0</v>
      </c>
      <c r="AL58" s="16">
        <f t="shared" si="9"/>
        <v>-545.42673451472353</v>
      </c>
      <c r="AM58" s="16" t="e">
        <f t="shared" si="10"/>
        <v>#N/A</v>
      </c>
      <c r="AN58">
        <f>-'Drilling Spec'!$C$29</f>
        <v>-720</v>
      </c>
      <c r="AO58">
        <f>-'Drilling Spec'!$C$27</f>
        <v>-624</v>
      </c>
      <c r="AP58">
        <f>-'Drilling Spec'!$C$28</f>
        <v>-688</v>
      </c>
      <c r="AQ58" t="e">
        <f t="shared" si="11"/>
        <v>#N/A</v>
      </c>
      <c r="AR58" t="e">
        <f>IF(X58=0,NA(),-'Drilling Spec'!$C$29*0.1)</f>
        <v>#N/A</v>
      </c>
      <c r="AS58" t="e">
        <f>IF(Y58=0,NA(),-'Drilling Spec'!$C$29*0.1)</f>
        <v>#N/A</v>
      </c>
      <c r="AT58" t="e">
        <f>IF(AB58=0,NA(),-'Drilling Spec'!$C$29*0.2)</f>
        <v>#N/A</v>
      </c>
      <c r="AU58" t="e">
        <f>IF(AC58=0,NA(),-'Drilling Spec'!$C$29*0.2)</f>
        <v>#N/A</v>
      </c>
      <c r="AV58" t="e">
        <f>IF(AH58=0,NA(),-'Drilling Spec'!$C$29*0.3)</f>
        <v>#N/A</v>
      </c>
      <c r="AW58" t="e">
        <f>IF(AI58=0,NA(),-'Drilling Spec'!$C$29*0.3)</f>
        <v>#N/A</v>
      </c>
      <c r="AX58" s="29">
        <f t="shared" si="12"/>
        <v>1.2582113821138221</v>
      </c>
      <c r="AY58" s="29">
        <f t="shared" si="13"/>
        <v>2.9715510323517655</v>
      </c>
      <c r="AZ58" s="29">
        <f t="shared" si="17"/>
        <v>19.237789085787256</v>
      </c>
    </row>
    <row r="59" spans="1:57" x14ac:dyDescent="0.35">
      <c r="A59" s="28">
        <f t="shared" si="18"/>
        <v>46029</v>
      </c>
      <c r="B59" t="str">
        <f t="shared" si="0"/>
        <v>Wed</v>
      </c>
      <c r="C59" s="10" t="s">
        <v>9</v>
      </c>
      <c r="D59" s="10">
        <v>16</v>
      </c>
      <c r="E59" s="4">
        <f t="shared" si="1"/>
        <v>16</v>
      </c>
      <c r="F59" s="4">
        <f t="shared" si="2"/>
        <v>552</v>
      </c>
      <c r="G59" s="4">
        <f t="shared" si="3"/>
        <v>960</v>
      </c>
      <c r="H59" s="15">
        <f>(SQRT(4*I58*I58*V*V + 'Drilling Spec'!$C$42*I58 + W*('Drilling Spec'!$C$43 + 2*l*V*(s*W + 2*V*G59/(1+e)) + 'Drilling Spec'!$C$44)) - 'Drilling Spec'!$C$45)/(2*V)</f>
        <v>556.42106390803451</v>
      </c>
      <c r="I59" s="23">
        <f>IF(AND(OR(I58=0,I58=""),F59=0),IF(F60=0,"",'Drilling Spec'!$C$26),H59)</f>
        <v>556.42106390803451</v>
      </c>
      <c r="J59" s="16">
        <f>MAX(0,I59-'Drilling Spec'!$C$30)</f>
        <v>476.42106390803451</v>
      </c>
      <c r="K59" s="18">
        <f>IFERROR(J59/'Drilling Spec'!$C$31,0)</f>
        <v>31.761404260535635</v>
      </c>
      <c r="L59" s="21">
        <f t="shared" si="4"/>
        <v>0</v>
      </c>
      <c r="M59" s="4">
        <f t="shared" si="14"/>
        <v>0</v>
      </c>
      <c r="N59" s="21">
        <f t="shared" si="5"/>
        <v>0</v>
      </c>
      <c r="O59" s="18">
        <f>(SQRT(4*O58*O58*vB*vB + 'Drilling Spec'!$C$48*O58 + WB*('Drilling Spec'!$C$49 + 2*lB*vB*(sB*WB + 2*vB*N59/(1+eB)) + 'Drilling Spec'!$C$50)) - 'Drilling Spec'!$C$51)/(2*vB)</f>
        <v>0</v>
      </c>
      <c r="P59" s="18">
        <f>IFERROR(((S59-'Drilling Spec'!$C$30)/'Drilling Spec'!$C$31)*'Drilling Spec'!$C$32,0)</f>
        <v>0</v>
      </c>
      <c r="Q59" s="18">
        <f t="shared" si="15"/>
        <v>0</v>
      </c>
      <c r="R59" s="18"/>
      <c r="S59" s="26" t="str">
        <f>IF(AND(OR(T58=0,T58=""),M59=0),IF(M60=0,"",'Drilling Spec'!$C$30),O59)</f>
        <v/>
      </c>
      <c r="U59" s="15">
        <f>E59*'Drilling Spec'!$C$22 + L59*'Drilling Spec'!$C$23</f>
        <v>0.32065040650406507</v>
      </c>
      <c r="V59" s="15">
        <f t="shared" si="16"/>
        <v>11.062439024390239</v>
      </c>
      <c r="W59" s="15">
        <f t="shared" si="6"/>
        <v>0.93756097560975704</v>
      </c>
      <c r="X59" s="10"/>
      <c r="Y59" s="30">
        <f>IF(W59&lt;U60,'Drilling Spec'!$C$35,0)</f>
        <v>0</v>
      </c>
      <c r="AA59" s="4">
        <f t="shared" si="19"/>
        <v>34</v>
      </c>
      <c r="AB59" s="10"/>
      <c r="AC59" s="30">
        <f>IF('04-07-25-Scen6-Good,16hr'!K60&gt;'04-07-25-Scen6-Good,16hr'!AA59,'Drilling Spec'!$C$36,)</f>
        <v>0</v>
      </c>
      <c r="AE59" s="18">
        <f>(I59-'Drilling Spec'!$C$26)/'Drilling Spec'!$C$38</f>
        <v>81.070177318005747</v>
      </c>
      <c r="AF59" s="18">
        <f t="shared" si="7"/>
        <v>1.8323882322184915</v>
      </c>
      <c r="AG59" s="34">
        <f t="shared" si="8"/>
        <v>21.070177318005747</v>
      </c>
      <c r="AH59" s="10"/>
      <c r="AI59" s="26">
        <f>IF(C59="Camp Closed",AG59,IF(AG59&lt;'Drilling Spec'!$C$39,,'Drilling Spec'!$C$39))</f>
        <v>20</v>
      </c>
      <c r="AL59" s="16">
        <f t="shared" si="9"/>
        <v>-556.42106390803451</v>
      </c>
      <c r="AM59" s="16" t="e">
        <f t="shared" si="10"/>
        <v>#N/A</v>
      </c>
      <c r="AN59">
        <f>-'Drilling Spec'!$C$29</f>
        <v>-720</v>
      </c>
      <c r="AO59">
        <f>-'Drilling Spec'!$C$27</f>
        <v>-624</v>
      </c>
      <c r="AP59">
        <f>-'Drilling Spec'!$C$28</f>
        <v>-688</v>
      </c>
      <c r="AQ59" t="e">
        <f t="shared" si="11"/>
        <v>#N/A</v>
      </c>
      <c r="AR59" t="e">
        <f>IF(X59=0,NA(),-'Drilling Spec'!$C$29*0.1)</f>
        <v>#N/A</v>
      </c>
      <c r="AS59" t="e">
        <f>IF(Y59=0,NA(),-'Drilling Spec'!$C$29*0.1)</f>
        <v>#N/A</v>
      </c>
      <c r="AT59" t="e">
        <f>IF(AB59=0,NA(),-'Drilling Spec'!$C$29*0.2)</f>
        <v>#N/A</v>
      </c>
      <c r="AU59" t="e">
        <f>IF(AC59=0,NA(),-'Drilling Spec'!$C$29*0.2)</f>
        <v>#N/A</v>
      </c>
      <c r="AV59" t="e">
        <f>IF(AH59=0,NA(),-'Drilling Spec'!$C$29*0.3)</f>
        <v>#N/A</v>
      </c>
      <c r="AW59">
        <f>IF(AI59=0,NA(),-'Drilling Spec'!$C$29*0.3)</f>
        <v>-216</v>
      </c>
      <c r="AX59" s="29">
        <f t="shared" si="12"/>
        <v>0.93756097560975704</v>
      </c>
      <c r="AY59" s="29">
        <f t="shared" si="13"/>
        <v>2.2385957394643654</v>
      </c>
      <c r="AZ59" s="29">
        <f t="shared" si="17"/>
        <v>21.070177318005747</v>
      </c>
    </row>
    <row r="60" spans="1:57" x14ac:dyDescent="0.35">
      <c r="A60" s="28">
        <f t="shared" si="18"/>
        <v>46030</v>
      </c>
      <c r="B60" t="str">
        <f t="shared" si="0"/>
        <v>Thu</v>
      </c>
      <c r="C60" s="10" t="s">
        <v>9</v>
      </c>
      <c r="D60" s="10">
        <v>16</v>
      </c>
      <c r="E60" s="4">
        <f t="shared" si="1"/>
        <v>16</v>
      </c>
      <c r="F60" s="4">
        <f t="shared" si="2"/>
        <v>568</v>
      </c>
      <c r="G60" s="4">
        <f t="shared" si="3"/>
        <v>960</v>
      </c>
      <c r="H60" s="15">
        <f>(SQRT(4*I59*I59*V*V + 'Drilling Spec'!$C$42*I59 + W*('Drilling Spec'!$C$43 + 2*l*V*(s*W + 2*V*G60/(1+e)) + 'Drilling Spec'!$C$44)) - 'Drilling Spec'!$C$45)/(2*V)</f>
        <v>567.30509576689167</v>
      </c>
      <c r="I60" s="23">
        <f>IF(AND(OR(I59=0,I59=""),F60=0),IF(F61=0,"",'Drilling Spec'!$C$26),H60)</f>
        <v>567.30509576689167</v>
      </c>
      <c r="J60" s="16">
        <f>MAX(0,I60-'Drilling Spec'!$C$30)</f>
        <v>487.30509576689167</v>
      </c>
      <c r="K60" s="18">
        <f>IFERROR(J60/'Drilling Spec'!$C$31,0)</f>
        <v>32.487006384459441</v>
      </c>
      <c r="L60" s="21">
        <f t="shared" si="4"/>
        <v>0</v>
      </c>
      <c r="M60" s="4">
        <f t="shared" si="14"/>
        <v>0</v>
      </c>
      <c r="N60" s="21">
        <f t="shared" si="5"/>
        <v>0</v>
      </c>
      <c r="O60" s="18">
        <f>(SQRT(4*O59*O59*vB*vB + 'Drilling Spec'!$C$48*O59 + WB*('Drilling Spec'!$C$49 + 2*lB*vB*(sB*WB + 2*vB*N60/(1+eB)) + 'Drilling Spec'!$C$50)) - 'Drilling Spec'!$C$51)/(2*vB)</f>
        <v>0</v>
      </c>
      <c r="P60" s="18">
        <f>IFERROR(((S60-'Drilling Spec'!$C$30)/'Drilling Spec'!$C$31)*'Drilling Spec'!$C$32,0)</f>
        <v>0</v>
      </c>
      <c r="Q60" s="18">
        <f t="shared" si="15"/>
        <v>0</v>
      </c>
      <c r="R60" s="18"/>
      <c r="S60" s="26" t="str">
        <f>IF(AND(OR(T59=0,T59=""),M60=0),IF(M61=0,"",'Drilling Spec'!$C$30),O60)</f>
        <v/>
      </c>
      <c r="U60" s="15">
        <f>E60*'Drilling Spec'!$C$22 + L60*'Drilling Spec'!$C$23</f>
        <v>0.32065040650406507</v>
      </c>
      <c r="V60" s="15">
        <f t="shared" si="16"/>
        <v>11.383089430894303</v>
      </c>
      <c r="W60" s="15">
        <f t="shared" si="6"/>
        <v>0.61691056910569197</v>
      </c>
      <c r="X60" s="10"/>
      <c r="Y60" s="30">
        <f>IF(W60&lt;U61,'Drilling Spec'!$C$35,0)</f>
        <v>0</v>
      </c>
      <c r="AA60" s="4">
        <f t="shared" si="19"/>
        <v>34</v>
      </c>
      <c r="AB60" s="10"/>
      <c r="AC60" s="30">
        <f>IF('04-07-25-Scen6-Good,16hr'!K61&gt;'04-07-25-Scen6-Good,16hr'!AA60,'Drilling Spec'!$C$36,)</f>
        <v>0</v>
      </c>
      <c r="AE60" s="18">
        <f>(I60-'Drilling Spec'!$C$26)/'Drilling Spec'!$C$38</f>
        <v>82.884182627815278</v>
      </c>
      <c r="AF60" s="18">
        <f t="shared" si="7"/>
        <v>1.8140053098095308</v>
      </c>
      <c r="AG60" s="34">
        <f t="shared" si="8"/>
        <v>2.884182627815278</v>
      </c>
      <c r="AH60" s="10"/>
      <c r="AI60" s="26">
        <f>IF(C60="Camp Closed",AG60,IF(AG60&lt;'Drilling Spec'!$C$39,,'Drilling Spec'!$C$39))</f>
        <v>0</v>
      </c>
      <c r="AL60" s="16">
        <f t="shared" si="9"/>
        <v>-567.30509576689167</v>
      </c>
      <c r="AM60" s="16" t="e">
        <f t="shared" si="10"/>
        <v>#N/A</v>
      </c>
      <c r="AN60">
        <f>-'Drilling Spec'!$C$29</f>
        <v>-720</v>
      </c>
      <c r="AO60">
        <f>-'Drilling Spec'!$C$27</f>
        <v>-624</v>
      </c>
      <c r="AP60">
        <f>-'Drilling Spec'!$C$28</f>
        <v>-688</v>
      </c>
      <c r="AQ60" t="e">
        <f t="shared" si="11"/>
        <v>#N/A</v>
      </c>
      <c r="AR60" t="e">
        <f>IF(X60=0,NA(),-'Drilling Spec'!$C$29*0.1)</f>
        <v>#N/A</v>
      </c>
      <c r="AS60" t="e">
        <f>IF(Y60=0,NA(),-'Drilling Spec'!$C$29*0.1)</f>
        <v>#N/A</v>
      </c>
      <c r="AT60" t="e">
        <f>IF(AB60=0,NA(),-'Drilling Spec'!$C$29*0.2)</f>
        <v>#N/A</v>
      </c>
      <c r="AU60" t="e">
        <f>IF(AC60=0,NA(),-'Drilling Spec'!$C$29*0.2)</f>
        <v>#N/A</v>
      </c>
      <c r="AV60" t="e">
        <f>IF(AH60=0,NA(),-'Drilling Spec'!$C$29*0.3)</f>
        <v>#N/A</v>
      </c>
      <c r="AW60" t="e">
        <f>IF(AI60=0,NA(),-'Drilling Spec'!$C$29*0.3)</f>
        <v>#N/A</v>
      </c>
      <c r="AX60" s="29">
        <f t="shared" si="12"/>
        <v>0.61691056910569197</v>
      </c>
      <c r="AY60" s="29">
        <f t="shared" si="13"/>
        <v>1.5129936155405588</v>
      </c>
      <c r="AZ60" s="29">
        <f t="shared" si="17"/>
        <v>2.884182627815278</v>
      </c>
    </row>
    <row r="61" spans="1:57" x14ac:dyDescent="0.35">
      <c r="A61" s="28">
        <f t="shared" si="18"/>
        <v>46031</v>
      </c>
      <c r="B61" t="str">
        <f t="shared" si="0"/>
        <v>Fri</v>
      </c>
      <c r="C61" s="10" t="s">
        <v>9</v>
      </c>
      <c r="D61" s="10">
        <v>16</v>
      </c>
      <c r="E61" s="4">
        <f t="shared" si="1"/>
        <v>16</v>
      </c>
      <c r="F61" s="4">
        <f t="shared" si="2"/>
        <v>584</v>
      </c>
      <c r="G61" s="4">
        <f t="shared" si="3"/>
        <v>960</v>
      </c>
      <c r="H61" s="15">
        <f>(SQRT(4*I60*I60*V*V + 'Drilling Spec'!$C$42*I60 + W*('Drilling Spec'!$C$43 + 2*l*V*(s*W + 2*V*G61/(1+e)) + 'Drilling Spec'!$C$44)) - 'Drilling Spec'!$C$45)/(2*V)</f>
        <v>578.08208454063117</v>
      </c>
      <c r="I61" s="23">
        <f>IF(AND(OR(I60=0,I60=""),F61=0),IF(F62=0,"",'Drilling Spec'!$C$26),H61)</f>
        <v>578.08208454063117</v>
      </c>
      <c r="J61" s="16">
        <f>MAX(0,I61-'Drilling Spec'!$C$30)</f>
        <v>498.08208454063117</v>
      </c>
      <c r="K61" s="18">
        <f>IFERROR(J61/'Drilling Spec'!$C$31,0)</f>
        <v>33.205472302708742</v>
      </c>
      <c r="L61" s="21">
        <f t="shared" si="4"/>
        <v>0</v>
      </c>
      <c r="M61" s="4">
        <f t="shared" si="14"/>
        <v>0</v>
      </c>
      <c r="N61" s="21">
        <f t="shared" si="5"/>
        <v>0</v>
      </c>
      <c r="O61" s="18">
        <f>(SQRT(4*O60*O60*vB*vB + 'Drilling Spec'!$C$48*O60 + WB*('Drilling Spec'!$C$49 + 2*lB*vB*(sB*WB + 2*vB*N61/(1+eB)) + 'Drilling Spec'!$C$50)) - 'Drilling Spec'!$C$51)/(2*vB)</f>
        <v>0</v>
      </c>
      <c r="P61" s="18">
        <f>IFERROR(((S61-'Drilling Spec'!$C$30)/'Drilling Spec'!$C$31)*'Drilling Spec'!$C$32,0)</f>
        <v>0</v>
      </c>
      <c r="Q61" s="18">
        <f t="shared" si="15"/>
        <v>0</v>
      </c>
      <c r="R61" s="18"/>
      <c r="S61" s="26" t="str">
        <f>IF(AND(OR(T60=0,T60=""),M61=0),IF(M62=0,"",'Drilling Spec'!$C$30),O61)</f>
        <v/>
      </c>
      <c r="U61" s="15">
        <f>E61*'Drilling Spec'!$C$22 + L61*'Drilling Spec'!$C$23</f>
        <v>0.32065040650406507</v>
      </c>
      <c r="V61" s="15">
        <f t="shared" si="16"/>
        <v>11.703739837398368</v>
      </c>
      <c r="W61" s="15">
        <f t="shared" si="6"/>
        <v>0.29626016260162691</v>
      </c>
      <c r="X61" s="10"/>
      <c r="Y61" s="30">
        <f>IF(W61&lt;U62,'Drilling Spec'!$C$35,0)</f>
        <v>6</v>
      </c>
      <c r="AA61" s="4">
        <f t="shared" si="19"/>
        <v>34</v>
      </c>
      <c r="AB61" s="10"/>
      <c r="AC61" s="30">
        <f>IF('04-07-25-Scen6-Good,16hr'!K62&gt;'04-07-25-Scen6-Good,16hr'!AA61,'Drilling Spec'!$C$36,)</f>
        <v>0</v>
      </c>
      <c r="AE61" s="18">
        <f>(I61-'Drilling Spec'!$C$26)/'Drilling Spec'!$C$38</f>
        <v>84.680347423438533</v>
      </c>
      <c r="AF61" s="18">
        <f t="shared" si="7"/>
        <v>1.7961647956232554</v>
      </c>
      <c r="AG61" s="34">
        <f t="shared" si="8"/>
        <v>4.6803474234385334</v>
      </c>
      <c r="AH61" s="10"/>
      <c r="AI61" s="26">
        <f>IF(C61="Camp Closed",AG61,IF(AG61&lt;'Drilling Spec'!$C$39,,'Drilling Spec'!$C$39))</f>
        <v>0</v>
      </c>
      <c r="AL61" s="16">
        <f t="shared" si="9"/>
        <v>-578.08208454063117</v>
      </c>
      <c r="AM61" s="16" t="e">
        <f t="shared" si="10"/>
        <v>#N/A</v>
      </c>
      <c r="AN61">
        <f>-'Drilling Spec'!$C$29</f>
        <v>-720</v>
      </c>
      <c r="AO61">
        <f>-'Drilling Spec'!$C$27</f>
        <v>-624</v>
      </c>
      <c r="AP61">
        <f>-'Drilling Spec'!$C$28</f>
        <v>-688</v>
      </c>
      <c r="AQ61" t="e">
        <f t="shared" si="11"/>
        <v>#N/A</v>
      </c>
      <c r="AR61" t="e">
        <f>IF(X61=0,NA(),-'Drilling Spec'!$C$29*0.1)</f>
        <v>#N/A</v>
      </c>
      <c r="AS61">
        <f>IF(Y61=0,NA(),-'Drilling Spec'!$C$29*0.1)</f>
        <v>-72</v>
      </c>
      <c r="AT61" t="e">
        <f>IF(AB61=0,NA(),-'Drilling Spec'!$C$29*0.2)</f>
        <v>#N/A</v>
      </c>
      <c r="AU61" t="e">
        <f>IF(AC61=0,NA(),-'Drilling Spec'!$C$29*0.2)</f>
        <v>#N/A</v>
      </c>
      <c r="AV61" t="e">
        <f>IF(AH61=0,NA(),-'Drilling Spec'!$C$29*0.3)</f>
        <v>#N/A</v>
      </c>
      <c r="AW61" t="e">
        <f>IF(AI61=0,NA(),-'Drilling Spec'!$C$29*0.3)</f>
        <v>#N/A</v>
      </c>
      <c r="AX61" s="29">
        <f t="shared" si="12"/>
        <v>0.29626016260162691</v>
      </c>
      <c r="AY61" s="29">
        <f t="shared" si="13"/>
        <v>0.79452769729125805</v>
      </c>
      <c r="AZ61" s="29">
        <f t="shared" si="17"/>
        <v>4.6803474234385334</v>
      </c>
    </row>
    <row r="62" spans="1:57" x14ac:dyDescent="0.35">
      <c r="A62" s="28">
        <f t="shared" si="18"/>
        <v>46032</v>
      </c>
      <c r="B62" t="str">
        <f t="shared" si="0"/>
        <v>Sat</v>
      </c>
      <c r="C62" s="10" t="s">
        <v>9</v>
      </c>
      <c r="D62" s="10">
        <v>16</v>
      </c>
      <c r="E62" s="4">
        <f t="shared" si="1"/>
        <v>16</v>
      </c>
      <c r="F62" s="4">
        <f t="shared" si="2"/>
        <v>600</v>
      </c>
      <c r="G62" s="4">
        <f t="shared" si="3"/>
        <v>960</v>
      </c>
      <c r="H62" s="15">
        <f>(SQRT(4*I61*I61*V*V + 'Drilling Spec'!$C$42*I61 + W*('Drilling Spec'!$C$43 + 2*l*V*(s*W + 2*V*G62/(1+e)) + 'Drilling Spec'!$C$44)) - 'Drilling Spec'!$C$45)/(2*V)</f>
        <v>588.75512771525189</v>
      </c>
      <c r="I62" s="23">
        <f>IF(AND(OR(I61=0,I61=""),F62=0),IF(F63=0,"",'Drilling Spec'!$C$26),H62)</f>
        <v>588.75512771525189</v>
      </c>
      <c r="J62" s="16">
        <f>MAX(0,I62-'Drilling Spec'!$C$30)</f>
        <v>508.75512771525189</v>
      </c>
      <c r="K62" s="18">
        <f>IFERROR(J62/'Drilling Spec'!$C$31,0)</f>
        <v>33.917008514350123</v>
      </c>
      <c r="L62" s="21">
        <f t="shared" si="4"/>
        <v>0</v>
      </c>
      <c r="M62" s="4">
        <f t="shared" si="14"/>
        <v>0</v>
      </c>
      <c r="N62" s="21">
        <f t="shared" si="5"/>
        <v>0</v>
      </c>
      <c r="O62" s="18">
        <f>(SQRT(4*O61*O61*vB*vB + 'Drilling Spec'!$C$48*O61 + WB*('Drilling Spec'!$C$49 + 2*lB*vB*(sB*WB + 2*vB*N62/(1+eB)) + 'Drilling Spec'!$C$50)) - 'Drilling Spec'!$C$51)/(2*vB)</f>
        <v>0</v>
      </c>
      <c r="P62" s="18">
        <f>IFERROR(((S62-'Drilling Spec'!$C$30)/'Drilling Spec'!$C$31)*'Drilling Spec'!$C$32,0)</f>
        <v>0</v>
      </c>
      <c r="Q62" s="18">
        <f t="shared" si="15"/>
        <v>0</v>
      </c>
      <c r="R62" s="18"/>
      <c r="S62" s="26" t="str">
        <f>IF(AND(OR(T61=0,T61=""),M62=0),IF(M63=0,"",'Drilling Spec'!$C$30),O62)</f>
        <v/>
      </c>
      <c r="U62" s="15">
        <f>E62*'Drilling Spec'!$C$22 + L62*'Drilling Spec'!$C$23</f>
        <v>0.32065040650406507</v>
      </c>
      <c r="V62" s="15">
        <f t="shared" si="16"/>
        <v>12.024390243902433</v>
      </c>
      <c r="W62" s="15">
        <f t="shared" si="6"/>
        <v>5.9756097560975618</v>
      </c>
      <c r="X62" s="10"/>
      <c r="Y62" s="30">
        <f>IF(W62&lt;U63,'Drilling Spec'!$C$35,0)</f>
        <v>0</v>
      </c>
      <c r="AA62" s="4">
        <f t="shared" si="19"/>
        <v>34</v>
      </c>
      <c r="AB62" s="10"/>
      <c r="AC62" s="30">
        <f>IF('04-07-25-Scen6-Good,16hr'!K63&gt;'04-07-25-Scen6-Good,16hr'!AA62,'Drilling Spec'!$C$36,)</f>
        <v>0</v>
      </c>
      <c r="AE62" s="18">
        <f>(I62-'Drilling Spec'!$C$26)/'Drilling Spec'!$C$38</f>
        <v>86.459187952541981</v>
      </c>
      <c r="AF62" s="18">
        <f t="shared" si="7"/>
        <v>1.7788405291034479</v>
      </c>
      <c r="AG62" s="34">
        <f t="shared" si="8"/>
        <v>6.4591879525419813</v>
      </c>
      <c r="AH62" s="10"/>
      <c r="AI62" s="26">
        <f>IF(C62="Camp Closed",AG62,IF(AG62&lt;'Drilling Spec'!$C$39,,'Drilling Spec'!$C$39))</f>
        <v>0</v>
      </c>
      <c r="AL62" s="16">
        <f t="shared" si="9"/>
        <v>-588.75512771525189</v>
      </c>
      <c r="AM62" s="16" t="e">
        <f t="shared" si="10"/>
        <v>#N/A</v>
      </c>
      <c r="AN62">
        <f>-'Drilling Spec'!$C$29</f>
        <v>-720</v>
      </c>
      <c r="AO62">
        <f>-'Drilling Spec'!$C$27</f>
        <v>-624</v>
      </c>
      <c r="AP62">
        <f>-'Drilling Spec'!$C$28</f>
        <v>-688</v>
      </c>
      <c r="AQ62" t="e">
        <f t="shared" si="11"/>
        <v>#N/A</v>
      </c>
      <c r="AR62" t="e">
        <f>IF(X62=0,NA(),-'Drilling Spec'!$C$29*0.1)</f>
        <v>#N/A</v>
      </c>
      <c r="AS62" t="e">
        <f>IF(Y62=0,NA(),-'Drilling Spec'!$C$29*0.1)</f>
        <v>#N/A</v>
      </c>
      <c r="AT62" t="e">
        <f>IF(AB62=0,NA(),-'Drilling Spec'!$C$29*0.2)</f>
        <v>#N/A</v>
      </c>
      <c r="AU62" t="e">
        <f>IF(AC62=0,NA(),-'Drilling Spec'!$C$29*0.2)</f>
        <v>#N/A</v>
      </c>
      <c r="AV62" t="e">
        <f>IF(AH62=0,NA(),-'Drilling Spec'!$C$29*0.3)</f>
        <v>#N/A</v>
      </c>
      <c r="AW62" t="e">
        <f>IF(AI62=0,NA(),-'Drilling Spec'!$C$29*0.3)</f>
        <v>#N/A</v>
      </c>
      <c r="AX62" s="29">
        <f t="shared" si="12"/>
        <v>5.9756097560975618</v>
      </c>
      <c r="AY62" s="29">
        <f t="shared" si="13"/>
        <v>8.2991485649877461E-2</v>
      </c>
      <c r="AZ62" s="29">
        <f t="shared" si="17"/>
        <v>6.4591879525419813</v>
      </c>
    </row>
    <row r="63" spans="1:57" x14ac:dyDescent="0.35">
      <c r="A63" s="28">
        <f t="shared" si="18"/>
        <v>46033</v>
      </c>
      <c r="B63" t="str">
        <f t="shared" si="0"/>
        <v>Sun</v>
      </c>
      <c r="C63" s="10" t="s">
        <v>7</v>
      </c>
      <c r="D63" s="10">
        <v>0</v>
      </c>
      <c r="E63" s="4">
        <f t="shared" si="1"/>
        <v>0</v>
      </c>
      <c r="F63" s="4">
        <f t="shared" si="2"/>
        <v>600</v>
      </c>
      <c r="G63" s="4">
        <f t="shared" si="3"/>
        <v>0</v>
      </c>
      <c r="H63" s="15">
        <f>(SQRT(4*I62*I62*V*V + 'Drilling Spec'!$C$42*I62 + W*('Drilling Spec'!$C$43 + 2*l*V*(s*W + 2*V*G63/(1+e)) + 'Drilling Spec'!$C$44)) - 'Drilling Spec'!$C$45)/(2*V)</f>
        <v>588.75512771525189</v>
      </c>
      <c r="I63" s="23">
        <f>IF(AND(OR(I62=0,I62=""),F63=0),IF(F64=0,"",'Drilling Spec'!$C$26),H63)</f>
        <v>588.75512771525189</v>
      </c>
      <c r="J63" s="16">
        <f>MAX(0,I63-'Drilling Spec'!$C$30)</f>
        <v>508.75512771525189</v>
      </c>
      <c r="K63" s="18">
        <f>IFERROR(J63/'Drilling Spec'!$C$31,0)</f>
        <v>33.917008514350123</v>
      </c>
      <c r="L63" s="21">
        <f t="shared" si="4"/>
        <v>0</v>
      </c>
      <c r="M63" s="4">
        <f t="shared" si="14"/>
        <v>0</v>
      </c>
      <c r="N63" s="21">
        <f t="shared" si="5"/>
        <v>0</v>
      </c>
      <c r="O63" s="18">
        <f>(SQRT(4*O62*O62*vB*vB + 'Drilling Spec'!$C$48*O62 + WB*('Drilling Spec'!$C$49 + 2*lB*vB*(sB*WB + 2*vB*N63/(1+eB)) + 'Drilling Spec'!$C$50)) - 'Drilling Spec'!$C$51)/(2*vB)</f>
        <v>0</v>
      </c>
      <c r="P63" s="18">
        <f>IFERROR(((S63-'Drilling Spec'!$C$30)/'Drilling Spec'!$C$31)*'Drilling Spec'!$C$32,0)</f>
        <v>0</v>
      </c>
      <c r="Q63" s="18">
        <f t="shared" si="15"/>
        <v>0</v>
      </c>
      <c r="R63" s="18"/>
      <c r="S63" s="26" t="str">
        <f>IF(AND(OR(T62=0,T62=""),M63=0),IF(M64=0,"",'Drilling Spec'!$C$30),O63)</f>
        <v/>
      </c>
      <c r="U63" s="15">
        <f>E63*'Drilling Spec'!$C$22 + L63*'Drilling Spec'!$C$23</f>
        <v>0</v>
      </c>
      <c r="V63" s="15">
        <f t="shared" si="16"/>
        <v>12.024390243902433</v>
      </c>
      <c r="W63" s="15">
        <f t="shared" si="6"/>
        <v>5.9756097560975618</v>
      </c>
      <c r="X63" s="10"/>
      <c r="Y63" s="30">
        <f>IF(W63&lt;U64,'Drilling Spec'!$C$35,0)</f>
        <v>0</v>
      </c>
      <c r="AA63" s="4">
        <f t="shared" si="19"/>
        <v>34</v>
      </c>
      <c r="AB63" s="10"/>
      <c r="AC63" s="30">
        <f>IF('04-07-25-Scen6-Good,16hr'!K64&gt;'04-07-25-Scen6-Good,16hr'!AA63,'Drilling Spec'!$C$36,)</f>
        <v>6</v>
      </c>
      <c r="AE63" s="18">
        <f>(I63-'Drilling Spec'!$C$26)/'Drilling Spec'!$C$38</f>
        <v>86.459187952541981</v>
      </c>
      <c r="AF63" s="18">
        <f t="shared" si="7"/>
        <v>0</v>
      </c>
      <c r="AG63" s="34">
        <f t="shared" si="8"/>
        <v>6.4591879525419813</v>
      </c>
      <c r="AH63" s="10"/>
      <c r="AI63" s="26">
        <f>IF(C63="Camp Closed",AG63,IF(AG63&lt;'Drilling Spec'!$C$39,,'Drilling Spec'!$C$39))</f>
        <v>0</v>
      </c>
      <c r="AL63" s="16">
        <f t="shared" si="9"/>
        <v>-588.75512771525189</v>
      </c>
      <c r="AM63" s="16" t="e">
        <f t="shared" si="10"/>
        <v>#N/A</v>
      </c>
      <c r="AN63">
        <f>-'Drilling Spec'!$C$29</f>
        <v>-720</v>
      </c>
      <c r="AO63">
        <f>-'Drilling Spec'!$C$27</f>
        <v>-624</v>
      </c>
      <c r="AP63">
        <f>-'Drilling Spec'!$C$28</f>
        <v>-688</v>
      </c>
      <c r="AQ63" t="e">
        <f t="shared" si="11"/>
        <v>#N/A</v>
      </c>
      <c r="AR63" t="e">
        <f>IF(X63=0,NA(),-'Drilling Spec'!$C$29*0.1)</f>
        <v>#N/A</v>
      </c>
      <c r="AS63" t="e">
        <f>IF(Y63=0,NA(),-'Drilling Spec'!$C$29*0.1)</f>
        <v>#N/A</v>
      </c>
      <c r="AT63" t="e">
        <f>IF(AB63=0,NA(),-'Drilling Spec'!$C$29*0.2)</f>
        <v>#N/A</v>
      </c>
      <c r="AU63">
        <f>IF(AC63=0,NA(),-'Drilling Spec'!$C$29*0.2)</f>
        <v>-144</v>
      </c>
      <c r="AV63" t="e">
        <f>IF(AH63=0,NA(),-'Drilling Spec'!$C$29*0.3)</f>
        <v>#N/A</v>
      </c>
      <c r="AW63" t="e">
        <f>IF(AI63=0,NA(),-'Drilling Spec'!$C$29*0.3)</f>
        <v>#N/A</v>
      </c>
      <c r="AX63" s="29">
        <f t="shared" si="12"/>
        <v>5.9756097560975618</v>
      </c>
      <c r="AY63" s="29">
        <f t="shared" si="13"/>
        <v>8.2991485649877461E-2</v>
      </c>
      <c r="AZ63" s="29">
        <f t="shared" si="17"/>
        <v>6.4591879525419813</v>
      </c>
    </row>
    <row r="64" spans="1:57" x14ac:dyDescent="0.35">
      <c r="A64" s="28">
        <f t="shared" si="18"/>
        <v>46034</v>
      </c>
      <c r="B64" t="str">
        <f t="shared" si="0"/>
        <v>Mon</v>
      </c>
      <c r="C64" s="10" t="s">
        <v>9</v>
      </c>
      <c r="D64" s="10">
        <v>16</v>
      </c>
      <c r="E64" s="4">
        <f t="shared" si="1"/>
        <v>16</v>
      </c>
      <c r="F64" s="4">
        <f t="shared" si="2"/>
        <v>616</v>
      </c>
      <c r="G64" s="4">
        <f t="shared" si="3"/>
        <v>960</v>
      </c>
      <c r="H64" s="15">
        <f>(SQRT(4*I63*I63*V*V + 'Drilling Spec'!$C$42*I63 + W*('Drilling Spec'!$C$43 + 2*l*V*(s*W + 2*V*G64/(1+e)) + 'Drilling Spec'!$C$44)) - 'Drilling Spec'!$C$45)/(2*V)</f>
        <v>599.32717621184429</v>
      </c>
      <c r="I64" s="23">
        <f>IF(AND(OR(I63=0,I63=""),F64=0),IF(F65=0,"",'Drilling Spec'!$C$26),H64)</f>
        <v>599.32717621184429</v>
      </c>
      <c r="J64" s="16">
        <f>MAX(0,I64-'Drilling Spec'!$C$30)</f>
        <v>519.32717621184429</v>
      </c>
      <c r="K64" s="18">
        <f>IFERROR(J64/'Drilling Spec'!$C$31,0)</f>
        <v>34.621811747456285</v>
      </c>
      <c r="L64" s="21">
        <f t="shared" si="4"/>
        <v>0</v>
      </c>
      <c r="M64" s="4">
        <f t="shared" si="14"/>
        <v>0</v>
      </c>
      <c r="N64" s="21">
        <f t="shared" si="5"/>
        <v>0</v>
      </c>
      <c r="O64" s="18">
        <f>(SQRT(4*O63*O63*vB*vB + 'Drilling Spec'!$C$48*O63 + WB*('Drilling Spec'!$C$49 + 2*lB*vB*(sB*WB + 2*vB*N64/(1+eB)) + 'Drilling Spec'!$C$50)) - 'Drilling Spec'!$C$51)/(2*vB)</f>
        <v>0</v>
      </c>
      <c r="P64" s="18">
        <f>IFERROR(((S64-'Drilling Spec'!$C$30)/'Drilling Spec'!$C$31)*'Drilling Spec'!$C$32,0)</f>
        <v>0</v>
      </c>
      <c r="Q64" s="18">
        <f t="shared" si="15"/>
        <v>0</v>
      </c>
      <c r="R64" s="18"/>
      <c r="S64" s="26" t="str">
        <f>IF(AND(OR(T63=0,T63=""),M64=0),IF(M65=0,"",'Drilling Spec'!$C$30),O64)</f>
        <v/>
      </c>
      <c r="U64" s="15">
        <f>E64*'Drilling Spec'!$C$22 + L64*'Drilling Spec'!$C$23</f>
        <v>0.32065040650406507</v>
      </c>
      <c r="V64" s="15">
        <f t="shared" si="16"/>
        <v>12.345040650406498</v>
      </c>
      <c r="W64" s="15">
        <f t="shared" si="6"/>
        <v>5.6549593495934971</v>
      </c>
      <c r="X64" s="10"/>
      <c r="Y64" s="30">
        <f>IF(W64&lt;U65,'Drilling Spec'!$C$35,0)</f>
        <v>0</v>
      </c>
      <c r="AA64" s="4">
        <f t="shared" si="19"/>
        <v>40</v>
      </c>
      <c r="AB64" s="10"/>
      <c r="AC64" s="30">
        <f>IF('04-07-25-Scen6-Good,16hr'!K65&gt;'04-07-25-Scen6-Good,16hr'!AA64,'Drilling Spec'!$C$36,)</f>
        <v>0</v>
      </c>
      <c r="AE64" s="18">
        <f>(I64-'Drilling Spec'!$C$26)/'Drilling Spec'!$C$38</f>
        <v>88.221196035307386</v>
      </c>
      <c r="AF64" s="18">
        <f t="shared" si="7"/>
        <v>1.762008082765405</v>
      </c>
      <c r="AG64" s="34">
        <f t="shared" si="8"/>
        <v>8.2211960353073863</v>
      </c>
      <c r="AH64" s="10"/>
      <c r="AI64" s="26">
        <f>IF(C64="Camp Closed",AG64,IF(AG64&lt;'Drilling Spec'!$C$39,,'Drilling Spec'!$C$39))</f>
        <v>0</v>
      </c>
      <c r="AL64" s="16">
        <f t="shared" si="9"/>
        <v>-599.32717621184429</v>
      </c>
      <c r="AM64" s="16" t="e">
        <f t="shared" si="10"/>
        <v>#N/A</v>
      </c>
      <c r="AN64">
        <f>-'Drilling Spec'!$C$29</f>
        <v>-720</v>
      </c>
      <c r="AO64">
        <f>-'Drilling Spec'!$C$27</f>
        <v>-624</v>
      </c>
      <c r="AP64">
        <f>-'Drilling Spec'!$C$28</f>
        <v>-688</v>
      </c>
      <c r="AQ64" t="e">
        <f t="shared" si="11"/>
        <v>#N/A</v>
      </c>
      <c r="AR64" t="e">
        <f>IF(X64=0,NA(),-'Drilling Spec'!$C$29*0.1)</f>
        <v>#N/A</v>
      </c>
      <c r="AS64" t="e">
        <f>IF(Y64=0,NA(),-'Drilling Spec'!$C$29*0.1)</f>
        <v>#N/A</v>
      </c>
      <c r="AT64" t="e">
        <f>IF(AB64=0,NA(),-'Drilling Spec'!$C$29*0.2)</f>
        <v>#N/A</v>
      </c>
      <c r="AU64" t="e">
        <f>IF(AC64=0,NA(),-'Drilling Spec'!$C$29*0.2)</f>
        <v>#N/A</v>
      </c>
      <c r="AV64" t="e">
        <f>IF(AH64=0,NA(),-'Drilling Spec'!$C$29*0.3)</f>
        <v>#N/A</v>
      </c>
      <c r="AW64" t="e">
        <f>IF(AI64=0,NA(),-'Drilling Spec'!$C$29*0.3)</f>
        <v>#N/A</v>
      </c>
      <c r="AX64" s="29">
        <f t="shared" si="12"/>
        <v>5.6549593495934971</v>
      </c>
      <c r="AY64" s="29">
        <f t="shared" si="13"/>
        <v>5.3781882525437155</v>
      </c>
      <c r="AZ64" s="29">
        <f t="shared" si="17"/>
        <v>8.2211960353073863</v>
      </c>
    </row>
    <row r="65" spans="1:52" x14ac:dyDescent="0.35">
      <c r="A65" s="28">
        <f t="shared" si="18"/>
        <v>46035</v>
      </c>
      <c r="B65" t="str">
        <f t="shared" si="0"/>
        <v>Tue</v>
      </c>
      <c r="C65" s="10" t="s">
        <v>9</v>
      </c>
      <c r="D65" s="10">
        <v>16</v>
      </c>
      <c r="E65" s="4">
        <f t="shared" si="1"/>
        <v>16</v>
      </c>
      <c r="F65" s="4">
        <f t="shared" si="2"/>
        <v>632</v>
      </c>
      <c r="G65" s="4">
        <f t="shared" si="3"/>
        <v>960</v>
      </c>
      <c r="H65" s="15">
        <f>(SQRT(4*I64*I64*V*V + 'Drilling Spec'!$C$42*I64 + W*('Drilling Spec'!$C$43 + 2*l*V*(s*W + 2*V*G65/(1+e)) + 'Drilling Spec'!$C$44)) - 'Drilling Spec'!$C$45)/(2*V)</f>
        <v>609.80104391574457</v>
      </c>
      <c r="I65" s="23">
        <f>IF(AND(OR(I64=0,I64=""),F65=0),IF(F66=0,"",'Drilling Spec'!$C$26),H65)</f>
        <v>609.80104391574457</v>
      </c>
      <c r="J65" s="16">
        <f>MAX(0,I65-'Drilling Spec'!$C$30)</f>
        <v>529.80104391574457</v>
      </c>
      <c r="K65" s="18">
        <f>IFERROR(J65/'Drilling Spec'!$C$31,0)</f>
        <v>35.320069594382971</v>
      </c>
      <c r="L65" s="21">
        <f t="shared" si="4"/>
        <v>0</v>
      </c>
      <c r="M65" s="4">
        <f t="shared" si="14"/>
        <v>0</v>
      </c>
      <c r="N65" s="21">
        <f t="shared" si="5"/>
        <v>0</v>
      </c>
      <c r="O65" s="18">
        <f>(SQRT(4*O64*O64*vB*vB + 'Drilling Spec'!$C$48*O64 + WB*('Drilling Spec'!$C$49 + 2*lB*vB*(sB*WB + 2*vB*N65/(1+eB)) + 'Drilling Spec'!$C$50)) - 'Drilling Spec'!$C$51)/(2*vB)</f>
        <v>0</v>
      </c>
      <c r="P65" s="18">
        <f>IFERROR(((S65-'Drilling Spec'!$C$30)/'Drilling Spec'!$C$31)*'Drilling Spec'!$C$32,0)</f>
        <v>0</v>
      </c>
      <c r="Q65" s="18">
        <f t="shared" si="15"/>
        <v>0</v>
      </c>
      <c r="R65" s="18"/>
      <c r="S65" s="26" t="str">
        <f>IF(AND(OR(T64=0,T64=""),M65=0),IF(M66=0,"",'Drilling Spec'!$C$30),O65)</f>
        <v/>
      </c>
      <c r="U65" s="15">
        <f>E65*'Drilling Spec'!$C$22 + L65*'Drilling Spec'!$C$23</f>
        <v>0.32065040650406507</v>
      </c>
      <c r="V65" s="15">
        <f t="shared" si="16"/>
        <v>12.665691056910562</v>
      </c>
      <c r="W65" s="15">
        <f t="shared" si="6"/>
        <v>5.3343089430894324</v>
      </c>
      <c r="X65" s="10"/>
      <c r="Y65" s="30">
        <f>IF(W65&lt;U66,'Drilling Spec'!$C$35,0)</f>
        <v>0</v>
      </c>
      <c r="AA65" s="4">
        <f t="shared" si="19"/>
        <v>40</v>
      </c>
      <c r="AB65" s="10"/>
      <c r="AC65" s="30">
        <f>IF('04-07-25-Scen6-Good,16hr'!K66&gt;'04-07-25-Scen6-Good,16hr'!AA65,'Drilling Spec'!$C$36,)</f>
        <v>0</v>
      </c>
      <c r="AE65" s="18">
        <f>(I65-'Drilling Spec'!$C$26)/'Drilling Spec'!$C$38</f>
        <v>89.9668406526241</v>
      </c>
      <c r="AF65" s="18">
        <f t="shared" si="7"/>
        <v>1.7456446173167137</v>
      </c>
      <c r="AG65" s="34">
        <f t="shared" si="8"/>
        <v>9.9668406526241</v>
      </c>
      <c r="AH65" s="10"/>
      <c r="AI65" s="26">
        <f>IF(C65="Camp Closed",AG65,IF(AG65&lt;'Drilling Spec'!$C$39,,'Drilling Spec'!$C$39))</f>
        <v>0</v>
      </c>
      <c r="AL65" s="16">
        <f t="shared" si="9"/>
        <v>-609.80104391574457</v>
      </c>
      <c r="AM65" s="16" t="e">
        <f t="shared" si="10"/>
        <v>#N/A</v>
      </c>
      <c r="AN65">
        <f>-'Drilling Spec'!$C$29</f>
        <v>-720</v>
      </c>
      <c r="AO65">
        <f>-'Drilling Spec'!$C$27</f>
        <v>-624</v>
      </c>
      <c r="AP65">
        <f>-'Drilling Spec'!$C$28</f>
        <v>-688</v>
      </c>
      <c r="AQ65" t="e">
        <f t="shared" si="11"/>
        <v>#N/A</v>
      </c>
      <c r="AR65" t="e">
        <f>IF(X65=0,NA(),-'Drilling Spec'!$C$29*0.1)</f>
        <v>#N/A</v>
      </c>
      <c r="AS65" t="e">
        <f>IF(Y65=0,NA(),-'Drilling Spec'!$C$29*0.1)</f>
        <v>#N/A</v>
      </c>
      <c r="AT65" t="e">
        <f>IF(AB65=0,NA(),-'Drilling Spec'!$C$29*0.2)</f>
        <v>#N/A</v>
      </c>
      <c r="AU65" t="e">
        <f>IF(AC65=0,NA(),-'Drilling Spec'!$C$29*0.2)</f>
        <v>#N/A</v>
      </c>
      <c r="AV65" t="e">
        <f>IF(AH65=0,NA(),-'Drilling Spec'!$C$29*0.3)</f>
        <v>#N/A</v>
      </c>
      <c r="AW65" t="e">
        <f>IF(AI65=0,NA(),-'Drilling Spec'!$C$29*0.3)</f>
        <v>#N/A</v>
      </c>
      <c r="AX65" s="29">
        <f t="shared" si="12"/>
        <v>5.3343089430894324</v>
      </c>
      <c r="AY65" s="29">
        <f t="shared" si="13"/>
        <v>4.6799304056170286</v>
      </c>
      <c r="AZ65" s="29">
        <f t="shared" si="17"/>
        <v>9.9668406526241</v>
      </c>
    </row>
    <row r="66" spans="1:52" x14ac:dyDescent="0.35">
      <c r="A66" s="28">
        <f t="shared" si="18"/>
        <v>46036</v>
      </c>
      <c r="B66" t="str">
        <f t="shared" si="0"/>
        <v>Wed</v>
      </c>
      <c r="C66" s="10" t="s">
        <v>9</v>
      </c>
      <c r="D66" s="10">
        <v>16</v>
      </c>
      <c r="E66" s="4">
        <f t="shared" si="1"/>
        <v>16</v>
      </c>
      <c r="F66" s="4">
        <f t="shared" si="2"/>
        <v>648</v>
      </c>
      <c r="G66" s="4">
        <f t="shared" si="3"/>
        <v>960</v>
      </c>
      <c r="H66" s="15">
        <f>(SQRT(4*I65*I65*V*V + 'Drilling Spec'!$C$42*I65 + W*('Drilling Spec'!$C$43 + 2*l*V*(s*W + 2*V*G66/(1+e)) + 'Drilling Spec'!$C$44)) - 'Drilling Spec'!$C$45)/(2*V)</f>
        <v>620.17941642361563</v>
      </c>
      <c r="I66" s="23">
        <f>IF(AND(OR(I65=0,I65=""),F66=0),IF(F67=0,"",'Drilling Spec'!$C$26),H66)</f>
        <v>620.17941642361563</v>
      </c>
      <c r="J66" s="16">
        <f>MAX(0,I66-'Drilling Spec'!$C$30)</f>
        <v>540.17941642361563</v>
      </c>
      <c r="K66" s="18">
        <f>IFERROR(J66/'Drilling Spec'!$C$31,0)</f>
        <v>36.011961094907711</v>
      </c>
      <c r="L66" s="21">
        <f t="shared" si="4"/>
        <v>0</v>
      </c>
      <c r="M66" s="4">
        <f t="shared" si="14"/>
        <v>0</v>
      </c>
      <c r="N66" s="21">
        <f t="shared" si="5"/>
        <v>0</v>
      </c>
      <c r="O66" s="18">
        <f>(SQRT(4*O65*O65*vB*vB + 'Drilling Spec'!$C$48*O65 + WB*('Drilling Spec'!$C$49 + 2*lB*vB*(sB*WB + 2*vB*N66/(1+eB)) + 'Drilling Spec'!$C$50)) - 'Drilling Spec'!$C$51)/(2*vB)</f>
        <v>0</v>
      </c>
      <c r="P66" s="18">
        <f>IFERROR(((S66-'Drilling Spec'!$C$30)/'Drilling Spec'!$C$31)*'Drilling Spec'!$C$32,0)</f>
        <v>0</v>
      </c>
      <c r="Q66" s="18">
        <f t="shared" si="15"/>
        <v>0</v>
      </c>
      <c r="R66" s="18"/>
      <c r="S66" s="26" t="str">
        <f>IF(AND(OR(T65=0,T65=""),M66=0),IF(M67=0,"",'Drilling Spec'!$C$30),O66)</f>
        <v/>
      </c>
      <c r="U66" s="15">
        <f>E66*'Drilling Spec'!$C$22 + L66*'Drilling Spec'!$C$23</f>
        <v>0.32065040650406507</v>
      </c>
      <c r="V66" s="15">
        <f t="shared" si="16"/>
        <v>12.986341463414627</v>
      </c>
      <c r="W66" s="15">
        <f t="shared" si="6"/>
        <v>5.0136585365853676</v>
      </c>
      <c r="X66" s="10"/>
      <c r="Y66" s="30">
        <f>IF(W66&lt;U67,'Drilling Spec'!$C$35,0)</f>
        <v>0</v>
      </c>
      <c r="AA66" s="4">
        <f t="shared" si="19"/>
        <v>40</v>
      </c>
      <c r="AB66" s="10"/>
      <c r="AC66" s="30">
        <f>IF('04-07-25-Scen6-Good,16hr'!K67&gt;'04-07-25-Scen6-Good,16hr'!AA66,'Drilling Spec'!$C$36,)</f>
        <v>0</v>
      </c>
      <c r="AE66" s="18">
        <f>(I66-'Drilling Spec'!$C$26)/'Drilling Spec'!$C$38</f>
        <v>91.696569403935939</v>
      </c>
      <c r="AF66" s="18">
        <f t="shared" si="7"/>
        <v>1.7297287513118391</v>
      </c>
      <c r="AG66" s="34">
        <f t="shared" si="8"/>
        <v>11.696569403935939</v>
      </c>
      <c r="AH66" s="10"/>
      <c r="AI66" s="26">
        <f>IF(C66="Camp Closed",AG66,IF(AG66&lt;'Drilling Spec'!$C$39,,'Drilling Spec'!$C$39))</f>
        <v>0</v>
      </c>
      <c r="AL66" s="16">
        <f t="shared" si="9"/>
        <v>-620.17941642361563</v>
      </c>
      <c r="AM66" s="16" t="e">
        <f t="shared" si="10"/>
        <v>#N/A</v>
      </c>
      <c r="AN66">
        <f>-'Drilling Spec'!$C$29</f>
        <v>-720</v>
      </c>
      <c r="AO66">
        <f>-'Drilling Spec'!$C$27</f>
        <v>-624</v>
      </c>
      <c r="AP66">
        <f>-'Drilling Spec'!$C$28</f>
        <v>-688</v>
      </c>
      <c r="AQ66" t="e">
        <f t="shared" si="11"/>
        <v>#N/A</v>
      </c>
      <c r="AR66" t="e">
        <f>IF(X66=0,NA(),-'Drilling Spec'!$C$29*0.1)</f>
        <v>#N/A</v>
      </c>
      <c r="AS66" t="e">
        <f>IF(Y66=0,NA(),-'Drilling Spec'!$C$29*0.1)</f>
        <v>#N/A</v>
      </c>
      <c r="AT66" t="e">
        <f>IF(AB66=0,NA(),-'Drilling Spec'!$C$29*0.2)</f>
        <v>#N/A</v>
      </c>
      <c r="AU66" t="e">
        <f>IF(AC66=0,NA(),-'Drilling Spec'!$C$29*0.2)</f>
        <v>#N/A</v>
      </c>
      <c r="AV66" t="e">
        <f>IF(AH66=0,NA(),-'Drilling Spec'!$C$29*0.3)</f>
        <v>#N/A</v>
      </c>
      <c r="AW66" t="e">
        <f>IF(AI66=0,NA(),-'Drilling Spec'!$C$29*0.3)</f>
        <v>#N/A</v>
      </c>
      <c r="AX66" s="29">
        <f t="shared" si="12"/>
        <v>5.0136585365853676</v>
      </c>
      <c r="AY66" s="29">
        <f t="shared" si="13"/>
        <v>3.9880389050922886</v>
      </c>
      <c r="AZ66" s="29">
        <f t="shared" si="17"/>
        <v>11.696569403935939</v>
      </c>
    </row>
    <row r="67" spans="1:52" x14ac:dyDescent="0.35">
      <c r="A67" s="28">
        <f t="shared" si="18"/>
        <v>46037</v>
      </c>
      <c r="B67" t="str">
        <f t="shared" ref="B67:B112" si="20">TEXT(A67,"ddd")</f>
        <v>Thu</v>
      </c>
      <c r="C67" s="10" t="s">
        <v>9</v>
      </c>
      <c r="D67" s="10">
        <v>16</v>
      </c>
      <c r="E67" s="4">
        <f t="shared" ref="E67:E112" si="21">IF(C67="Drilling",D67,0)</f>
        <v>16</v>
      </c>
      <c r="F67" s="4">
        <f t="shared" ref="F67:F112" si="22">(F66+E67)</f>
        <v>664</v>
      </c>
      <c r="G67" s="4">
        <f t="shared" ref="G67:G112" si="23">E67*60</f>
        <v>960</v>
      </c>
      <c r="H67" s="15">
        <f>(SQRT(4*I66*I66*V*V + 'Drilling Spec'!$C$42*I66 + W*('Drilling Spec'!$C$43 + 2*l*V*(s*W + 2*V*G67/(1+e)) + 'Drilling Spec'!$C$44)) - 'Drilling Spec'!$C$45)/(2*V)</f>
        <v>630.46485908550153</v>
      </c>
      <c r="I67" s="23">
        <f>IF(AND(OR(I66=0,I66=""),F67=0),IF(F68=0,"",'Drilling Spec'!$C$26),H67)</f>
        <v>630.46485908550153</v>
      </c>
      <c r="J67" s="16">
        <f>MAX(0,I67-'Drilling Spec'!$C$30)</f>
        <v>550.46485908550153</v>
      </c>
      <c r="K67" s="18">
        <f>IFERROR(J67/'Drilling Spec'!$C$31,0)</f>
        <v>36.697657272366769</v>
      </c>
      <c r="L67" s="21">
        <f t="shared" ref="L67:L112" si="24">IF(C67="Bailing",D67,0)</f>
        <v>0</v>
      </c>
      <c r="M67" s="4">
        <f t="shared" si="14"/>
        <v>0</v>
      </c>
      <c r="N67" s="21">
        <f t="shared" ref="N67:N112" si="25">L67*60</f>
        <v>0</v>
      </c>
      <c r="O67" s="18">
        <f>(SQRT(4*O66*O66*vB*vB + 'Drilling Spec'!$C$48*O66 + WB*('Drilling Spec'!$C$49 + 2*lB*vB*(sB*WB + 2*vB*N67/(1+eB)) + 'Drilling Spec'!$C$50)) - 'Drilling Spec'!$C$51)/(2*vB)</f>
        <v>0</v>
      </c>
      <c r="P67" s="18">
        <f>IFERROR(((S67-'Drilling Spec'!$C$30)/'Drilling Spec'!$C$31)*'Drilling Spec'!$C$32,0)</f>
        <v>0</v>
      </c>
      <c r="Q67" s="18">
        <f t="shared" si="15"/>
        <v>0</v>
      </c>
      <c r="R67" s="18"/>
      <c r="S67" s="26" t="str">
        <f>IF(AND(OR(T66=0,T66=""),M67=0),IF(M68=0,"",'Drilling Spec'!$C$30),O67)</f>
        <v/>
      </c>
      <c r="U67" s="15">
        <f>E67*'Drilling Spec'!$C$22 + L67*'Drilling Spec'!$C$23</f>
        <v>0.32065040650406507</v>
      </c>
      <c r="V67" s="15">
        <f t="shared" si="16"/>
        <v>13.306991869918692</v>
      </c>
      <c r="W67" s="15">
        <f t="shared" ref="W67:W112" si="26">W66-U67+X66+Y66</f>
        <v>4.6930081300813029</v>
      </c>
      <c r="X67" s="10"/>
      <c r="Y67" s="30">
        <f>IF(W67&lt;U68,'Drilling Spec'!$C$35,0)</f>
        <v>0</v>
      </c>
      <c r="AA67" s="4">
        <f t="shared" si="19"/>
        <v>40</v>
      </c>
      <c r="AB67" s="10"/>
      <c r="AC67" s="30">
        <f>IF('04-07-25-Scen6-Good,16hr'!K68&gt;'04-07-25-Scen6-Good,16hr'!AA67,'Drilling Spec'!$C$36,)</f>
        <v>0</v>
      </c>
      <c r="AE67" s="18">
        <f>(I67-'Drilling Spec'!$C$26)/'Drilling Spec'!$C$38</f>
        <v>93.410809847583593</v>
      </c>
      <c r="AF67" s="18">
        <f t="shared" ref="AF67:AF112" si="27">IFERROR(AE67-AE66,0)</f>
        <v>1.7142404436476539</v>
      </c>
      <c r="AG67" s="34">
        <f t="shared" ref="AG67:AG112" si="28">AG66+AF67-AH67-AI66</f>
        <v>13.410809847583593</v>
      </c>
      <c r="AH67" s="10"/>
      <c r="AI67" s="26">
        <f>IF(C67="Camp Closed",AG67,IF(AG67&lt;'Drilling Spec'!$C$39,,'Drilling Spec'!$C$39))</f>
        <v>0</v>
      </c>
      <c r="AL67" s="16">
        <f t="shared" ref="AL67:AL112" si="29">IFERROR(-I67,NA())</f>
        <v>-630.46485908550153</v>
      </c>
      <c r="AM67" s="16" t="e">
        <f t="shared" ref="AM67:AM112" si="30">IF(OR(S67=0,S67=""),NA(),-S67)</f>
        <v>#N/A</v>
      </c>
      <c r="AN67">
        <f>-'Drilling Spec'!$C$29</f>
        <v>-720</v>
      </c>
      <c r="AO67">
        <f>-'Drilling Spec'!$C$27</f>
        <v>-624</v>
      </c>
      <c r="AP67">
        <f>-'Drilling Spec'!$C$28</f>
        <v>-688</v>
      </c>
      <c r="AQ67" t="e">
        <f t="shared" ref="AQ67:AQ112" si="31">IF(C67="Camp Closed",0,NA())</f>
        <v>#N/A</v>
      </c>
      <c r="AR67" t="e">
        <f>IF(X67=0,NA(),-'Drilling Spec'!$C$29*0.1)</f>
        <v>#N/A</v>
      </c>
      <c r="AS67" t="e">
        <f>IF(Y67=0,NA(),-'Drilling Spec'!$C$29*0.1)</f>
        <v>#N/A</v>
      </c>
      <c r="AT67" t="e">
        <f>IF(AB67=0,NA(),-'Drilling Spec'!$C$29*0.2)</f>
        <v>#N/A</v>
      </c>
      <c r="AU67" t="e">
        <f>IF(AC67=0,NA(),-'Drilling Spec'!$C$29*0.2)</f>
        <v>#N/A</v>
      </c>
      <c r="AV67" t="e">
        <f>IF(AH67=0,NA(),-'Drilling Spec'!$C$29*0.3)</f>
        <v>#N/A</v>
      </c>
      <c r="AW67" t="e">
        <f>IF(AI67=0,NA(),-'Drilling Spec'!$C$29*0.3)</f>
        <v>#N/A</v>
      </c>
      <c r="AX67" s="29">
        <f t="shared" ref="AX67:AX112" si="32">W67</f>
        <v>4.6930081300813029</v>
      </c>
      <c r="AY67" s="29">
        <f t="shared" ref="AY67:AY112" si="33">AA67-K67+P67</f>
        <v>3.3023427276332313</v>
      </c>
      <c r="AZ67" s="29">
        <f t="shared" si="17"/>
        <v>13.410809847583593</v>
      </c>
    </row>
    <row r="68" spans="1:52" x14ac:dyDescent="0.35">
      <c r="A68" s="28">
        <f t="shared" si="18"/>
        <v>46038</v>
      </c>
      <c r="B68" t="str">
        <f t="shared" si="20"/>
        <v>Fri</v>
      </c>
      <c r="C68" s="10" t="s">
        <v>9</v>
      </c>
      <c r="D68" s="10">
        <v>16</v>
      </c>
      <c r="E68" s="4">
        <f t="shared" si="21"/>
        <v>16</v>
      </c>
      <c r="F68" s="4">
        <f t="shared" si="22"/>
        <v>680</v>
      </c>
      <c r="G68" s="4">
        <f t="shared" si="23"/>
        <v>960</v>
      </c>
      <c r="H68" s="15">
        <f>(SQRT(4*I67*I67*V*V + 'Drilling Spec'!$C$42*I67 + W*('Drilling Spec'!$C$43 + 2*l*V*(s*W + 2*V*G68/(1+e)) + 'Drilling Spec'!$C$44)) - 'Drilling Spec'!$C$45)/(2*V)</f>
        <v>640.65982441009021</v>
      </c>
      <c r="I68" s="23">
        <f>IF(AND(OR(I67=0,I67=""),F68=0),IF(F69=0,"",'Drilling Spec'!$C$26),H68)</f>
        <v>640.65982441009021</v>
      </c>
      <c r="J68" s="16">
        <f>MAX(0,I68-'Drilling Spec'!$C$30)</f>
        <v>560.65982441009021</v>
      </c>
      <c r="K68" s="18">
        <f>IFERROR(J68/'Drilling Spec'!$C$31,0)</f>
        <v>37.377321627339349</v>
      </c>
      <c r="L68" s="21">
        <f t="shared" si="24"/>
        <v>0</v>
      </c>
      <c r="M68" s="4">
        <f t="shared" ref="M68:M112" si="34">(M67+L68)</f>
        <v>0</v>
      </c>
      <c r="N68" s="21">
        <f t="shared" si="25"/>
        <v>0</v>
      </c>
      <c r="O68" s="18">
        <f>(SQRT(4*O67*O67*vB*vB + 'Drilling Spec'!$C$48*O67 + WB*('Drilling Spec'!$C$49 + 2*lB*vB*(sB*WB + 2*vB*N68/(1+eB)) + 'Drilling Spec'!$C$50)) - 'Drilling Spec'!$C$51)/(2*vB)</f>
        <v>0</v>
      </c>
      <c r="P68" s="18">
        <f>IFERROR(((S68-'Drilling Spec'!$C$30)/'Drilling Spec'!$C$31)*'Drilling Spec'!$C$32,0)</f>
        <v>0</v>
      </c>
      <c r="Q68" s="18">
        <f t="shared" ref="Q68:Q112" si="35">P68-P67</f>
        <v>0</v>
      </c>
      <c r="R68" s="18"/>
      <c r="S68" s="26" t="str">
        <f>IF(AND(OR(T67=0,T67=""),M68=0),IF(M69=0,"",'Drilling Spec'!$C$30),O68)</f>
        <v/>
      </c>
      <c r="U68" s="15">
        <f>E68*'Drilling Spec'!$C$22 + L68*'Drilling Spec'!$C$23</f>
        <v>0.32065040650406507</v>
      </c>
      <c r="V68" s="15">
        <f t="shared" ref="V68:V112" si="36">V67+U68</f>
        <v>13.627642276422756</v>
      </c>
      <c r="W68" s="15">
        <f t="shared" si="26"/>
        <v>4.3723577235772382</v>
      </c>
      <c r="X68" s="10"/>
      <c r="Y68" s="30">
        <f>IF(W68&lt;U69,'Drilling Spec'!$C$35,0)</f>
        <v>0</v>
      </c>
      <c r="AA68" s="4">
        <f t="shared" si="19"/>
        <v>40</v>
      </c>
      <c r="AB68" s="10"/>
      <c r="AC68" s="30">
        <f>IF('04-07-25-Scen6-Good,16hr'!K69&gt;'04-07-25-Scen6-Good,16hr'!AA68,'Drilling Spec'!$C$36,)</f>
        <v>0</v>
      </c>
      <c r="AE68" s="18">
        <f>(I68-'Drilling Spec'!$C$26)/'Drilling Spec'!$C$38</f>
        <v>95.10997073501504</v>
      </c>
      <c r="AF68" s="18">
        <f t="shared" si="27"/>
        <v>1.6991608874314466</v>
      </c>
      <c r="AG68" s="34">
        <f t="shared" si="28"/>
        <v>15.10997073501504</v>
      </c>
      <c r="AH68" s="10"/>
      <c r="AI68" s="26">
        <f>IF(C68="Camp Closed",AG68,IF(AG68&lt;'Drilling Spec'!$C$39,,'Drilling Spec'!$C$39))</f>
        <v>0</v>
      </c>
      <c r="AL68" s="16">
        <f t="shared" si="29"/>
        <v>-640.65982441009021</v>
      </c>
      <c r="AM68" s="16" t="e">
        <f t="shared" si="30"/>
        <v>#N/A</v>
      </c>
      <c r="AN68">
        <f>-'Drilling Spec'!$C$29</f>
        <v>-720</v>
      </c>
      <c r="AO68">
        <f>-'Drilling Spec'!$C$27</f>
        <v>-624</v>
      </c>
      <c r="AP68">
        <f>-'Drilling Spec'!$C$28</f>
        <v>-688</v>
      </c>
      <c r="AQ68" t="e">
        <f t="shared" si="31"/>
        <v>#N/A</v>
      </c>
      <c r="AR68" t="e">
        <f>IF(X68=0,NA(),-'Drilling Spec'!$C$29*0.1)</f>
        <v>#N/A</v>
      </c>
      <c r="AS68" t="e">
        <f>IF(Y68=0,NA(),-'Drilling Spec'!$C$29*0.1)</f>
        <v>#N/A</v>
      </c>
      <c r="AT68" t="e">
        <f>IF(AB68=0,NA(),-'Drilling Spec'!$C$29*0.2)</f>
        <v>#N/A</v>
      </c>
      <c r="AU68" t="e">
        <f>IF(AC68=0,NA(),-'Drilling Spec'!$C$29*0.2)</f>
        <v>#N/A</v>
      </c>
      <c r="AV68" t="e">
        <f>IF(AH68=0,NA(),-'Drilling Spec'!$C$29*0.3)</f>
        <v>#N/A</v>
      </c>
      <c r="AW68" t="e">
        <f>IF(AI68=0,NA(),-'Drilling Spec'!$C$29*0.3)</f>
        <v>#N/A</v>
      </c>
      <c r="AX68" s="29">
        <f t="shared" si="32"/>
        <v>4.3723577235772382</v>
      </c>
      <c r="AY68" s="29">
        <f t="shared" si="33"/>
        <v>2.6226783726606513</v>
      </c>
      <c r="AZ68" s="29">
        <f t="shared" ref="AZ68:AZ112" si="37">AG68</f>
        <v>15.10997073501504</v>
      </c>
    </row>
    <row r="69" spans="1:52" x14ac:dyDescent="0.35">
      <c r="A69" s="28">
        <f t="shared" ref="A69:A84" si="38">A68+1</f>
        <v>46039</v>
      </c>
      <c r="B69" t="str">
        <f t="shared" si="20"/>
        <v>Sat</v>
      </c>
      <c r="C69" s="10" t="s">
        <v>9</v>
      </c>
      <c r="D69" s="10">
        <v>16</v>
      </c>
      <c r="E69" s="4">
        <f t="shared" si="21"/>
        <v>16</v>
      </c>
      <c r="F69" s="4">
        <f t="shared" si="22"/>
        <v>696</v>
      </c>
      <c r="G69" s="4">
        <f t="shared" si="23"/>
        <v>960</v>
      </c>
      <c r="H69" s="15">
        <f>(SQRT(4*I68*I68*V*V + 'Drilling Spec'!$C$42*I68 + W*('Drilling Spec'!$C$43 + 2*l*V*(s*W + 2*V*G69/(1+e)) + 'Drilling Spec'!$C$44)) - 'Drilling Spec'!$C$45)/(2*V)</f>
        <v>650.76665889374908</v>
      </c>
      <c r="I69" s="23">
        <f>IF(AND(OR(I68=0,I68=""),F69=0),IF(F70=0,"",'Drilling Spec'!$C$26),H69)</f>
        <v>650.76665889374908</v>
      </c>
      <c r="J69" s="16">
        <f>MAX(0,I69-'Drilling Spec'!$C$30)</f>
        <v>570.76665889374908</v>
      </c>
      <c r="K69" s="18">
        <f>IFERROR(J69/'Drilling Spec'!$C$31,0)</f>
        <v>38.051110592916608</v>
      </c>
      <c r="L69" s="21">
        <f t="shared" si="24"/>
        <v>0</v>
      </c>
      <c r="M69" s="4">
        <f t="shared" si="34"/>
        <v>0</v>
      </c>
      <c r="N69" s="21">
        <f t="shared" si="25"/>
        <v>0</v>
      </c>
      <c r="O69" s="18">
        <f>(SQRT(4*O68*O68*vB*vB + 'Drilling Spec'!$C$48*O68 + WB*('Drilling Spec'!$C$49 + 2*lB*vB*(sB*WB + 2*vB*N69/(1+eB)) + 'Drilling Spec'!$C$50)) - 'Drilling Spec'!$C$51)/(2*vB)</f>
        <v>0</v>
      </c>
      <c r="P69" s="18">
        <f>IFERROR(((S69-'Drilling Spec'!$C$30)/'Drilling Spec'!$C$31)*'Drilling Spec'!$C$32,0)</f>
        <v>0</v>
      </c>
      <c r="Q69" s="18">
        <f t="shared" si="35"/>
        <v>0</v>
      </c>
      <c r="R69" s="18"/>
      <c r="S69" s="26" t="str">
        <f>IF(AND(OR(T68=0,T68=""),M69=0),IF(M70=0,"",'Drilling Spec'!$C$30),O69)</f>
        <v/>
      </c>
      <c r="U69" s="15">
        <f>E69*'Drilling Spec'!$C$22 + L69*'Drilling Spec'!$C$23</f>
        <v>0.32065040650406507</v>
      </c>
      <c r="V69" s="15">
        <f t="shared" si="36"/>
        <v>13.948292682926821</v>
      </c>
      <c r="W69" s="15">
        <f t="shared" si="26"/>
        <v>4.0517073170731734</v>
      </c>
      <c r="X69" s="10"/>
      <c r="Y69" s="30">
        <f>IF(W69&lt;U70,'Drilling Spec'!$C$35,0)</f>
        <v>0</v>
      </c>
      <c r="AA69" s="4">
        <f t="shared" ref="AA69:AA73" si="39">AA68+AC68+AB69</f>
        <v>40</v>
      </c>
      <c r="AB69" s="10"/>
      <c r="AC69" s="30">
        <f>IF('04-07-25-Scen6-Good,16hr'!K70&gt;'04-07-25-Scen6-Good,16hr'!AA69,'Drilling Spec'!$C$36,)</f>
        <v>0</v>
      </c>
      <c r="AE69" s="18">
        <f>(I69-'Drilling Spec'!$C$26)/'Drilling Spec'!$C$38</f>
        <v>96.79444314895818</v>
      </c>
      <c r="AF69" s="18">
        <f t="shared" si="27"/>
        <v>1.6844724139431406</v>
      </c>
      <c r="AG69" s="34">
        <f t="shared" si="28"/>
        <v>16.79444314895818</v>
      </c>
      <c r="AH69" s="10"/>
      <c r="AI69" s="26">
        <f>IF(C69="Camp Closed",AG69,IF(AG69&lt;'Drilling Spec'!$C$39,,'Drilling Spec'!$C$39))</f>
        <v>0</v>
      </c>
      <c r="AL69" s="16">
        <f t="shared" si="29"/>
        <v>-650.76665889374908</v>
      </c>
      <c r="AM69" s="16" t="e">
        <f t="shared" si="30"/>
        <v>#N/A</v>
      </c>
      <c r="AN69">
        <f>-'Drilling Spec'!$C$29</f>
        <v>-720</v>
      </c>
      <c r="AO69">
        <f>-'Drilling Spec'!$C$27</f>
        <v>-624</v>
      </c>
      <c r="AP69">
        <f>-'Drilling Spec'!$C$28</f>
        <v>-688</v>
      </c>
      <c r="AQ69" t="e">
        <f t="shared" si="31"/>
        <v>#N/A</v>
      </c>
      <c r="AR69" t="e">
        <f>IF(X69=0,NA(),-'Drilling Spec'!$C$29*0.1)</f>
        <v>#N/A</v>
      </c>
      <c r="AS69" t="e">
        <f>IF(Y69=0,NA(),-'Drilling Spec'!$C$29*0.1)</f>
        <v>#N/A</v>
      </c>
      <c r="AT69" t="e">
        <f>IF(AB69=0,NA(),-'Drilling Spec'!$C$29*0.2)</f>
        <v>#N/A</v>
      </c>
      <c r="AU69" t="e">
        <f>IF(AC69=0,NA(),-'Drilling Spec'!$C$29*0.2)</f>
        <v>#N/A</v>
      </c>
      <c r="AV69" t="e">
        <f>IF(AH69=0,NA(),-'Drilling Spec'!$C$29*0.3)</f>
        <v>#N/A</v>
      </c>
      <c r="AW69" t="e">
        <f>IF(AI69=0,NA(),-'Drilling Spec'!$C$29*0.3)</f>
        <v>#N/A</v>
      </c>
      <c r="AX69" s="29">
        <f t="shared" si="32"/>
        <v>4.0517073170731734</v>
      </c>
      <c r="AY69" s="29">
        <f t="shared" si="33"/>
        <v>1.9488894070833922</v>
      </c>
      <c r="AZ69" s="29">
        <f t="shared" si="37"/>
        <v>16.79444314895818</v>
      </c>
    </row>
    <row r="70" spans="1:52" x14ac:dyDescent="0.35">
      <c r="A70" s="28">
        <f t="shared" si="38"/>
        <v>46040</v>
      </c>
      <c r="B70" t="str">
        <f t="shared" si="20"/>
        <v>Sun</v>
      </c>
      <c r="C70" s="10" t="s">
        <v>7</v>
      </c>
      <c r="D70" s="10">
        <v>0</v>
      </c>
      <c r="E70" s="4">
        <f t="shared" si="21"/>
        <v>0</v>
      </c>
      <c r="F70" s="4">
        <f t="shared" si="22"/>
        <v>696</v>
      </c>
      <c r="G70" s="4">
        <f t="shared" si="23"/>
        <v>0</v>
      </c>
      <c r="H70" s="15">
        <f>(SQRT(4*I69*I69*V*V + 'Drilling Spec'!$C$42*I69 + W*('Drilling Spec'!$C$43 + 2*l*V*(s*W + 2*V*G70/(1+e)) + 'Drilling Spec'!$C$44)) - 'Drilling Spec'!$C$45)/(2*V)</f>
        <v>650.76665889374908</v>
      </c>
      <c r="I70" s="23">
        <f>IF(AND(OR(I69=0,I69=""),F70=0),IF(F71=0,"",'Drilling Spec'!$C$26),H70)</f>
        <v>650.76665889374908</v>
      </c>
      <c r="J70" s="16">
        <f>MAX(0,I70-'Drilling Spec'!$C$30)</f>
        <v>570.76665889374908</v>
      </c>
      <c r="K70" s="18">
        <f>IFERROR(J70/'Drilling Spec'!$C$31,0)</f>
        <v>38.051110592916608</v>
      </c>
      <c r="L70" s="21">
        <f t="shared" si="24"/>
        <v>0</v>
      </c>
      <c r="M70" s="4">
        <f t="shared" si="34"/>
        <v>0</v>
      </c>
      <c r="N70" s="21">
        <f t="shared" si="25"/>
        <v>0</v>
      </c>
      <c r="O70" s="18">
        <f>(SQRT(4*O69*O69*vB*vB + 'Drilling Spec'!$C$48*O69 + WB*('Drilling Spec'!$C$49 + 2*lB*vB*(sB*WB + 2*vB*N70/(1+eB)) + 'Drilling Spec'!$C$50)) - 'Drilling Spec'!$C$51)/(2*vB)</f>
        <v>0</v>
      </c>
      <c r="P70" s="18">
        <f>IFERROR(((S70-'Drilling Spec'!$C$30)/'Drilling Spec'!$C$31)*'Drilling Spec'!$C$32,0)</f>
        <v>0</v>
      </c>
      <c r="Q70" s="18">
        <f t="shared" si="35"/>
        <v>0</v>
      </c>
      <c r="R70" s="18"/>
      <c r="S70" s="26" t="str">
        <f>IF(AND(OR(T69=0,T69=""),M70=0),IF(M71=0,"",'Drilling Spec'!$C$30),O70)</f>
        <v/>
      </c>
      <c r="U70" s="15">
        <f>E70*'Drilling Spec'!$C$22 + L70*'Drilling Spec'!$C$23</f>
        <v>0</v>
      </c>
      <c r="V70" s="15">
        <f t="shared" si="36"/>
        <v>13.948292682926821</v>
      </c>
      <c r="W70" s="15">
        <f t="shared" si="26"/>
        <v>4.0517073170731734</v>
      </c>
      <c r="X70" s="10"/>
      <c r="Y70" s="30">
        <f>IF(W70&lt;U71,'Drilling Spec'!$C$35,0)</f>
        <v>0</v>
      </c>
      <c r="AA70" s="4">
        <f t="shared" si="39"/>
        <v>40</v>
      </c>
      <c r="AB70" s="10"/>
      <c r="AC70" s="30">
        <f>IF('04-07-25-Scen6-Good,16hr'!K71&gt;'04-07-25-Scen6-Good,16hr'!AA70,'Drilling Spec'!$C$36,)</f>
        <v>0</v>
      </c>
      <c r="AE70" s="18">
        <f>(I70-'Drilling Spec'!$C$26)/'Drilling Spec'!$C$38</f>
        <v>96.79444314895818</v>
      </c>
      <c r="AF70" s="18">
        <f t="shared" si="27"/>
        <v>0</v>
      </c>
      <c r="AG70" s="34">
        <f t="shared" si="28"/>
        <v>16.79444314895818</v>
      </c>
      <c r="AH70" s="10"/>
      <c r="AI70" s="26">
        <f>IF(C70="Camp Closed",AG70,IF(AG70&lt;'Drilling Spec'!$C$39,,'Drilling Spec'!$C$39))</f>
        <v>0</v>
      </c>
      <c r="AL70" s="16">
        <f t="shared" si="29"/>
        <v>-650.76665889374908</v>
      </c>
      <c r="AM70" s="16" t="e">
        <f t="shared" si="30"/>
        <v>#N/A</v>
      </c>
      <c r="AN70">
        <f>-'Drilling Spec'!$C$29</f>
        <v>-720</v>
      </c>
      <c r="AO70">
        <f>-'Drilling Spec'!$C$27</f>
        <v>-624</v>
      </c>
      <c r="AP70">
        <f>-'Drilling Spec'!$C$28</f>
        <v>-688</v>
      </c>
      <c r="AQ70" t="e">
        <f t="shared" si="31"/>
        <v>#N/A</v>
      </c>
      <c r="AR70" t="e">
        <f>IF(X70=0,NA(),-'Drilling Spec'!$C$29*0.1)</f>
        <v>#N/A</v>
      </c>
      <c r="AS70" t="e">
        <f>IF(Y70=0,NA(),-'Drilling Spec'!$C$29*0.1)</f>
        <v>#N/A</v>
      </c>
      <c r="AT70" t="e">
        <f>IF(AB70=0,NA(),-'Drilling Spec'!$C$29*0.2)</f>
        <v>#N/A</v>
      </c>
      <c r="AU70" t="e">
        <f>IF(AC70=0,NA(),-'Drilling Spec'!$C$29*0.2)</f>
        <v>#N/A</v>
      </c>
      <c r="AV70" t="e">
        <f>IF(AH70=0,NA(),-'Drilling Spec'!$C$29*0.3)</f>
        <v>#N/A</v>
      </c>
      <c r="AW70" t="e">
        <f>IF(AI70=0,NA(),-'Drilling Spec'!$C$29*0.3)</f>
        <v>#N/A</v>
      </c>
      <c r="AX70" s="29">
        <f t="shared" si="32"/>
        <v>4.0517073170731734</v>
      </c>
      <c r="AY70" s="29">
        <f t="shared" si="33"/>
        <v>1.9488894070833922</v>
      </c>
      <c r="AZ70" s="29">
        <f t="shared" si="37"/>
        <v>16.79444314895818</v>
      </c>
    </row>
    <row r="71" spans="1:52" x14ac:dyDescent="0.35">
      <c r="A71" s="28">
        <f t="shared" si="38"/>
        <v>46041</v>
      </c>
      <c r="B71" t="str">
        <f t="shared" si="20"/>
        <v>Mon</v>
      </c>
      <c r="C71" s="10" t="s">
        <v>9</v>
      </c>
      <c r="D71" s="10">
        <v>16</v>
      </c>
      <c r="E71" s="4">
        <f t="shared" si="21"/>
        <v>16</v>
      </c>
      <c r="F71" s="4">
        <f t="shared" si="22"/>
        <v>712</v>
      </c>
      <c r="G71" s="4">
        <f t="shared" si="23"/>
        <v>960</v>
      </c>
      <c r="H71" s="15">
        <f>(SQRT(4*I70*I70*V*V + 'Drilling Spec'!$C$42*I70 + W*('Drilling Spec'!$C$43 + 2*l*V*(s*W + 2*V*G71/(1+e)) + 'Drilling Spec'!$C$44)) - 'Drilling Spec'!$C$45)/(2*V)</f>
        <v>660.78760932720695</v>
      </c>
      <c r="I71" s="23">
        <f>IF(AND(OR(I70=0,I70=""),F71=0),IF(F72=0,"",'Drilling Spec'!$C$26),H71)</f>
        <v>660.78760932720695</v>
      </c>
      <c r="J71" s="16">
        <f>MAX(0,I71-'Drilling Spec'!$C$30)</f>
        <v>580.78760932720695</v>
      </c>
      <c r="K71" s="18">
        <f>IFERROR(J71/'Drilling Spec'!$C$31,0)</f>
        <v>38.719173955147127</v>
      </c>
      <c r="L71" s="21">
        <f t="shared" si="24"/>
        <v>0</v>
      </c>
      <c r="M71" s="4">
        <f t="shared" si="34"/>
        <v>0</v>
      </c>
      <c r="N71" s="21">
        <f t="shared" si="25"/>
        <v>0</v>
      </c>
      <c r="O71" s="18">
        <f>(SQRT(4*O70*O70*vB*vB + 'Drilling Spec'!$C$48*O70 + WB*('Drilling Spec'!$C$49 + 2*lB*vB*(sB*WB + 2*vB*N71/(1+eB)) + 'Drilling Spec'!$C$50)) - 'Drilling Spec'!$C$51)/(2*vB)</f>
        <v>0</v>
      </c>
      <c r="P71" s="18">
        <f>IFERROR(((S71-'Drilling Spec'!$C$30)/'Drilling Spec'!$C$31)*'Drilling Spec'!$C$32,0)</f>
        <v>0</v>
      </c>
      <c r="Q71" s="18">
        <f t="shared" si="35"/>
        <v>0</v>
      </c>
      <c r="R71" s="18"/>
      <c r="S71" s="26" t="str">
        <f>IF(AND(OR(T70=0,T70=""),M71=0),IF(M72=0,"",'Drilling Spec'!$C$30),O71)</f>
        <v/>
      </c>
      <c r="U71" s="15">
        <f>E71*'Drilling Spec'!$C$22 + L71*'Drilling Spec'!$C$23</f>
        <v>0.32065040650406507</v>
      </c>
      <c r="V71" s="15">
        <f t="shared" si="36"/>
        <v>14.268943089430886</v>
      </c>
      <c r="W71" s="15">
        <f t="shared" si="26"/>
        <v>3.7310569105691083</v>
      </c>
      <c r="X71" s="10"/>
      <c r="Y71" s="30">
        <f>IF(W71&lt;U72,'Drilling Spec'!$C$35,0)</f>
        <v>0</v>
      </c>
      <c r="AA71" s="4">
        <f t="shared" si="39"/>
        <v>40</v>
      </c>
      <c r="AB71" s="10"/>
      <c r="AC71" s="30">
        <f>IF('04-07-25-Scen6-Good,16hr'!K72&gt;'04-07-25-Scen6-Good,16hr'!AA71,'Drilling Spec'!$C$36,)</f>
        <v>0</v>
      </c>
      <c r="AE71" s="18">
        <f>(I71-'Drilling Spec'!$C$26)/'Drilling Spec'!$C$38</f>
        <v>98.464601554534497</v>
      </c>
      <c r="AF71" s="18">
        <f t="shared" si="27"/>
        <v>1.6701584055763163</v>
      </c>
      <c r="AG71" s="34">
        <f t="shared" si="28"/>
        <v>18.464601554534497</v>
      </c>
      <c r="AH71" s="10"/>
      <c r="AI71" s="26">
        <f>IF(C71="Camp Closed",AG71,IF(AG71&lt;'Drilling Spec'!$C$39,,'Drilling Spec'!$C$39))</f>
        <v>0</v>
      </c>
      <c r="AL71" s="16">
        <f t="shared" si="29"/>
        <v>-660.78760932720695</v>
      </c>
      <c r="AM71" s="16" t="e">
        <f t="shared" si="30"/>
        <v>#N/A</v>
      </c>
      <c r="AN71">
        <f>-'Drilling Spec'!$C$29</f>
        <v>-720</v>
      </c>
      <c r="AO71">
        <f>-'Drilling Spec'!$C$27</f>
        <v>-624</v>
      </c>
      <c r="AP71">
        <f>-'Drilling Spec'!$C$28</f>
        <v>-688</v>
      </c>
      <c r="AQ71" t="e">
        <f t="shared" si="31"/>
        <v>#N/A</v>
      </c>
      <c r="AR71" t="e">
        <f>IF(X71=0,NA(),-'Drilling Spec'!$C$29*0.1)</f>
        <v>#N/A</v>
      </c>
      <c r="AS71" t="e">
        <f>IF(Y71=0,NA(),-'Drilling Spec'!$C$29*0.1)</f>
        <v>#N/A</v>
      </c>
      <c r="AT71" t="e">
        <f>IF(AB71=0,NA(),-'Drilling Spec'!$C$29*0.2)</f>
        <v>#N/A</v>
      </c>
      <c r="AU71" t="e">
        <f>IF(AC71=0,NA(),-'Drilling Spec'!$C$29*0.2)</f>
        <v>#N/A</v>
      </c>
      <c r="AV71" t="e">
        <f>IF(AH71=0,NA(),-'Drilling Spec'!$C$29*0.3)</f>
        <v>#N/A</v>
      </c>
      <c r="AW71" t="e">
        <f>IF(AI71=0,NA(),-'Drilling Spec'!$C$29*0.3)</f>
        <v>#N/A</v>
      </c>
      <c r="AX71" s="29">
        <f t="shared" si="32"/>
        <v>3.7310569105691083</v>
      </c>
      <c r="AY71" s="29">
        <f t="shared" si="33"/>
        <v>1.2808260448528728</v>
      </c>
      <c r="AZ71" s="29">
        <f t="shared" si="37"/>
        <v>18.464601554534497</v>
      </c>
    </row>
    <row r="72" spans="1:52" x14ac:dyDescent="0.35">
      <c r="A72" s="28">
        <f t="shared" si="38"/>
        <v>46042</v>
      </c>
      <c r="B72" t="str">
        <f t="shared" si="20"/>
        <v>Tue</v>
      </c>
      <c r="C72" s="10" t="s">
        <v>9</v>
      </c>
      <c r="D72" s="10">
        <v>16</v>
      </c>
      <c r="E72" s="4">
        <f t="shared" si="21"/>
        <v>16</v>
      </c>
      <c r="F72" s="4">
        <f t="shared" si="22"/>
        <v>728</v>
      </c>
      <c r="G72" s="4">
        <f t="shared" si="23"/>
        <v>960</v>
      </c>
      <c r="H72" s="15">
        <f>(SQRT(4*I71*I71*V*V + 'Drilling Spec'!$C$42*I71 + W*('Drilling Spec'!$C$43 + 2*l*V*(s*W + 2*V*G72/(1+e)) + 'Drilling Spec'!$C$44)) - 'Drilling Spec'!$C$45)/(2*V)</f>
        <v>670.72482862789957</v>
      </c>
      <c r="I72" s="23">
        <f>IF(AND(OR(I71=0,I71=""),F72=0),IF(F73=0,"",'Drilling Spec'!$C$26),H72)</f>
        <v>670.72482862789957</v>
      </c>
      <c r="J72" s="16">
        <f>MAX(0,I72-'Drilling Spec'!$C$30)</f>
        <v>590.72482862789957</v>
      </c>
      <c r="K72" s="18">
        <f>IFERROR(J72/'Drilling Spec'!$C$31,0)</f>
        <v>39.381655241859974</v>
      </c>
      <c r="L72" s="21">
        <f t="shared" si="24"/>
        <v>0</v>
      </c>
      <c r="M72" s="4">
        <f t="shared" si="34"/>
        <v>0</v>
      </c>
      <c r="N72" s="21">
        <f t="shared" si="25"/>
        <v>0</v>
      </c>
      <c r="O72" s="18">
        <f>(SQRT(4*O71*O71*vB*vB + 'Drilling Spec'!$C$48*O71 + WB*('Drilling Spec'!$C$49 + 2*lB*vB*(sB*WB + 2*vB*N72/(1+eB)) + 'Drilling Spec'!$C$50)) - 'Drilling Spec'!$C$51)/(2*vB)</f>
        <v>0</v>
      </c>
      <c r="P72" s="18">
        <f>IFERROR(((S72-'Drilling Spec'!$C$30)/'Drilling Spec'!$C$31)*'Drilling Spec'!$C$32,0)</f>
        <v>0</v>
      </c>
      <c r="Q72" s="18">
        <f t="shared" si="35"/>
        <v>0</v>
      </c>
      <c r="R72" s="18"/>
      <c r="S72" s="26" t="str">
        <f>IF(AND(OR(T71=0,T71=""),M72=0),IF(M73=0,"",'Drilling Spec'!$C$30),O72)</f>
        <v/>
      </c>
      <c r="U72" s="15">
        <f>E72*'Drilling Spec'!$C$22 + L72*'Drilling Spec'!$C$23</f>
        <v>0.32065040650406507</v>
      </c>
      <c r="V72" s="15">
        <f t="shared" si="36"/>
        <v>14.589593495934951</v>
      </c>
      <c r="W72" s="15">
        <f t="shared" si="26"/>
        <v>3.4104065040650431</v>
      </c>
      <c r="X72" s="10"/>
      <c r="Y72" s="30">
        <f>IF(W72&lt;U73,'Drilling Spec'!$C$35,0)</f>
        <v>0</v>
      </c>
      <c r="AA72" s="4">
        <f t="shared" si="39"/>
        <v>40</v>
      </c>
      <c r="AB72" s="10"/>
      <c r="AC72" s="30">
        <f>IF('04-07-25-Scen6-Good,16hr'!K73&gt;'04-07-25-Scen6-Good,16hr'!AA72,'Drilling Spec'!$C$36,)</f>
        <v>6</v>
      </c>
      <c r="AE72" s="18">
        <f>(I72-'Drilling Spec'!$C$26)/'Drilling Spec'!$C$38</f>
        <v>100.1208047713166</v>
      </c>
      <c r="AF72" s="18">
        <f t="shared" si="27"/>
        <v>1.656203216782103</v>
      </c>
      <c r="AG72" s="34">
        <f t="shared" si="28"/>
        <v>20.1208047713166</v>
      </c>
      <c r="AH72" s="10"/>
      <c r="AI72" s="26">
        <f>IF(C72="Camp Closed",AG72,IF(AG72&lt;'Drilling Spec'!$C$39,,'Drilling Spec'!$C$39))</f>
        <v>20</v>
      </c>
      <c r="AL72" s="16">
        <f t="shared" si="29"/>
        <v>-670.72482862789957</v>
      </c>
      <c r="AM72" s="16" t="e">
        <f t="shared" si="30"/>
        <v>#N/A</v>
      </c>
      <c r="AN72">
        <f>-'Drilling Spec'!$C$29</f>
        <v>-720</v>
      </c>
      <c r="AO72">
        <f>-'Drilling Spec'!$C$27</f>
        <v>-624</v>
      </c>
      <c r="AP72">
        <f>-'Drilling Spec'!$C$28</f>
        <v>-688</v>
      </c>
      <c r="AQ72" t="e">
        <f t="shared" si="31"/>
        <v>#N/A</v>
      </c>
      <c r="AR72" t="e">
        <f>IF(X72=0,NA(),-'Drilling Spec'!$C$29*0.1)</f>
        <v>#N/A</v>
      </c>
      <c r="AS72" t="e">
        <f>IF(Y72=0,NA(),-'Drilling Spec'!$C$29*0.1)</f>
        <v>#N/A</v>
      </c>
      <c r="AT72" t="e">
        <f>IF(AB72=0,NA(),-'Drilling Spec'!$C$29*0.2)</f>
        <v>#N/A</v>
      </c>
      <c r="AU72">
        <f>IF(AC72=0,NA(),-'Drilling Spec'!$C$29*0.2)</f>
        <v>-144</v>
      </c>
      <c r="AV72" t="e">
        <f>IF(AH72=0,NA(),-'Drilling Spec'!$C$29*0.3)</f>
        <v>#N/A</v>
      </c>
      <c r="AW72">
        <f>IF(AI72=0,NA(),-'Drilling Spec'!$C$29*0.3)</f>
        <v>-216</v>
      </c>
      <c r="AX72" s="29">
        <f t="shared" si="32"/>
        <v>3.4104065040650431</v>
      </c>
      <c r="AY72" s="29">
        <f t="shared" si="33"/>
        <v>0.61834475814002587</v>
      </c>
      <c r="AZ72" s="29">
        <f t="shared" si="37"/>
        <v>20.1208047713166</v>
      </c>
    </row>
    <row r="73" spans="1:52" x14ac:dyDescent="0.35">
      <c r="A73" s="28">
        <f t="shared" si="38"/>
        <v>46043</v>
      </c>
      <c r="B73" t="str">
        <f t="shared" si="20"/>
        <v>Wed</v>
      </c>
      <c r="C73" s="10" t="s">
        <v>9</v>
      </c>
      <c r="D73" s="10">
        <v>16</v>
      </c>
      <c r="E73" s="4">
        <f t="shared" si="21"/>
        <v>16</v>
      </c>
      <c r="F73" s="4">
        <f t="shared" si="22"/>
        <v>744</v>
      </c>
      <c r="G73" s="4">
        <f t="shared" si="23"/>
        <v>960</v>
      </c>
      <c r="H73" s="15">
        <f>(SQRT(4*I72*I72*V*V + 'Drilling Spec'!$C$42*I72 + W*('Drilling Spec'!$C$43 + 2*l*V*(s*W + 2*V*G73/(1+e)) + 'Drilling Spec'!$C$44)) - 'Drilling Spec'!$C$45)/(2*V)</f>
        <v>680.58038124086852</v>
      </c>
      <c r="I73" s="23">
        <f>IF(AND(OR(I72=0,I72=""),F73=0),IF(F74=0,"",'Drilling Spec'!$C$26),H73)</f>
        <v>680.58038124086852</v>
      </c>
      <c r="J73" s="16">
        <f>MAX(0,I73-'Drilling Spec'!$C$30)</f>
        <v>600.58038124086852</v>
      </c>
      <c r="K73" s="18">
        <f>IFERROR(J73/'Drilling Spec'!$C$31,0)</f>
        <v>40.038692082724566</v>
      </c>
      <c r="L73" s="21">
        <f t="shared" si="24"/>
        <v>0</v>
      </c>
      <c r="M73" s="4">
        <f t="shared" si="34"/>
        <v>0</v>
      </c>
      <c r="N73" s="21">
        <f t="shared" si="25"/>
        <v>0</v>
      </c>
      <c r="O73" s="18">
        <f>(SQRT(4*O72*O72*vB*vB + 'Drilling Spec'!$C$48*O72 + WB*('Drilling Spec'!$C$49 + 2*lB*vB*(sB*WB + 2*vB*N73/(1+eB)) + 'Drilling Spec'!$C$50)) - 'Drilling Spec'!$C$51)/(2*vB)</f>
        <v>0</v>
      </c>
      <c r="P73" s="18">
        <f>IFERROR(((S73-'Drilling Spec'!$C$30)/'Drilling Spec'!$C$31)*'Drilling Spec'!$C$32,0)</f>
        <v>0</v>
      </c>
      <c r="Q73" s="18">
        <f t="shared" si="35"/>
        <v>0</v>
      </c>
      <c r="R73" s="18"/>
      <c r="S73" s="26" t="str">
        <f>IF(AND(OR(T72=0,T72=""),M73=0),IF(M74=0,"",'Drilling Spec'!$C$30),O73)</f>
        <v/>
      </c>
      <c r="U73" s="15">
        <f>E73*'Drilling Spec'!$C$22 + L73*'Drilling Spec'!$C$23</f>
        <v>0.32065040650406507</v>
      </c>
      <c r="V73" s="15">
        <f t="shared" si="36"/>
        <v>14.910243902439015</v>
      </c>
      <c r="W73" s="15">
        <f t="shared" si="26"/>
        <v>3.0897560975609779</v>
      </c>
      <c r="X73" s="10"/>
      <c r="Y73" s="30">
        <f>IF(W73&lt;U74,'Drilling Spec'!$C$35,0)</f>
        <v>0</v>
      </c>
      <c r="AA73" s="4">
        <f t="shared" si="39"/>
        <v>46</v>
      </c>
      <c r="AB73" s="10"/>
      <c r="AC73" s="30">
        <f>IF('04-07-25-Scen6-Good,16hr'!K74&gt;'04-07-25-Scen6-Good,16hr'!AA73,'Drilling Spec'!$C$36,)</f>
        <v>0</v>
      </c>
      <c r="AE73" s="18">
        <f>(I73-'Drilling Spec'!$C$26)/'Drilling Spec'!$C$38</f>
        <v>101.76339687347809</v>
      </c>
      <c r="AF73" s="18">
        <f t="shared" si="27"/>
        <v>1.6425921021614869</v>
      </c>
      <c r="AG73" s="34">
        <f t="shared" si="28"/>
        <v>1.7633968734780865</v>
      </c>
      <c r="AH73" s="10"/>
      <c r="AI73" s="26">
        <f>IF(C73="Camp Closed",AG73,IF(AG73&lt;'Drilling Spec'!$C$39,,'Drilling Spec'!$C$39))</f>
        <v>0</v>
      </c>
      <c r="AL73" s="16">
        <f t="shared" si="29"/>
        <v>-680.58038124086852</v>
      </c>
      <c r="AM73" s="16" t="e">
        <f t="shared" si="30"/>
        <v>#N/A</v>
      </c>
      <c r="AN73">
        <f>-'Drilling Spec'!$C$29</f>
        <v>-720</v>
      </c>
      <c r="AO73">
        <f>-'Drilling Spec'!$C$27</f>
        <v>-624</v>
      </c>
      <c r="AP73">
        <f>-'Drilling Spec'!$C$28</f>
        <v>-688</v>
      </c>
      <c r="AQ73" t="e">
        <f t="shared" si="31"/>
        <v>#N/A</v>
      </c>
      <c r="AR73" t="e">
        <f>IF(X73=0,NA(),-'Drilling Spec'!$C$29*0.1)</f>
        <v>#N/A</v>
      </c>
      <c r="AS73" t="e">
        <f>IF(Y73=0,NA(),-'Drilling Spec'!$C$29*0.1)</f>
        <v>#N/A</v>
      </c>
      <c r="AT73" t="e">
        <f>IF(AB73=0,NA(),-'Drilling Spec'!$C$29*0.2)</f>
        <v>#N/A</v>
      </c>
      <c r="AU73" t="e">
        <f>IF(AC73=0,NA(),-'Drilling Spec'!$C$29*0.2)</f>
        <v>#N/A</v>
      </c>
      <c r="AV73" t="e">
        <f>IF(AH73=0,NA(),-'Drilling Spec'!$C$29*0.3)</f>
        <v>#N/A</v>
      </c>
      <c r="AW73" t="e">
        <f>IF(AI73=0,NA(),-'Drilling Spec'!$C$29*0.3)</f>
        <v>#N/A</v>
      </c>
      <c r="AX73" s="29">
        <f t="shared" si="32"/>
        <v>3.0897560975609779</v>
      </c>
      <c r="AY73" s="29">
        <f t="shared" si="33"/>
        <v>5.961307917275434</v>
      </c>
      <c r="AZ73" s="29">
        <f t="shared" si="37"/>
        <v>1.7633968734780865</v>
      </c>
    </row>
    <row r="74" spans="1:52" x14ac:dyDescent="0.35">
      <c r="A74" s="28">
        <f t="shared" si="38"/>
        <v>46044</v>
      </c>
      <c r="B74" t="str">
        <f t="shared" si="20"/>
        <v>Thu</v>
      </c>
      <c r="C74" s="10" t="s">
        <v>9</v>
      </c>
      <c r="D74" s="10">
        <v>16</v>
      </c>
      <c r="E74" s="4">
        <f t="shared" si="21"/>
        <v>16</v>
      </c>
      <c r="F74" s="4">
        <f t="shared" si="22"/>
        <v>760</v>
      </c>
      <c r="G74" s="4">
        <f t="shared" si="23"/>
        <v>960</v>
      </c>
      <c r="H74" s="15">
        <f>(SQRT(4*I73*I73*V*V + 'Drilling Spec'!$C$42*I73 + W*('Drilling Spec'!$C$43 + 2*l*V*(s*W + 2*V*G74/(1+e)) + 'Drilling Spec'!$C$44)) - 'Drilling Spec'!$C$45)/(2*V)</f>
        <v>690.35624814659275</v>
      </c>
      <c r="I74" s="23">
        <f>IF(AND(OR(I73=0,I73=""),F74=0),IF(F75=0,"",'Drilling Spec'!$C$26),H74)</f>
        <v>690.35624814659275</v>
      </c>
      <c r="J74" s="16">
        <f>MAX(0,I74-'Drilling Spec'!$C$30)</f>
        <v>610.35624814659275</v>
      </c>
      <c r="K74" s="18">
        <f>IFERROR(J74/'Drilling Spec'!$C$31,0)</f>
        <v>40.690416543106181</v>
      </c>
      <c r="L74" s="21">
        <f t="shared" si="24"/>
        <v>0</v>
      </c>
      <c r="M74" s="4">
        <f t="shared" si="34"/>
        <v>0</v>
      </c>
      <c r="N74" s="21">
        <f t="shared" si="25"/>
        <v>0</v>
      </c>
      <c r="O74" s="18">
        <f>(SQRT(4*O73*O73*vB*vB + 'Drilling Spec'!$C$48*O73 + WB*('Drilling Spec'!$C$49 + 2*lB*vB*(sB*WB + 2*vB*N74/(1+eB)) + 'Drilling Spec'!$C$50)) - 'Drilling Spec'!$C$51)/(2*vB)</f>
        <v>0</v>
      </c>
      <c r="P74" s="18">
        <f>IFERROR(((S74-'Drilling Spec'!$C$30)/'Drilling Spec'!$C$31)*'Drilling Spec'!$C$32,0)</f>
        <v>0</v>
      </c>
      <c r="Q74" s="18">
        <f t="shared" si="35"/>
        <v>0</v>
      </c>
      <c r="R74" s="18"/>
      <c r="S74" s="26" t="str">
        <f>IF(AND(OR(T73=0,T73=""),M74=0),IF(M75=0,"",'Drilling Spec'!$C$30),O74)</f>
        <v/>
      </c>
      <c r="U74" s="15">
        <f>E74*'Drilling Spec'!$C$22 + L74*'Drilling Spec'!$C$23</f>
        <v>0.32065040650406507</v>
      </c>
      <c r="V74" s="15">
        <f t="shared" si="36"/>
        <v>15.23089430894308</v>
      </c>
      <c r="W74" s="15">
        <f t="shared" si="26"/>
        <v>2.7691056910569127</v>
      </c>
      <c r="X74" s="10"/>
      <c r="Y74" s="30">
        <f>IF(W74&lt;U75,'Drilling Spec'!$C$35,0)</f>
        <v>0</v>
      </c>
      <c r="AA74" s="4">
        <f>AA73+AC73+AB74</f>
        <v>46</v>
      </c>
      <c r="AB74" s="10"/>
      <c r="AC74" s="30">
        <f>IF('04-07-25-Scen6-Good,16hr'!K75&gt;'04-07-25-Scen6-Good,16hr'!AA74,'Drilling Spec'!$C$36,)</f>
        <v>0</v>
      </c>
      <c r="AE74" s="18">
        <f>(I74-'Drilling Spec'!$C$26)/'Drilling Spec'!$C$38</f>
        <v>103.39270802443212</v>
      </c>
      <c r="AF74" s="18">
        <f t="shared" si="27"/>
        <v>1.6293111509540381</v>
      </c>
      <c r="AG74" s="34">
        <f t="shared" si="28"/>
        <v>3.3927080244321246</v>
      </c>
      <c r="AH74" s="10"/>
      <c r="AI74" s="26">
        <f>IF(C74="Camp Closed",AG74,IF(AG74&lt;'Drilling Spec'!$C$39,,'Drilling Spec'!$C$39))</f>
        <v>0</v>
      </c>
      <c r="AL74" s="16">
        <f t="shared" si="29"/>
        <v>-690.35624814659275</v>
      </c>
      <c r="AM74" s="16" t="e">
        <f t="shared" si="30"/>
        <v>#N/A</v>
      </c>
      <c r="AN74">
        <f>-'Drilling Spec'!$C$29</f>
        <v>-720</v>
      </c>
      <c r="AO74">
        <f>-'Drilling Spec'!$C$27</f>
        <v>-624</v>
      </c>
      <c r="AP74">
        <f>-'Drilling Spec'!$C$28</f>
        <v>-688</v>
      </c>
      <c r="AQ74" t="e">
        <f t="shared" si="31"/>
        <v>#N/A</v>
      </c>
      <c r="AR74" t="e">
        <f>IF(X74=0,NA(),-'Drilling Spec'!$C$29*0.1)</f>
        <v>#N/A</v>
      </c>
      <c r="AS74" t="e">
        <f>IF(Y74=0,NA(),-'Drilling Spec'!$C$29*0.1)</f>
        <v>#N/A</v>
      </c>
      <c r="AT74" t="e">
        <f>IF(AB74=0,NA(),-'Drilling Spec'!$C$29*0.2)</f>
        <v>#N/A</v>
      </c>
      <c r="AU74" t="e">
        <f>IF(AC74=0,NA(),-'Drilling Spec'!$C$29*0.2)</f>
        <v>#N/A</v>
      </c>
      <c r="AV74" t="e">
        <f>IF(AH74=0,NA(),-'Drilling Spec'!$C$29*0.3)</f>
        <v>#N/A</v>
      </c>
      <c r="AW74" t="e">
        <f>IF(AI74=0,NA(),-'Drilling Spec'!$C$29*0.3)</f>
        <v>#N/A</v>
      </c>
      <c r="AX74" s="29">
        <f t="shared" si="32"/>
        <v>2.7691056910569127</v>
      </c>
      <c r="AY74" s="29">
        <f t="shared" si="33"/>
        <v>5.3095834568938187</v>
      </c>
      <c r="AZ74" s="29">
        <f t="shared" si="37"/>
        <v>3.3927080244321246</v>
      </c>
    </row>
    <row r="75" spans="1:52" x14ac:dyDescent="0.35">
      <c r="A75" s="28">
        <f t="shared" si="38"/>
        <v>46045</v>
      </c>
      <c r="B75" t="str">
        <f t="shared" si="20"/>
        <v>Fri</v>
      </c>
      <c r="C75" s="10" t="s">
        <v>9</v>
      </c>
      <c r="D75" s="10">
        <v>16</v>
      </c>
      <c r="E75" s="4">
        <f t="shared" si="21"/>
        <v>16</v>
      </c>
      <c r="F75" s="4">
        <f t="shared" si="22"/>
        <v>776</v>
      </c>
      <c r="G75" s="4">
        <f t="shared" si="23"/>
        <v>960</v>
      </c>
      <c r="H75" s="15">
        <f>(SQRT(4*I74*I74*V*V + 'Drilling Spec'!$C$42*I74 + W*('Drilling Spec'!$C$43 + 2*l*V*(s*W + 2*V*G75/(1+e)) + 'Drilling Spec'!$C$44)) - 'Drilling Spec'!$C$45)/(2*V)</f>
        <v>700.05433151015961</v>
      </c>
      <c r="I75" s="23">
        <f>IF(AND(OR(I74=0,I74=""),F75=0),IF(F76=0,"",'Drilling Spec'!$C$26),H75)</f>
        <v>700.05433151015961</v>
      </c>
      <c r="J75" s="16">
        <f>MAX(0,I75-'Drilling Spec'!$C$30)</f>
        <v>620.05433151015961</v>
      </c>
      <c r="K75" s="18">
        <f>IFERROR(J75/'Drilling Spec'!$C$31,0)</f>
        <v>41.33695543401064</v>
      </c>
      <c r="L75" s="21">
        <f t="shared" si="24"/>
        <v>0</v>
      </c>
      <c r="M75" s="4">
        <f t="shared" si="34"/>
        <v>0</v>
      </c>
      <c r="N75" s="21">
        <f t="shared" si="25"/>
        <v>0</v>
      </c>
      <c r="O75" s="18">
        <f>(SQRT(4*O74*O74*vB*vB + 'Drilling Spec'!$C$48*O74 + WB*('Drilling Spec'!$C$49 + 2*lB*vB*(sB*WB + 2*vB*N75/(1+eB)) + 'Drilling Spec'!$C$50)) - 'Drilling Spec'!$C$51)/(2*vB)</f>
        <v>0</v>
      </c>
      <c r="P75" s="18">
        <f>IFERROR(((S75-'Drilling Spec'!$C$30)/'Drilling Spec'!$C$31)*'Drilling Spec'!$C$32,0)</f>
        <v>0</v>
      </c>
      <c r="Q75" s="18">
        <f t="shared" si="35"/>
        <v>0</v>
      </c>
      <c r="R75" s="18"/>
      <c r="S75" s="26" t="str">
        <f>IF(AND(OR(T74=0,T74=""),M75=0),IF(M76=0,"",'Drilling Spec'!$C$30),O75)</f>
        <v/>
      </c>
      <c r="U75" s="15">
        <f>E75*'Drilling Spec'!$C$22 + L75*'Drilling Spec'!$C$23</f>
        <v>0.32065040650406507</v>
      </c>
      <c r="V75" s="15">
        <f t="shared" si="36"/>
        <v>15.551544715447145</v>
      </c>
      <c r="W75" s="15">
        <f t="shared" si="26"/>
        <v>2.4484552845528476</v>
      </c>
      <c r="X75" s="10"/>
      <c r="Y75" s="30">
        <f>IF(W75&lt;U76,'Drilling Spec'!$C$35,0)</f>
        <v>0</v>
      </c>
      <c r="AA75" s="4">
        <f t="shared" ref="AA75:AA112" si="40">AA74+AC74+AB75</f>
        <v>46</v>
      </c>
      <c r="AB75" s="10"/>
      <c r="AC75" s="30">
        <f>IF('04-07-25-Scen6-Good,16hr'!K76&gt;'04-07-25-Scen6-Good,16hr'!AA75,'Drilling Spec'!$C$36,)</f>
        <v>0</v>
      </c>
      <c r="AE75" s="18">
        <f>(I75-'Drilling Spec'!$C$26)/'Drilling Spec'!$C$38</f>
        <v>105.00905525169327</v>
      </c>
      <c r="AF75" s="18">
        <f t="shared" si="27"/>
        <v>1.6163472272611443</v>
      </c>
      <c r="AG75" s="34">
        <f t="shared" si="28"/>
        <v>5.0090552516932689</v>
      </c>
      <c r="AH75" s="10"/>
      <c r="AI75" s="26">
        <f>IF(C75="Camp Closed",AG75,IF(AG75&lt;'Drilling Spec'!$C$39,,'Drilling Spec'!$C$39))</f>
        <v>0</v>
      </c>
      <c r="AL75" s="16">
        <f t="shared" si="29"/>
        <v>-700.05433151015961</v>
      </c>
      <c r="AM75" s="16" t="e">
        <f t="shared" si="30"/>
        <v>#N/A</v>
      </c>
      <c r="AN75">
        <f>-'Drilling Spec'!$C$29</f>
        <v>-720</v>
      </c>
      <c r="AO75">
        <f>-'Drilling Spec'!$C$27</f>
        <v>-624</v>
      </c>
      <c r="AP75">
        <f>-'Drilling Spec'!$C$28</f>
        <v>-688</v>
      </c>
      <c r="AQ75" t="e">
        <f t="shared" si="31"/>
        <v>#N/A</v>
      </c>
      <c r="AR75" t="e">
        <f>IF(X75=0,NA(),-'Drilling Spec'!$C$29*0.1)</f>
        <v>#N/A</v>
      </c>
      <c r="AS75" t="e">
        <f>IF(Y75=0,NA(),-'Drilling Spec'!$C$29*0.1)</f>
        <v>#N/A</v>
      </c>
      <c r="AT75" t="e">
        <f>IF(AB75=0,NA(),-'Drilling Spec'!$C$29*0.2)</f>
        <v>#N/A</v>
      </c>
      <c r="AU75" t="e">
        <f>IF(AC75=0,NA(),-'Drilling Spec'!$C$29*0.2)</f>
        <v>#N/A</v>
      </c>
      <c r="AV75" t="e">
        <f>IF(AH75=0,NA(),-'Drilling Spec'!$C$29*0.3)</f>
        <v>#N/A</v>
      </c>
      <c r="AW75" t="e">
        <f>IF(AI75=0,NA(),-'Drilling Spec'!$C$29*0.3)</f>
        <v>#N/A</v>
      </c>
      <c r="AX75" s="29">
        <f t="shared" si="32"/>
        <v>2.4484552845528476</v>
      </c>
      <c r="AY75" s="29">
        <f t="shared" si="33"/>
        <v>4.6630445659893596</v>
      </c>
      <c r="AZ75" s="29">
        <f t="shared" si="37"/>
        <v>5.0090552516932689</v>
      </c>
    </row>
    <row r="76" spans="1:52" x14ac:dyDescent="0.35">
      <c r="A76" s="28">
        <f t="shared" si="38"/>
        <v>46046</v>
      </c>
      <c r="B76" t="str">
        <f t="shared" si="20"/>
        <v>Sat</v>
      </c>
      <c r="C76" s="10" t="s">
        <v>9</v>
      </c>
      <c r="D76" s="10">
        <v>16</v>
      </c>
      <c r="E76" s="4">
        <f t="shared" si="21"/>
        <v>16</v>
      </c>
      <c r="F76" s="4">
        <f t="shared" si="22"/>
        <v>792</v>
      </c>
      <c r="G76" s="4">
        <f t="shared" si="23"/>
        <v>960</v>
      </c>
      <c r="H76" s="15">
        <f>(SQRT(4*I75*I75*V*V + 'Drilling Spec'!$C$42*I75 + W*('Drilling Spec'!$C$43 + 2*l*V*(s*W + 2*V*G76/(1+e)) + 'Drilling Spec'!$C$44)) - 'Drilling Spec'!$C$45)/(2*V)</f>
        <v>709.67645900268076</v>
      </c>
      <c r="I76" s="23">
        <f>IF(AND(OR(I75=0,I75=""),F76=0),IF(F77=0,"",'Drilling Spec'!$C$26),H76)</f>
        <v>709.67645900268076</v>
      </c>
      <c r="J76" s="16">
        <f>MAX(0,I76-'Drilling Spec'!$C$30)</f>
        <v>629.67645900268076</v>
      </c>
      <c r="K76" s="18">
        <f>IFERROR(J76/'Drilling Spec'!$C$31,0)</f>
        <v>41.978430600178719</v>
      </c>
      <c r="L76" s="21">
        <f t="shared" si="24"/>
        <v>0</v>
      </c>
      <c r="M76" s="4">
        <f t="shared" si="34"/>
        <v>0</v>
      </c>
      <c r="N76" s="21">
        <f t="shared" si="25"/>
        <v>0</v>
      </c>
      <c r="O76" s="18">
        <f>(SQRT(4*O75*O75*vB*vB + 'Drilling Spec'!$C$48*O75 + WB*('Drilling Spec'!$C$49 + 2*lB*vB*(sB*WB + 2*vB*N76/(1+eB)) + 'Drilling Spec'!$C$50)) - 'Drilling Spec'!$C$51)/(2*vB)</f>
        <v>0</v>
      </c>
      <c r="P76" s="18">
        <f>IFERROR(((S76-'Drilling Spec'!$C$30)/'Drilling Spec'!$C$31)*'Drilling Spec'!$C$32,0)</f>
        <v>0</v>
      </c>
      <c r="Q76" s="18">
        <f t="shared" si="35"/>
        <v>0</v>
      </c>
      <c r="R76" s="18"/>
      <c r="S76" s="26" t="str">
        <f>IF(AND(OR(T75=0,T75=""),M76=0),IF(M77=0,"",'Drilling Spec'!$C$30),O76)</f>
        <v/>
      </c>
      <c r="U76" s="15">
        <f>E76*'Drilling Spec'!$C$22 + L76*'Drilling Spec'!$C$23</f>
        <v>0.32065040650406507</v>
      </c>
      <c r="V76" s="15">
        <f t="shared" si="36"/>
        <v>15.87219512195121</v>
      </c>
      <c r="W76" s="15">
        <f t="shared" si="26"/>
        <v>2.1278048780487824</v>
      </c>
      <c r="X76" s="10"/>
      <c r="Y76" s="30">
        <f>IF(W76&lt;U77,'Drilling Spec'!$C$35,0)</f>
        <v>0</v>
      </c>
      <c r="AA76" s="4">
        <f t="shared" si="40"/>
        <v>46</v>
      </c>
      <c r="AB76" s="10"/>
      <c r="AC76" s="30">
        <f>IF('04-07-25-Scen6-Good,16hr'!K77&gt;'04-07-25-Scen6-Good,16hr'!AA76,'Drilling Spec'!$C$36,)</f>
        <v>0</v>
      </c>
      <c r="AE76" s="18">
        <f>(I76-'Drilling Spec'!$C$26)/'Drilling Spec'!$C$38</f>
        <v>106.61274316711346</v>
      </c>
      <c r="AF76" s="18">
        <f t="shared" si="27"/>
        <v>1.6036879154201955</v>
      </c>
      <c r="AG76" s="34">
        <f t="shared" si="28"/>
        <v>6.6127431671134644</v>
      </c>
      <c r="AH76" s="10"/>
      <c r="AI76" s="26">
        <f>IF(C76="Camp Closed",AG76,IF(AG76&lt;'Drilling Spec'!$C$39,,'Drilling Spec'!$C$39))</f>
        <v>0</v>
      </c>
      <c r="AL76" s="16">
        <f t="shared" si="29"/>
        <v>-709.67645900268076</v>
      </c>
      <c r="AM76" s="16" t="e">
        <f t="shared" si="30"/>
        <v>#N/A</v>
      </c>
      <c r="AN76">
        <f>-'Drilling Spec'!$C$29</f>
        <v>-720</v>
      </c>
      <c r="AO76">
        <f>-'Drilling Spec'!$C$27</f>
        <v>-624</v>
      </c>
      <c r="AP76">
        <f>-'Drilling Spec'!$C$28</f>
        <v>-688</v>
      </c>
      <c r="AQ76" t="e">
        <f t="shared" si="31"/>
        <v>#N/A</v>
      </c>
      <c r="AR76" t="e">
        <f>IF(X76=0,NA(),-'Drilling Spec'!$C$29*0.1)</f>
        <v>#N/A</v>
      </c>
      <c r="AS76" t="e">
        <f>IF(Y76=0,NA(),-'Drilling Spec'!$C$29*0.1)</f>
        <v>#N/A</v>
      </c>
      <c r="AT76" t="e">
        <f>IF(AB76=0,NA(),-'Drilling Spec'!$C$29*0.2)</f>
        <v>#N/A</v>
      </c>
      <c r="AU76" t="e">
        <f>IF(AC76=0,NA(),-'Drilling Spec'!$C$29*0.2)</f>
        <v>#N/A</v>
      </c>
      <c r="AV76" t="e">
        <f>IF(AH76=0,NA(),-'Drilling Spec'!$C$29*0.3)</f>
        <v>#N/A</v>
      </c>
      <c r="AW76" t="e">
        <f>IF(AI76=0,NA(),-'Drilling Spec'!$C$29*0.3)</f>
        <v>#N/A</v>
      </c>
      <c r="AX76" s="29">
        <f t="shared" si="32"/>
        <v>2.1278048780487824</v>
      </c>
      <c r="AY76" s="29">
        <f t="shared" si="33"/>
        <v>4.0215693998212814</v>
      </c>
      <c r="AZ76" s="29">
        <f t="shared" si="37"/>
        <v>6.6127431671134644</v>
      </c>
    </row>
    <row r="77" spans="1:52" x14ac:dyDescent="0.35">
      <c r="A77" s="28">
        <f t="shared" si="38"/>
        <v>46047</v>
      </c>
      <c r="B77" t="str">
        <f t="shared" si="20"/>
        <v>Sun</v>
      </c>
      <c r="C77" s="10" t="s">
        <v>7</v>
      </c>
      <c r="D77" s="10">
        <v>0</v>
      </c>
      <c r="E77" s="4">
        <f t="shared" si="21"/>
        <v>0</v>
      </c>
      <c r="F77" s="4">
        <f t="shared" si="22"/>
        <v>792</v>
      </c>
      <c r="G77" s="4">
        <f t="shared" si="23"/>
        <v>0</v>
      </c>
      <c r="H77" s="15">
        <f>(SQRT(4*I76*I76*V*V + 'Drilling Spec'!$C$42*I76 + W*('Drilling Spec'!$C$43 + 2*l*V*(s*W + 2*V*G77/(1+e)) + 'Drilling Spec'!$C$44)) - 'Drilling Spec'!$C$45)/(2*V)</f>
        <v>709.67645900268076</v>
      </c>
      <c r="I77" s="23">
        <f>IF(AND(OR(I76=0,I76=""),F77=0),IF(F78=0,"",'Drilling Spec'!$C$26),H77)</f>
        <v>709.67645900268076</v>
      </c>
      <c r="J77" s="16">
        <f>MAX(0,I77-'Drilling Spec'!$C$30)</f>
        <v>629.67645900268076</v>
      </c>
      <c r="K77" s="18">
        <f>IFERROR(J77/'Drilling Spec'!$C$31,0)</f>
        <v>41.978430600178719</v>
      </c>
      <c r="L77" s="21">
        <f t="shared" si="24"/>
        <v>0</v>
      </c>
      <c r="M77" s="4">
        <f t="shared" si="34"/>
        <v>0</v>
      </c>
      <c r="N77" s="21">
        <f t="shared" si="25"/>
        <v>0</v>
      </c>
      <c r="O77" s="18">
        <f>(SQRT(4*O76*O76*vB*vB + 'Drilling Spec'!$C$48*O76 + WB*('Drilling Spec'!$C$49 + 2*lB*vB*(sB*WB + 2*vB*N77/(1+eB)) + 'Drilling Spec'!$C$50)) - 'Drilling Spec'!$C$51)/(2*vB)</f>
        <v>0</v>
      </c>
      <c r="P77" s="18">
        <f>IFERROR(((S77-'Drilling Spec'!$C$30)/'Drilling Spec'!$C$31)*'Drilling Spec'!$C$32,0)</f>
        <v>0</v>
      </c>
      <c r="Q77" s="18">
        <f t="shared" si="35"/>
        <v>0</v>
      </c>
      <c r="R77" s="18"/>
      <c r="S77" s="26" t="str">
        <f>IF(AND(OR(T76=0,T76=""),M77=0),IF(M78=0,"",'Drilling Spec'!$C$30),O77)</f>
        <v/>
      </c>
      <c r="U77" s="15">
        <f>E77*'Drilling Spec'!$C$22 + L77*'Drilling Spec'!$C$23</f>
        <v>0</v>
      </c>
      <c r="V77" s="15">
        <f t="shared" si="36"/>
        <v>15.87219512195121</v>
      </c>
      <c r="W77" s="15">
        <f t="shared" si="26"/>
        <v>2.1278048780487824</v>
      </c>
      <c r="X77" s="10"/>
      <c r="Y77" s="30">
        <f>IF(W77&lt;U78,'Drilling Spec'!$C$35,0)</f>
        <v>0</v>
      </c>
      <c r="AA77" s="4">
        <f t="shared" si="40"/>
        <v>46</v>
      </c>
      <c r="AB77" s="10"/>
      <c r="AC77" s="30">
        <f>IF('04-07-25-Scen6-Good,16hr'!K78&gt;'04-07-25-Scen6-Good,16hr'!AA77,'Drilling Spec'!$C$36,)</f>
        <v>0</v>
      </c>
      <c r="AE77" s="18">
        <f>(I77-'Drilling Spec'!$C$26)/'Drilling Spec'!$C$38</f>
        <v>106.61274316711346</v>
      </c>
      <c r="AF77" s="18">
        <f t="shared" si="27"/>
        <v>0</v>
      </c>
      <c r="AG77" s="34">
        <f t="shared" si="28"/>
        <v>6.6127431671134644</v>
      </c>
      <c r="AH77" s="10"/>
      <c r="AI77" s="26">
        <f>IF(C77="Camp Closed",AG77,IF(AG77&lt;'Drilling Spec'!$C$39,,'Drilling Spec'!$C$39))</f>
        <v>0</v>
      </c>
      <c r="AL77" s="16">
        <f t="shared" si="29"/>
        <v>-709.67645900268076</v>
      </c>
      <c r="AM77" s="16" t="e">
        <f t="shared" si="30"/>
        <v>#N/A</v>
      </c>
      <c r="AN77">
        <f>-'Drilling Spec'!$C$29</f>
        <v>-720</v>
      </c>
      <c r="AO77">
        <f>-'Drilling Spec'!$C$27</f>
        <v>-624</v>
      </c>
      <c r="AP77">
        <f>-'Drilling Spec'!$C$28</f>
        <v>-688</v>
      </c>
      <c r="AQ77" t="e">
        <f t="shared" si="31"/>
        <v>#N/A</v>
      </c>
      <c r="AR77" t="e">
        <f>IF(X77=0,NA(),-'Drilling Spec'!$C$29*0.1)</f>
        <v>#N/A</v>
      </c>
      <c r="AS77" t="e">
        <f>IF(Y77=0,NA(),-'Drilling Spec'!$C$29*0.1)</f>
        <v>#N/A</v>
      </c>
      <c r="AT77" t="e">
        <f>IF(AB77=0,NA(),-'Drilling Spec'!$C$29*0.2)</f>
        <v>#N/A</v>
      </c>
      <c r="AU77" t="e">
        <f>IF(AC77=0,NA(),-'Drilling Spec'!$C$29*0.2)</f>
        <v>#N/A</v>
      </c>
      <c r="AV77" t="e">
        <f>IF(AH77=0,NA(),-'Drilling Spec'!$C$29*0.3)</f>
        <v>#N/A</v>
      </c>
      <c r="AW77" t="e">
        <f>IF(AI77=0,NA(),-'Drilling Spec'!$C$29*0.3)</f>
        <v>#N/A</v>
      </c>
      <c r="AX77" s="29">
        <f t="shared" si="32"/>
        <v>2.1278048780487824</v>
      </c>
      <c r="AY77" s="29">
        <f t="shared" si="33"/>
        <v>4.0215693998212814</v>
      </c>
      <c r="AZ77" s="29">
        <f t="shared" si="37"/>
        <v>6.6127431671134644</v>
      </c>
    </row>
    <row r="78" spans="1:52" x14ac:dyDescent="0.35">
      <c r="A78" s="28">
        <f t="shared" si="38"/>
        <v>46048</v>
      </c>
      <c r="B78" t="str">
        <f t="shared" si="20"/>
        <v>Mon</v>
      </c>
      <c r="C78" s="10" t="s">
        <v>9</v>
      </c>
      <c r="D78" s="10">
        <v>16</v>
      </c>
      <c r="E78" s="4">
        <f t="shared" si="21"/>
        <v>16</v>
      </c>
      <c r="F78" s="4">
        <f t="shared" si="22"/>
        <v>808</v>
      </c>
      <c r="G78" s="4">
        <f t="shared" si="23"/>
        <v>960</v>
      </c>
      <c r="H78" s="15">
        <f>(SQRT(4*I77*I77*V*V + 'Drilling Spec'!$C$42*I77 + W*('Drilling Spec'!$C$43 + 2*l*V*(s*W + 2*V*G78/(1+e)) + 'Drilling Spec'!$C$44)) - 'Drilling Spec'!$C$45)/(2*V)</f>
        <v>719.22438782276038</v>
      </c>
      <c r="I78" s="23">
        <f>IF(AND(OR(I77=0,I77=""),F78=0),IF(F79=0,"",'Drilling Spec'!$C$26),H78)</f>
        <v>719.22438782276038</v>
      </c>
      <c r="J78" s="16">
        <f>MAX(0,I78-'Drilling Spec'!$C$30)</f>
        <v>639.22438782276038</v>
      </c>
      <c r="K78" s="18">
        <f>IFERROR(J78/'Drilling Spec'!$C$31,0)</f>
        <v>42.614959188184024</v>
      </c>
      <c r="L78" s="21">
        <f t="shared" si="24"/>
        <v>0</v>
      </c>
      <c r="M78" s="4">
        <f t="shared" si="34"/>
        <v>0</v>
      </c>
      <c r="N78" s="21">
        <f t="shared" si="25"/>
        <v>0</v>
      </c>
      <c r="O78" s="18">
        <f>(SQRT(4*O77*O77*vB*vB + 'Drilling Spec'!$C$48*O77 + WB*('Drilling Spec'!$C$49 + 2*lB*vB*(sB*WB + 2*vB*N78/(1+eB)) + 'Drilling Spec'!$C$50)) - 'Drilling Spec'!$C$51)/(2*vB)</f>
        <v>0</v>
      </c>
      <c r="P78" s="18">
        <f>IFERROR(((S78-'Drilling Spec'!$C$30)/'Drilling Spec'!$C$31)*'Drilling Spec'!$C$32,0)</f>
        <v>0</v>
      </c>
      <c r="Q78" s="18">
        <f t="shared" si="35"/>
        <v>0</v>
      </c>
      <c r="R78" s="18"/>
      <c r="S78" s="26">
        <f>IF(AND(OR(T77=0,T77=""),M78=0),IF(M79=0,"",'Drilling Spec'!$C$30),O78)</f>
        <v>80</v>
      </c>
      <c r="U78" s="15">
        <f>E78*'Drilling Spec'!$C$22 + L78*'Drilling Spec'!$C$23</f>
        <v>0.32065040650406507</v>
      </c>
      <c r="V78" s="15">
        <f t="shared" si="36"/>
        <v>16.192845528455276</v>
      </c>
      <c r="W78" s="15">
        <f t="shared" si="26"/>
        <v>1.8071544715447172</v>
      </c>
      <c r="X78" s="10"/>
      <c r="Y78" s="30">
        <f>IF(W78&lt;U79,'Drilling Spec'!$C$35,0)</f>
        <v>0</v>
      </c>
      <c r="AA78" s="4">
        <f t="shared" si="40"/>
        <v>46</v>
      </c>
      <c r="AB78" s="10"/>
      <c r="AC78" s="30">
        <f>IF('04-07-25-Scen6-Good,16hr'!K79&gt;'04-07-25-Scen6-Good,16hr'!AA78,'Drilling Spec'!$C$36,)</f>
        <v>0</v>
      </c>
      <c r="AE78" s="18">
        <f>(I78-'Drilling Spec'!$C$26)/'Drilling Spec'!$C$38</f>
        <v>108.20406463712673</v>
      </c>
      <c r="AF78" s="18">
        <f t="shared" si="27"/>
        <v>1.5913214700132698</v>
      </c>
      <c r="AG78" s="34">
        <f t="shared" si="28"/>
        <v>8.2040646371267343</v>
      </c>
      <c r="AH78" s="10"/>
      <c r="AI78" s="26">
        <f>IF(C78="Camp Closed",AG78,IF(AG78&lt;'Drilling Spec'!$C$39,,'Drilling Spec'!$C$39))</f>
        <v>0</v>
      </c>
      <c r="AL78" s="16">
        <f t="shared" si="29"/>
        <v>-719.22438782276038</v>
      </c>
      <c r="AM78" s="16">
        <f t="shared" si="30"/>
        <v>-80</v>
      </c>
      <c r="AN78">
        <f>-'Drilling Spec'!$C$29</f>
        <v>-720</v>
      </c>
      <c r="AO78">
        <f>-'Drilling Spec'!$C$27</f>
        <v>-624</v>
      </c>
      <c r="AP78">
        <f>-'Drilling Spec'!$C$28</f>
        <v>-688</v>
      </c>
      <c r="AQ78" t="e">
        <f t="shared" si="31"/>
        <v>#N/A</v>
      </c>
      <c r="AR78" t="e">
        <f>IF(X78=0,NA(),-'Drilling Spec'!$C$29*0.1)</f>
        <v>#N/A</v>
      </c>
      <c r="AS78" t="e">
        <f>IF(Y78=0,NA(),-'Drilling Spec'!$C$29*0.1)</f>
        <v>#N/A</v>
      </c>
      <c r="AT78" t="e">
        <f>IF(AB78=0,NA(),-'Drilling Spec'!$C$29*0.2)</f>
        <v>#N/A</v>
      </c>
      <c r="AU78" t="e">
        <f>IF(AC78=0,NA(),-'Drilling Spec'!$C$29*0.2)</f>
        <v>#N/A</v>
      </c>
      <c r="AV78" t="e">
        <f>IF(AH78=0,NA(),-'Drilling Spec'!$C$29*0.3)</f>
        <v>#N/A</v>
      </c>
      <c r="AW78" t="e">
        <f>IF(AI78=0,NA(),-'Drilling Spec'!$C$29*0.3)</f>
        <v>#N/A</v>
      </c>
      <c r="AX78" s="29">
        <f t="shared" si="32"/>
        <v>1.8071544715447172</v>
      </c>
      <c r="AY78" s="29">
        <f t="shared" si="33"/>
        <v>3.3850408118159763</v>
      </c>
      <c r="AZ78" s="29">
        <f t="shared" si="37"/>
        <v>8.2040646371267343</v>
      </c>
    </row>
    <row r="79" spans="1:52" x14ac:dyDescent="0.35">
      <c r="A79" s="28">
        <f t="shared" si="38"/>
        <v>46049</v>
      </c>
      <c r="B79" t="str">
        <f t="shared" si="20"/>
        <v>Tue</v>
      </c>
      <c r="C79" s="10" t="s">
        <v>10</v>
      </c>
      <c r="D79" s="10">
        <v>16</v>
      </c>
      <c r="E79" s="4">
        <f t="shared" si="21"/>
        <v>0</v>
      </c>
      <c r="F79" s="4">
        <f t="shared" si="22"/>
        <v>808</v>
      </c>
      <c r="G79" s="4">
        <f t="shared" si="23"/>
        <v>0</v>
      </c>
      <c r="H79" s="15">
        <f>(SQRT(4*I78*I78*V*V + 'Drilling Spec'!$C$42*I78 + W*('Drilling Spec'!$C$43 + 2*l*V*(s*W + 2*V*G79/(1+e)) + 'Drilling Spec'!$C$44)) - 'Drilling Spec'!$C$45)/(2*V)</f>
        <v>719.22438782276038</v>
      </c>
      <c r="I79" s="23">
        <f>IF(AND(OR(I78=0,I78=""),F79=0),IF(F80=0,"",'Drilling Spec'!$C$26),H79)</f>
        <v>719.22438782276038</v>
      </c>
      <c r="J79" s="16">
        <f>MAX(0,I79-'Drilling Spec'!$C$30)</f>
        <v>639.22438782276038</v>
      </c>
      <c r="K79" s="18">
        <f>IFERROR(J79/'Drilling Spec'!$C$31,0)</f>
        <v>42.614959188184024</v>
      </c>
      <c r="L79" s="21">
        <f t="shared" si="24"/>
        <v>16</v>
      </c>
      <c r="M79" s="4">
        <f t="shared" si="34"/>
        <v>16</v>
      </c>
      <c r="N79" s="21">
        <f t="shared" si="25"/>
        <v>960</v>
      </c>
      <c r="O79" s="18">
        <f>(SQRT(4*O78*O78*vB*vB + 'Drilling Spec'!$C$48*O78 + WB*('Drilling Spec'!$C$49 + 2*lB*vB*(sB*WB + 2*vB*N79/(1+eB)) + 'Drilling Spec'!$C$50)) - 'Drilling Spec'!$C$51)/(2*vB)</f>
        <v>198.31254448850603</v>
      </c>
      <c r="P79" s="18">
        <f>IFERROR(((S79-'Drilling Spec'!$C$30)/'Drilling Spec'!$C$31)*'Drilling Spec'!$C$32,0)</f>
        <v>7.098752669310362</v>
      </c>
      <c r="Q79" s="18">
        <f t="shared" si="35"/>
        <v>7.098752669310362</v>
      </c>
      <c r="R79" s="18"/>
      <c r="S79" s="26">
        <f>IF(AND(OR(T78=0,T78=""),M79=0),IF(M80=0,"",'Drilling Spec'!$C$30),O79)</f>
        <v>198.31254448850603</v>
      </c>
      <c r="U79" s="15">
        <f>E79*'Drilling Spec'!$C$22 + L79*'Drilling Spec'!$C$23</f>
        <v>0.3902439024390244</v>
      </c>
      <c r="V79" s="15">
        <f t="shared" si="36"/>
        <v>16.583089430894301</v>
      </c>
      <c r="W79" s="15">
        <f t="shared" si="26"/>
        <v>1.4169105691056929</v>
      </c>
      <c r="X79" s="10"/>
      <c r="Y79" s="30">
        <f>IF(W79&lt;U80,'Drilling Spec'!$C$35,0)</f>
        <v>0</v>
      </c>
      <c r="AA79" s="4">
        <f t="shared" si="40"/>
        <v>46</v>
      </c>
      <c r="AB79" s="10"/>
      <c r="AC79" s="30">
        <f>IF('04-07-25-Scen6-Good,16hr'!K80&gt;'04-07-25-Scen6-Good,16hr'!AA79,'Drilling Spec'!$C$36,)</f>
        <v>0</v>
      </c>
      <c r="AE79" s="18">
        <f>(I79-'Drilling Spec'!$C$26)/'Drilling Spec'!$C$38</f>
        <v>108.20406463712673</v>
      </c>
      <c r="AF79" s="18">
        <f t="shared" si="27"/>
        <v>0</v>
      </c>
      <c r="AG79" s="34">
        <f t="shared" si="28"/>
        <v>8.2040646371267343</v>
      </c>
      <c r="AH79" s="10"/>
      <c r="AI79" s="26">
        <f>IF(C79="Camp Closed",AG79,IF(AG79&lt;'Drilling Spec'!$C$39,,'Drilling Spec'!$C$39))</f>
        <v>0</v>
      </c>
      <c r="AL79" s="16">
        <f t="shared" si="29"/>
        <v>-719.22438782276038</v>
      </c>
      <c r="AM79" s="16">
        <f t="shared" si="30"/>
        <v>-198.31254448850603</v>
      </c>
      <c r="AN79">
        <f>-'Drilling Spec'!$C$29</f>
        <v>-720</v>
      </c>
      <c r="AO79">
        <f>-'Drilling Spec'!$C$27</f>
        <v>-624</v>
      </c>
      <c r="AP79">
        <f>-'Drilling Spec'!$C$28</f>
        <v>-688</v>
      </c>
      <c r="AQ79" t="e">
        <f t="shared" si="31"/>
        <v>#N/A</v>
      </c>
      <c r="AR79" t="e">
        <f>IF(X79=0,NA(),-'Drilling Spec'!$C$29*0.1)</f>
        <v>#N/A</v>
      </c>
      <c r="AS79" t="e">
        <f>IF(Y79=0,NA(),-'Drilling Spec'!$C$29*0.1)</f>
        <v>#N/A</v>
      </c>
      <c r="AT79" t="e">
        <f>IF(AB79=0,NA(),-'Drilling Spec'!$C$29*0.2)</f>
        <v>#N/A</v>
      </c>
      <c r="AU79" t="e">
        <f>IF(AC79=0,NA(),-'Drilling Spec'!$C$29*0.2)</f>
        <v>#N/A</v>
      </c>
      <c r="AV79" t="e">
        <f>IF(AH79=0,NA(),-'Drilling Spec'!$C$29*0.3)</f>
        <v>#N/A</v>
      </c>
      <c r="AW79" t="e">
        <f>IF(AI79=0,NA(),-'Drilling Spec'!$C$29*0.3)</f>
        <v>#N/A</v>
      </c>
      <c r="AX79" s="29">
        <f t="shared" si="32"/>
        <v>1.4169105691056929</v>
      </c>
      <c r="AY79" s="29">
        <f t="shared" si="33"/>
        <v>10.483793481126337</v>
      </c>
      <c r="AZ79" s="29">
        <f t="shared" si="37"/>
        <v>8.2040646371267343</v>
      </c>
    </row>
    <row r="80" spans="1:52" x14ac:dyDescent="0.35">
      <c r="A80" s="28">
        <f t="shared" si="38"/>
        <v>46050</v>
      </c>
      <c r="B80" t="str">
        <f t="shared" si="20"/>
        <v>Wed</v>
      </c>
      <c r="C80" s="10" t="s">
        <v>10</v>
      </c>
      <c r="D80" s="10">
        <v>16</v>
      </c>
      <c r="E80" s="4">
        <f t="shared" si="21"/>
        <v>0</v>
      </c>
      <c r="F80" s="4">
        <f t="shared" si="22"/>
        <v>808</v>
      </c>
      <c r="G80" s="4">
        <f t="shared" si="23"/>
        <v>0</v>
      </c>
      <c r="H80" s="15">
        <f>(SQRT(4*I79*I79*V*V + 'Drilling Spec'!$C$42*I79 + W*('Drilling Spec'!$C$43 + 2*l*V*(s*W + 2*V*G80/(1+e)) + 'Drilling Spec'!$C$44)) - 'Drilling Spec'!$C$45)/(2*V)</f>
        <v>719.22438782276038</v>
      </c>
      <c r="I80" s="23">
        <f>IF(AND(OR(I79=0,I79=""),F80=0),IF(F81=0,"",'Drilling Spec'!$C$26),H80)</f>
        <v>719.22438782276038</v>
      </c>
      <c r="J80" s="16">
        <f>MAX(0,I80-'Drilling Spec'!$C$30)</f>
        <v>639.22438782276038</v>
      </c>
      <c r="K80" s="18">
        <f>IFERROR(J80/'Drilling Spec'!$C$31,0)</f>
        <v>42.614959188184024</v>
      </c>
      <c r="L80" s="21">
        <f t="shared" si="24"/>
        <v>16</v>
      </c>
      <c r="M80" s="4">
        <f t="shared" si="34"/>
        <v>32</v>
      </c>
      <c r="N80" s="21">
        <f t="shared" si="25"/>
        <v>960</v>
      </c>
      <c r="O80" s="18">
        <f>(SQRT(4*O79*O79*vB*vB + 'Drilling Spec'!$C$48*O79 + WB*('Drilling Spec'!$C$49 + 2*lB*vB*(sB*WB + 2*vB*N80/(1+eB)) + 'Drilling Spec'!$C$50)) - 'Drilling Spec'!$C$51)/(2*vB)</f>
        <v>311.71486781429536</v>
      </c>
      <c r="P80" s="18">
        <f>IFERROR(((S80-'Drilling Spec'!$C$30)/'Drilling Spec'!$C$31)*'Drilling Spec'!$C$32,0)</f>
        <v>13.902892068857721</v>
      </c>
      <c r="Q80" s="18">
        <f t="shared" si="35"/>
        <v>6.8041393995473589</v>
      </c>
      <c r="R80" s="18"/>
      <c r="S80" s="26">
        <f>IF(AND(OR(T79=0,T79=""),M80=0),IF(M81=0,"",'Drilling Spec'!$C$30),O80)</f>
        <v>311.71486781429536</v>
      </c>
      <c r="U80" s="15">
        <f>E80*'Drilling Spec'!$C$22 + L80*'Drilling Spec'!$C$23</f>
        <v>0.3902439024390244</v>
      </c>
      <c r="V80" s="15">
        <f t="shared" si="36"/>
        <v>16.973333333333326</v>
      </c>
      <c r="W80" s="15">
        <f t="shared" si="26"/>
        <v>1.0266666666666686</v>
      </c>
      <c r="X80" s="10"/>
      <c r="Y80" s="30">
        <f>IF(W80&lt;U81,'Drilling Spec'!$C$35,0)</f>
        <v>0</v>
      </c>
      <c r="AA80" s="4">
        <f t="shared" si="40"/>
        <v>46</v>
      </c>
      <c r="AB80" s="10"/>
      <c r="AC80" s="30">
        <f>IF('04-07-25-Scen6-Good,16hr'!K81&gt;'04-07-25-Scen6-Good,16hr'!AA80,'Drilling Spec'!$C$36,)</f>
        <v>0</v>
      </c>
      <c r="AE80" s="18">
        <f>(I80-'Drilling Spec'!$C$26)/'Drilling Spec'!$C$38</f>
        <v>108.20406463712673</v>
      </c>
      <c r="AF80" s="18">
        <f t="shared" si="27"/>
        <v>0</v>
      </c>
      <c r="AG80" s="34">
        <f t="shared" si="28"/>
        <v>8.2040646371267343</v>
      </c>
      <c r="AH80" s="10"/>
      <c r="AI80" s="26">
        <f>IF(C80="Camp Closed",AG80,IF(AG80&lt;'Drilling Spec'!$C$39,,'Drilling Spec'!$C$39))</f>
        <v>0</v>
      </c>
      <c r="AL80" s="16">
        <f t="shared" si="29"/>
        <v>-719.22438782276038</v>
      </c>
      <c r="AM80" s="16">
        <f t="shared" si="30"/>
        <v>-311.71486781429536</v>
      </c>
      <c r="AN80">
        <f>-'Drilling Spec'!$C$29</f>
        <v>-720</v>
      </c>
      <c r="AO80">
        <f>-'Drilling Spec'!$C$27</f>
        <v>-624</v>
      </c>
      <c r="AP80">
        <f>-'Drilling Spec'!$C$28</f>
        <v>-688</v>
      </c>
      <c r="AQ80" t="e">
        <f t="shared" si="31"/>
        <v>#N/A</v>
      </c>
      <c r="AR80" t="e">
        <f>IF(X80=0,NA(),-'Drilling Spec'!$C$29*0.1)</f>
        <v>#N/A</v>
      </c>
      <c r="AS80" t="e">
        <f>IF(Y80=0,NA(),-'Drilling Spec'!$C$29*0.1)</f>
        <v>#N/A</v>
      </c>
      <c r="AT80" t="e">
        <f>IF(AB80=0,NA(),-'Drilling Spec'!$C$29*0.2)</f>
        <v>#N/A</v>
      </c>
      <c r="AU80" t="e">
        <f>IF(AC80=0,NA(),-'Drilling Spec'!$C$29*0.2)</f>
        <v>#N/A</v>
      </c>
      <c r="AV80" t="e">
        <f>IF(AH80=0,NA(),-'Drilling Spec'!$C$29*0.3)</f>
        <v>#N/A</v>
      </c>
      <c r="AW80" t="e">
        <f>IF(AI80=0,NA(),-'Drilling Spec'!$C$29*0.3)</f>
        <v>#N/A</v>
      </c>
      <c r="AX80" s="29">
        <f t="shared" si="32"/>
        <v>1.0266666666666686</v>
      </c>
      <c r="AY80" s="29">
        <f t="shared" si="33"/>
        <v>17.287932880673697</v>
      </c>
      <c r="AZ80" s="29">
        <f t="shared" si="37"/>
        <v>8.2040646371267343</v>
      </c>
    </row>
    <row r="81" spans="1:52" x14ac:dyDescent="0.35">
      <c r="A81" s="28">
        <f t="shared" si="38"/>
        <v>46051</v>
      </c>
      <c r="B81" t="str">
        <f t="shared" si="20"/>
        <v>Thu</v>
      </c>
      <c r="C81" s="10" t="s">
        <v>10</v>
      </c>
      <c r="D81" s="10">
        <v>16</v>
      </c>
      <c r="E81" s="4">
        <f t="shared" si="21"/>
        <v>0</v>
      </c>
      <c r="F81" s="4">
        <f t="shared" si="22"/>
        <v>808</v>
      </c>
      <c r="G81" s="4">
        <f t="shared" si="23"/>
        <v>0</v>
      </c>
      <c r="H81" s="15">
        <f>(SQRT(4*I80*I80*V*V + 'Drilling Spec'!$C$42*I80 + W*('Drilling Spec'!$C$43 + 2*l*V*(s*W + 2*V*G81/(1+e)) + 'Drilling Spec'!$C$44)) - 'Drilling Spec'!$C$45)/(2*V)</f>
        <v>719.22438782276038</v>
      </c>
      <c r="I81" s="23">
        <f>IF(AND(OR(I80=0,I80=""),F81=0),IF(F82=0,"",'Drilling Spec'!$C$26),H81)</f>
        <v>719.22438782276038</v>
      </c>
      <c r="J81" s="16">
        <f>MAX(0,I81-'Drilling Spec'!$C$30)</f>
        <v>639.22438782276038</v>
      </c>
      <c r="K81" s="18">
        <f>IFERROR(J81/'Drilling Spec'!$C$31,0)</f>
        <v>42.614959188184024</v>
      </c>
      <c r="L81" s="21">
        <f t="shared" si="24"/>
        <v>16</v>
      </c>
      <c r="M81" s="4">
        <f t="shared" si="34"/>
        <v>48</v>
      </c>
      <c r="N81" s="21">
        <f t="shared" si="25"/>
        <v>960</v>
      </c>
      <c r="O81" s="18">
        <f>(SQRT(4*O80*O80*vB*vB + 'Drilling Spec'!$C$48*O80 + WB*('Drilling Spec'!$C$49 + 2*lB*vB*(sB*WB + 2*vB*N81/(1+eB)) + 'Drilling Spec'!$C$50)) - 'Drilling Spec'!$C$51)/(2*vB)</f>
        <v>400.47129457899786</v>
      </c>
      <c r="P81" s="18">
        <f>IFERROR(((S81-'Drilling Spec'!$C$30)/'Drilling Spec'!$C$31)*'Drilling Spec'!$C$32,0)</f>
        <v>19.228277674739871</v>
      </c>
      <c r="Q81" s="18">
        <f t="shared" si="35"/>
        <v>5.3253856058821505</v>
      </c>
      <c r="R81" s="18"/>
      <c r="S81" s="26">
        <f>IF(AND(OR(T80=0,T80=""),M81=0),IF(M82=0,"",'Drilling Spec'!$C$30),O81)</f>
        <v>400.47129457899786</v>
      </c>
      <c r="U81" s="15">
        <f>E81*'Drilling Spec'!$C$22 + L81*'Drilling Spec'!$C$23</f>
        <v>0.3902439024390244</v>
      </c>
      <c r="V81" s="15">
        <f t="shared" si="36"/>
        <v>17.36357723577235</v>
      </c>
      <c r="W81" s="15">
        <f t="shared" si="26"/>
        <v>0.63642276422764421</v>
      </c>
      <c r="X81" s="10"/>
      <c r="Y81" s="30">
        <f>IF(W81&lt;U82,'Drilling Spec'!$C$35,0)</f>
        <v>0</v>
      </c>
      <c r="AA81" s="4">
        <f t="shared" si="40"/>
        <v>46</v>
      </c>
      <c r="AB81" s="10"/>
      <c r="AC81" s="30">
        <f>IF('04-07-25-Scen6-Good,16hr'!K82&gt;'04-07-25-Scen6-Good,16hr'!AA81,'Drilling Spec'!$C$36,)</f>
        <v>0</v>
      </c>
      <c r="AE81" s="18">
        <f>(I81-'Drilling Spec'!$C$26)/'Drilling Spec'!$C$38</f>
        <v>108.20406463712673</v>
      </c>
      <c r="AF81" s="18">
        <f t="shared" si="27"/>
        <v>0</v>
      </c>
      <c r="AG81" s="34">
        <f t="shared" si="28"/>
        <v>8.2040646371267343</v>
      </c>
      <c r="AH81" s="10"/>
      <c r="AI81" s="26">
        <f>IF(C81="Camp Closed",AG81,IF(AG81&lt;'Drilling Spec'!$C$39,,'Drilling Spec'!$C$39))</f>
        <v>0</v>
      </c>
      <c r="AL81" s="16">
        <f t="shared" si="29"/>
        <v>-719.22438782276038</v>
      </c>
      <c r="AM81" s="16">
        <f t="shared" si="30"/>
        <v>-400.47129457899786</v>
      </c>
      <c r="AN81">
        <f>-'Drilling Spec'!$C$29</f>
        <v>-720</v>
      </c>
      <c r="AO81">
        <f>-'Drilling Spec'!$C$27</f>
        <v>-624</v>
      </c>
      <c r="AP81">
        <f>-'Drilling Spec'!$C$28</f>
        <v>-688</v>
      </c>
      <c r="AQ81" t="e">
        <f t="shared" si="31"/>
        <v>#N/A</v>
      </c>
      <c r="AR81" t="e">
        <f>IF(X81=0,NA(),-'Drilling Spec'!$C$29*0.1)</f>
        <v>#N/A</v>
      </c>
      <c r="AS81" t="e">
        <f>IF(Y81=0,NA(),-'Drilling Spec'!$C$29*0.1)</f>
        <v>#N/A</v>
      </c>
      <c r="AT81" t="e">
        <f>IF(AB81=0,NA(),-'Drilling Spec'!$C$29*0.2)</f>
        <v>#N/A</v>
      </c>
      <c r="AU81" t="e">
        <f>IF(AC81=0,NA(),-'Drilling Spec'!$C$29*0.2)</f>
        <v>#N/A</v>
      </c>
      <c r="AV81" t="e">
        <f>IF(AH81=0,NA(),-'Drilling Spec'!$C$29*0.3)</f>
        <v>#N/A</v>
      </c>
      <c r="AW81" t="e">
        <f>IF(AI81=0,NA(),-'Drilling Spec'!$C$29*0.3)</f>
        <v>#N/A</v>
      </c>
      <c r="AX81" s="29">
        <f t="shared" si="32"/>
        <v>0.63642276422764421</v>
      </c>
      <c r="AY81" s="29">
        <f t="shared" si="33"/>
        <v>22.613318486555848</v>
      </c>
      <c r="AZ81" s="29">
        <f t="shared" si="37"/>
        <v>8.2040646371267343</v>
      </c>
    </row>
    <row r="82" spans="1:52" x14ac:dyDescent="0.35">
      <c r="A82" s="28">
        <f t="shared" si="38"/>
        <v>46052</v>
      </c>
      <c r="B82" t="str">
        <f t="shared" si="20"/>
        <v>Fri</v>
      </c>
      <c r="C82" s="10" t="s">
        <v>10</v>
      </c>
      <c r="D82" s="10">
        <v>16</v>
      </c>
      <c r="E82" s="4">
        <f t="shared" si="21"/>
        <v>0</v>
      </c>
      <c r="F82" s="4">
        <f t="shared" si="22"/>
        <v>808</v>
      </c>
      <c r="G82" s="4">
        <f t="shared" si="23"/>
        <v>0</v>
      </c>
      <c r="H82" s="15">
        <f>(SQRT(4*I81*I81*V*V + 'Drilling Spec'!$C$42*I81 + W*('Drilling Spec'!$C$43 + 2*l*V*(s*W + 2*V*G82/(1+e)) + 'Drilling Spec'!$C$44)) - 'Drilling Spec'!$C$45)/(2*V)</f>
        <v>719.22438782276038</v>
      </c>
      <c r="I82" s="23">
        <f>IF(AND(OR(I81=0,I81=""),F82=0),IF(F83=0,"",'Drilling Spec'!$C$26),H82)</f>
        <v>719.22438782276038</v>
      </c>
      <c r="J82" s="16">
        <f>MAX(0,I82-'Drilling Spec'!$C$30)</f>
        <v>639.22438782276038</v>
      </c>
      <c r="K82" s="18">
        <f>IFERROR(J82/'Drilling Spec'!$C$31,0)</f>
        <v>42.614959188184024</v>
      </c>
      <c r="L82" s="21">
        <f t="shared" si="24"/>
        <v>16</v>
      </c>
      <c r="M82" s="4">
        <f t="shared" si="34"/>
        <v>64</v>
      </c>
      <c r="N82" s="21">
        <f t="shared" si="25"/>
        <v>960</v>
      </c>
      <c r="O82" s="18">
        <f>(SQRT(4*O81*O81*vB*vB + 'Drilling Spec'!$C$48*O81 + WB*('Drilling Spec'!$C$49 + 2*lB*vB*(sB*WB + 2*vB*N82/(1+eB)) + 'Drilling Spec'!$C$50)) - 'Drilling Spec'!$C$51)/(2*vB)</f>
        <v>475.91110435689279</v>
      </c>
      <c r="P82" s="18">
        <f>IFERROR(((S82-'Drilling Spec'!$C$30)/'Drilling Spec'!$C$31)*'Drilling Spec'!$C$32,0)</f>
        <v>23.754666261413568</v>
      </c>
      <c r="Q82" s="18">
        <f t="shared" si="35"/>
        <v>4.526388586673697</v>
      </c>
      <c r="R82" s="18"/>
      <c r="S82" s="26">
        <f>IF(AND(OR(T81=0,T81=""),M82=0),IF(M83=0,"",'Drilling Spec'!$C$30),O82)</f>
        <v>475.91110435689279</v>
      </c>
      <c r="U82" s="15">
        <f>E82*'Drilling Spec'!$C$22 + L82*'Drilling Spec'!$C$23</f>
        <v>0.3902439024390244</v>
      </c>
      <c r="V82" s="15">
        <f t="shared" si="36"/>
        <v>17.753821138211375</v>
      </c>
      <c r="W82" s="15">
        <f t="shared" si="26"/>
        <v>0.24617886178861981</v>
      </c>
      <c r="X82" s="10"/>
      <c r="Y82" s="30">
        <f>IF(W82&lt;U83,'Drilling Spec'!$C$35,0)</f>
        <v>6</v>
      </c>
      <c r="AA82" s="4">
        <f t="shared" si="40"/>
        <v>46</v>
      </c>
      <c r="AB82" s="10"/>
      <c r="AC82" s="30">
        <f>IF('04-07-25-Scen6-Good,16hr'!K83&gt;'04-07-25-Scen6-Good,16hr'!AA82,'Drilling Spec'!$C$36,)</f>
        <v>0</v>
      </c>
      <c r="AE82" s="18">
        <f>(I82-'Drilling Spec'!$C$26)/'Drilling Spec'!$C$38</f>
        <v>108.20406463712673</v>
      </c>
      <c r="AF82" s="18">
        <f t="shared" si="27"/>
        <v>0</v>
      </c>
      <c r="AG82" s="34">
        <f t="shared" si="28"/>
        <v>8.2040646371267343</v>
      </c>
      <c r="AH82" s="10"/>
      <c r="AI82" s="26">
        <f>IF(C82="Camp Closed",AG82,IF(AG82&lt;'Drilling Spec'!$C$39,,'Drilling Spec'!$C$39))</f>
        <v>0</v>
      </c>
      <c r="AL82" s="16">
        <f t="shared" si="29"/>
        <v>-719.22438782276038</v>
      </c>
      <c r="AM82" s="16">
        <f t="shared" si="30"/>
        <v>-475.91110435689279</v>
      </c>
      <c r="AN82">
        <f>-'Drilling Spec'!$C$29</f>
        <v>-720</v>
      </c>
      <c r="AO82">
        <f>-'Drilling Spec'!$C$27</f>
        <v>-624</v>
      </c>
      <c r="AP82">
        <f>-'Drilling Spec'!$C$28</f>
        <v>-688</v>
      </c>
      <c r="AQ82" t="e">
        <f t="shared" si="31"/>
        <v>#N/A</v>
      </c>
      <c r="AR82" t="e">
        <f>IF(X82=0,NA(),-'Drilling Spec'!$C$29*0.1)</f>
        <v>#N/A</v>
      </c>
      <c r="AS82">
        <f>IF(Y82=0,NA(),-'Drilling Spec'!$C$29*0.1)</f>
        <v>-72</v>
      </c>
      <c r="AT82" t="e">
        <f>IF(AB82=0,NA(),-'Drilling Spec'!$C$29*0.2)</f>
        <v>#N/A</v>
      </c>
      <c r="AU82" t="e">
        <f>IF(AC82=0,NA(),-'Drilling Spec'!$C$29*0.2)</f>
        <v>#N/A</v>
      </c>
      <c r="AV82" t="e">
        <f>IF(AH82=0,NA(),-'Drilling Spec'!$C$29*0.3)</f>
        <v>#N/A</v>
      </c>
      <c r="AW82" t="e">
        <f>IF(AI82=0,NA(),-'Drilling Spec'!$C$29*0.3)</f>
        <v>#N/A</v>
      </c>
      <c r="AX82" s="29">
        <f t="shared" si="32"/>
        <v>0.24617886178861981</v>
      </c>
      <c r="AY82" s="29">
        <f t="shared" si="33"/>
        <v>27.139707073229545</v>
      </c>
      <c r="AZ82" s="29">
        <f t="shared" si="37"/>
        <v>8.2040646371267343</v>
      </c>
    </row>
    <row r="83" spans="1:52" x14ac:dyDescent="0.35">
      <c r="A83" s="28">
        <f t="shared" si="38"/>
        <v>46053</v>
      </c>
      <c r="B83" t="str">
        <f t="shared" si="20"/>
        <v>Sat</v>
      </c>
      <c r="C83" s="10" t="s">
        <v>10</v>
      </c>
      <c r="D83" s="10">
        <v>16</v>
      </c>
      <c r="E83" s="4">
        <f t="shared" si="21"/>
        <v>0</v>
      </c>
      <c r="F83" s="4">
        <f t="shared" si="22"/>
        <v>808</v>
      </c>
      <c r="G83" s="4">
        <f t="shared" si="23"/>
        <v>0</v>
      </c>
      <c r="H83" s="15">
        <f>(SQRT(4*I82*I82*V*V + 'Drilling Spec'!$C$42*I82 + W*('Drilling Spec'!$C$43 + 2*l*V*(s*W + 2*V*G83/(1+e)) + 'Drilling Spec'!$C$44)) - 'Drilling Spec'!$C$45)/(2*V)</f>
        <v>719.22438782276038</v>
      </c>
      <c r="I83" s="23">
        <f>IF(AND(OR(I82=0,I82=""),F83=0),IF(F84=0,"",'Drilling Spec'!$C$26),H83)</f>
        <v>719.22438782276038</v>
      </c>
      <c r="J83" s="16">
        <f>MAX(0,I83-'Drilling Spec'!$C$30)</f>
        <v>639.22438782276038</v>
      </c>
      <c r="K83" s="18">
        <f>IFERROR(J83/'Drilling Spec'!$C$31,0)</f>
        <v>42.614959188184024</v>
      </c>
      <c r="L83" s="21">
        <f t="shared" si="24"/>
        <v>16</v>
      </c>
      <c r="M83" s="4">
        <f t="shared" si="34"/>
        <v>80</v>
      </c>
      <c r="N83" s="21">
        <f t="shared" si="25"/>
        <v>960</v>
      </c>
      <c r="O83" s="18">
        <f>(SQRT(4*O82*O82*vB*vB + 'Drilling Spec'!$C$48*O82 + WB*('Drilling Spec'!$C$49 + 2*lB*vB*(sB*WB + 2*vB*N83/(1+eB)) + 'Drilling Spec'!$C$50)) - 'Drilling Spec'!$C$51)/(2*vB)</f>
        <v>542.67553276151159</v>
      </c>
      <c r="P83" s="18">
        <f>IFERROR(((S83-'Drilling Spec'!$C$30)/'Drilling Spec'!$C$31)*'Drilling Spec'!$C$32,0)</f>
        <v>27.760531965690696</v>
      </c>
      <c r="Q83" s="18">
        <f t="shared" si="35"/>
        <v>4.0058657042771273</v>
      </c>
      <c r="R83" s="18"/>
      <c r="S83" s="26">
        <f>IF(AND(OR(T82=0,T82=""),M83=0),IF(M84=0,"",'Drilling Spec'!$C$30),O83)</f>
        <v>542.67553276151159</v>
      </c>
      <c r="U83" s="15">
        <f>E83*'Drilling Spec'!$C$22 + L83*'Drilling Spec'!$C$23</f>
        <v>0.3902439024390244</v>
      </c>
      <c r="V83" s="15">
        <f t="shared" si="36"/>
        <v>18.1440650406504</v>
      </c>
      <c r="W83" s="15">
        <f t="shared" si="26"/>
        <v>5.8559349593495957</v>
      </c>
      <c r="X83" s="10"/>
      <c r="Y83" s="30">
        <f>IF(W83&lt;U84,'Drilling Spec'!$C$35,0)</f>
        <v>0</v>
      </c>
      <c r="AA83" s="4">
        <f t="shared" si="40"/>
        <v>46</v>
      </c>
      <c r="AB83" s="10"/>
      <c r="AC83" s="30">
        <f>IF('04-07-25-Scen6-Good,16hr'!K84&gt;'04-07-25-Scen6-Good,16hr'!AA83,'Drilling Spec'!$C$36,)</f>
        <v>0</v>
      </c>
      <c r="AE83" s="18">
        <f>(I83-'Drilling Spec'!$C$26)/'Drilling Spec'!$C$38</f>
        <v>108.20406463712673</v>
      </c>
      <c r="AF83" s="18">
        <f t="shared" si="27"/>
        <v>0</v>
      </c>
      <c r="AG83" s="34">
        <f t="shared" si="28"/>
        <v>8.2040646371267343</v>
      </c>
      <c r="AH83" s="10"/>
      <c r="AI83" s="26">
        <f>IF(C83="Camp Closed",AG83,IF(AG83&lt;'Drilling Spec'!$C$39,,'Drilling Spec'!$C$39))</f>
        <v>0</v>
      </c>
      <c r="AL83" s="16">
        <f t="shared" si="29"/>
        <v>-719.22438782276038</v>
      </c>
      <c r="AM83" s="16">
        <f t="shared" si="30"/>
        <v>-542.67553276151159</v>
      </c>
      <c r="AN83">
        <f>-'Drilling Spec'!$C$29</f>
        <v>-720</v>
      </c>
      <c r="AO83">
        <f>-'Drilling Spec'!$C$27</f>
        <v>-624</v>
      </c>
      <c r="AP83">
        <f>-'Drilling Spec'!$C$28</f>
        <v>-688</v>
      </c>
      <c r="AQ83" t="e">
        <f t="shared" si="31"/>
        <v>#N/A</v>
      </c>
      <c r="AR83" t="e">
        <f>IF(X83=0,NA(),-'Drilling Spec'!$C$29*0.1)</f>
        <v>#N/A</v>
      </c>
      <c r="AS83" t="e">
        <f>IF(Y83=0,NA(),-'Drilling Spec'!$C$29*0.1)</f>
        <v>#N/A</v>
      </c>
      <c r="AT83" t="e">
        <f>IF(AB83=0,NA(),-'Drilling Spec'!$C$29*0.2)</f>
        <v>#N/A</v>
      </c>
      <c r="AU83" t="e">
        <f>IF(AC83=0,NA(),-'Drilling Spec'!$C$29*0.2)</f>
        <v>#N/A</v>
      </c>
      <c r="AV83" t="e">
        <f>IF(AH83=0,NA(),-'Drilling Spec'!$C$29*0.3)</f>
        <v>#N/A</v>
      </c>
      <c r="AW83" t="e">
        <f>IF(AI83=0,NA(),-'Drilling Spec'!$C$29*0.3)</f>
        <v>#N/A</v>
      </c>
      <c r="AX83" s="29">
        <f t="shared" si="32"/>
        <v>5.8559349593495957</v>
      </c>
      <c r="AY83" s="29">
        <f t="shared" si="33"/>
        <v>31.145572777506672</v>
      </c>
      <c r="AZ83" s="29">
        <f t="shared" si="37"/>
        <v>8.2040646371267343</v>
      </c>
    </row>
    <row r="84" spans="1:52" x14ac:dyDescent="0.35">
      <c r="A84" s="28">
        <f t="shared" si="38"/>
        <v>46054</v>
      </c>
      <c r="B84" t="str">
        <f t="shared" si="20"/>
        <v>Sun</v>
      </c>
      <c r="C84" s="10" t="s">
        <v>7</v>
      </c>
      <c r="D84" s="10">
        <v>0</v>
      </c>
      <c r="E84" s="4">
        <f t="shared" si="21"/>
        <v>0</v>
      </c>
      <c r="F84" s="4">
        <f t="shared" si="22"/>
        <v>808</v>
      </c>
      <c r="G84" s="4">
        <f t="shared" si="23"/>
        <v>0</v>
      </c>
      <c r="H84" s="15">
        <f>(SQRT(4*I83*I83*V*V + 'Drilling Spec'!$C$42*I83 + W*('Drilling Spec'!$C$43 + 2*l*V*(s*W + 2*V*G84/(1+e)) + 'Drilling Spec'!$C$44)) - 'Drilling Spec'!$C$45)/(2*V)</f>
        <v>719.22438782276038</v>
      </c>
      <c r="I84" s="23">
        <f>IF(AND(OR(I83=0,I83=""),F84=0),IF(F85=0,"",'Drilling Spec'!$C$26),H84)</f>
        <v>719.22438782276038</v>
      </c>
      <c r="J84" s="16">
        <f>MAX(0,I84-'Drilling Spec'!$C$30)</f>
        <v>639.22438782276038</v>
      </c>
      <c r="K84" s="18">
        <f>IFERROR(J84/'Drilling Spec'!$C$31,0)</f>
        <v>42.614959188184024</v>
      </c>
      <c r="L84" s="21">
        <f t="shared" si="24"/>
        <v>0</v>
      </c>
      <c r="M84" s="4">
        <f t="shared" si="34"/>
        <v>80</v>
      </c>
      <c r="N84" s="21">
        <f t="shared" si="25"/>
        <v>0</v>
      </c>
      <c r="O84" s="18">
        <f>(SQRT(4*O83*O83*vB*vB + 'Drilling Spec'!$C$48*O83 + WB*('Drilling Spec'!$C$49 + 2*lB*vB*(sB*WB + 2*vB*N84/(1+eB)) + 'Drilling Spec'!$C$50)) - 'Drilling Spec'!$C$51)/(2*vB)</f>
        <v>542.67553276151159</v>
      </c>
      <c r="P84" s="18">
        <f>IFERROR(((S84-'Drilling Spec'!$C$30)/'Drilling Spec'!$C$31)*'Drilling Spec'!$C$32,0)</f>
        <v>27.760531965690696</v>
      </c>
      <c r="Q84" s="18">
        <f t="shared" si="35"/>
        <v>0</v>
      </c>
      <c r="R84" s="18"/>
      <c r="S84" s="26">
        <f>IF(AND(OR(T83=0,T83=""),M84=0),IF(M85=0,"",'Drilling Spec'!$C$30),O84)</f>
        <v>542.67553276151159</v>
      </c>
      <c r="U84" s="15">
        <f>E84*'Drilling Spec'!$C$22 + L84*'Drilling Spec'!$C$23</f>
        <v>0</v>
      </c>
      <c r="V84" s="15">
        <f t="shared" si="36"/>
        <v>18.1440650406504</v>
      </c>
      <c r="W84" s="15">
        <f t="shared" si="26"/>
        <v>5.8559349593495957</v>
      </c>
      <c r="X84" s="10"/>
      <c r="Y84" s="30">
        <f>IF(W84&lt;U85,'Drilling Spec'!$C$35,0)</f>
        <v>0</v>
      </c>
      <c r="AA84" s="4">
        <f t="shared" si="40"/>
        <v>46</v>
      </c>
      <c r="AB84" s="10"/>
      <c r="AC84" s="30">
        <f>IF('04-07-25-Scen6-Good,16hr'!K85&gt;'04-07-25-Scen6-Good,16hr'!AA84,'Drilling Spec'!$C$36,)</f>
        <v>0</v>
      </c>
      <c r="AE84" s="18">
        <f>(I84-'Drilling Spec'!$C$26)/'Drilling Spec'!$C$38</f>
        <v>108.20406463712673</v>
      </c>
      <c r="AF84" s="18">
        <f t="shared" si="27"/>
        <v>0</v>
      </c>
      <c r="AG84" s="34">
        <f t="shared" si="28"/>
        <v>8.2040646371267343</v>
      </c>
      <c r="AH84" s="10"/>
      <c r="AI84" s="26">
        <f>IF(C84="Camp Closed",AG84,IF(AG84&lt;'Drilling Spec'!$C$39,,'Drilling Spec'!$C$39))</f>
        <v>0</v>
      </c>
      <c r="AL84" s="16">
        <f t="shared" si="29"/>
        <v>-719.22438782276038</v>
      </c>
      <c r="AM84" s="16">
        <f t="shared" si="30"/>
        <v>-542.67553276151159</v>
      </c>
      <c r="AN84">
        <f>-'Drilling Spec'!$C$29</f>
        <v>-720</v>
      </c>
      <c r="AO84">
        <f>-'Drilling Spec'!$C$27</f>
        <v>-624</v>
      </c>
      <c r="AP84">
        <f>-'Drilling Spec'!$C$28</f>
        <v>-688</v>
      </c>
      <c r="AQ84" t="e">
        <f t="shared" si="31"/>
        <v>#N/A</v>
      </c>
      <c r="AR84" t="e">
        <f>IF(X84=0,NA(),-'Drilling Spec'!$C$29*0.1)</f>
        <v>#N/A</v>
      </c>
      <c r="AS84" t="e">
        <f>IF(Y84=0,NA(),-'Drilling Spec'!$C$29*0.1)</f>
        <v>#N/A</v>
      </c>
      <c r="AT84" t="e">
        <f>IF(AB84=0,NA(),-'Drilling Spec'!$C$29*0.2)</f>
        <v>#N/A</v>
      </c>
      <c r="AU84" t="e">
        <f>IF(AC84=0,NA(),-'Drilling Spec'!$C$29*0.2)</f>
        <v>#N/A</v>
      </c>
      <c r="AV84" t="e">
        <f>IF(AH84=0,NA(),-'Drilling Spec'!$C$29*0.3)</f>
        <v>#N/A</v>
      </c>
      <c r="AW84" t="e">
        <f>IF(AI84=0,NA(),-'Drilling Spec'!$C$29*0.3)</f>
        <v>#N/A</v>
      </c>
      <c r="AX84" s="29">
        <f t="shared" si="32"/>
        <v>5.8559349593495957</v>
      </c>
      <c r="AY84" s="29">
        <f t="shared" si="33"/>
        <v>31.145572777506672</v>
      </c>
      <c r="AZ84" s="29">
        <f t="shared" si="37"/>
        <v>8.2040646371267343</v>
      </c>
    </row>
    <row r="85" spans="1:52" x14ac:dyDescent="0.35">
      <c r="A85" s="28">
        <f>A84+1</f>
        <v>46055</v>
      </c>
      <c r="B85" t="str">
        <f t="shared" si="20"/>
        <v>Mon</v>
      </c>
      <c r="C85" s="10" t="s">
        <v>10</v>
      </c>
      <c r="D85" s="10">
        <v>16</v>
      </c>
      <c r="E85" s="4">
        <f t="shared" si="21"/>
        <v>0</v>
      </c>
      <c r="F85" s="4">
        <f t="shared" si="22"/>
        <v>808</v>
      </c>
      <c r="G85" s="4">
        <f t="shared" si="23"/>
        <v>0</v>
      </c>
      <c r="H85" s="15">
        <f>(SQRT(4*I84*I84*V*V + 'Drilling Spec'!$C$42*I84 + W*('Drilling Spec'!$C$43 + 2*l*V*(s*W + 2*V*G85/(1+e)) + 'Drilling Spec'!$C$44)) - 'Drilling Spec'!$C$45)/(2*V)</f>
        <v>719.22438782276038</v>
      </c>
      <c r="I85" s="23">
        <f>IF(AND(OR(I84=0,I84=""),F85=0),IF(F86=0,"",'Drilling Spec'!$C$26),H85)</f>
        <v>719.22438782276038</v>
      </c>
      <c r="J85" s="16">
        <f>MAX(0,I85-'Drilling Spec'!$C$30)</f>
        <v>639.22438782276038</v>
      </c>
      <c r="K85" s="18">
        <f>IFERROR(J85/'Drilling Spec'!$C$31,0)</f>
        <v>42.614959188184024</v>
      </c>
      <c r="L85" s="21">
        <f t="shared" si="24"/>
        <v>16</v>
      </c>
      <c r="M85" s="4">
        <f t="shared" si="34"/>
        <v>96</v>
      </c>
      <c r="N85" s="21">
        <f t="shared" si="25"/>
        <v>960</v>
      </c>
      <c r="O85" s="18">
        <f>(SQRT(4*O84*O84*vB*vB + 'Drilling Spec'!$C$48*O84 + WB*('Drilling Spec'!$C$49 + 2*lB*vB*(sB*WB + 2*vB*N85/(1+eB)) + 'Drilling Spec'!$C$50)) - 'Drilling Spec'!$C$51)/(2*vB)</f>
        <v>603.20853687666499</v>
      </c>
      <c r="P85" s="18">
        <f>IFERROR(((S85-'Drilling Spec'!$C$30)/'Drilling Spec'!$C$31)*'Drilling Spec'!$C$32,0)</f>
        <v>31.392512212599904</v>
      </c>
      <c r="Q85" s="18">
        <f t="shared" si="35"/>
        <v>3.6319802469092082</v>
      </c>
      <c r="R85" s="18"/>
      <c r="S85" s="26">
        <f>IF(AND(OR(T84=0,T84=""),M85=0),IF(M86=0,"",'Drilling Spec'!$C$30),O85)</f>
        <v>603.20853687666499</v>
      </c>
      <c r="U85" s="15">
        <f>E85*'Drilling Spec'!$C$22 + L85*'Drilling Spec'!$C$23</f>
        <v>0.3902439024390244</v>
      </c>
      <c r="V85" s="15">
        <f t="shared" si="36"/>
        <v>18.534308943089425</v>
      </c>
      <c r="W85" s="15">
        <f t="shared" si="26"/>
        <v>5.465691056910571</v>
      </c>
      <c r="X85" s="10"/>
      <c r="Y85" s="30">
        <f>IF(W85&lt;U86,'Drilling Spec'!$C$35,0)</f>
        <v>0</v>
      </c>
      <c r="AA85" s="4">
        <f t="shared" si="40"/>
        <v>46</v>
      </c>
      <c r="AB85" s="10"/>
      <c r="AC85" s="30">
        <f>IF('04-07-25-Scen6-Good,16hr'!K86&gt;'04-07-25-Scen6-Good,16hr'!AA85,'Drilling Spec'!$C$36,)</f>
        <v>0</v>
      </c>
      <c r="AE85" s="18">
        <f>(I85-'Drilling Spec'!$C$26)/'Drilling Spec'!$C$38</f>
        <v>108.20406463712673</v>
      </c>
      <c r="AF85" s="18">
        <f t="shared" si="27"/>
        <v>0</v>
      </c>
      <c r="AG85" s="34">
        <f t="shared" si="28"/>
        <v>8.2040646371267343</v>
      </c>
      <c r="AH85" s="10"/>
      <c r="AI85" s="26">
        <f>IF(C85="Camp Closed",AG85,IF(AG85&lt;'Drilling Spec'!$C$39,,'Drilling Spec'!$C$39))</f>
        <v>0</v>
      </c>
      <c r="AL85" s="16">
        <f t="shared" si="29"/>
        <v>-719.22438782276038</v>
      </c>
      <c r="AM85" s="16">
        <f t="shared" si="30"/>
        <v>-603.20853687666499</v>
      </c>
      <c r="AN85">
        <f>-'Drilling Spec'!$C$29</f>
        <v>-720</v>
      </c>
      <c r="AO85">
        <f>-'Drilling Spec'!$C$27</f>
        <v>-624</v>
      </c>
      <c r="AP85">
        <f>-'Drilling Spec'!$C$28</f>
        <v>-688</v>
      </c>
      <c r="AQ85" t="e">
        <f t="shared" si="31"/>
        <v>#N/A</v>
      </c>
      <c r="AR85" t="e">
        <f>IF(X85=0,NA(),-'Drilling Spec'!$C$29*0.1)</f>
        <v>#N/A</v>
      </c>
      <c r="AS85" t="e">
        <f>IF(Y85=0,NA(),-'Drilling Spec'!$C$29*0.1)</f>
        <v>#N/A</v>
      </c>
      <c r="AT85" t="e">
        <f>IF(AB85=0,NA(),-'Drilling Spec'!$C$29*0.2)</f>
        <v>#N/A</v>
      </c>
      <c r="AU85" t="e">
        <f>IF(AC85=0,NA(),-'Drilling Spec'!$C$29*0.2)</f>
        <v>#N/A</v>
      </c>
      <c r="AV85" t="e">
        <f>IF(AH85=0,NA(),-'Drilling Spec'!$C$29*0.3)</f>
        <v>#N/A</v>
      </c>
      <c r="AW85" t="e">
        <f>IF(AI85=0,NA(),-'Drilling Spec'!$C$29*0.3)</f>
        <v>#N/A</v>
      </c>
      <c r="AX85" s="29">
        <f t="shared" si="32"/>
        <v>5.465691056910571</v>
      </c>
      <c r="AY85" s="29">
        <f t="shared" si="33"/>
        <v>34.77755302441588</v>
      </c>
      <c r="AZ85" s="29">
        <f t="shared" si="37"/>
        <v>8.2040646371267343</v>
      </c>
    </row>
    <row r="86" spans="1:52" x14ac:dyDescent="0.35">
      <c r="A86" s="28">
        <f t="shared" ref="A86" si="41">A85+1</f>
        <v>46056</v>
      </c>
      <c r="B86" t="str">
        <f t="shared" si="20"/>
        <v>Tue</v>
      </c>
      <c r="C86" s="10" t="s">
        <v>10</v>
      </c>
      <c r="D86" s="10">
        <v>16</v>
      </c>
      <c r="E86" s="4">
        <f t="shared" si="21"/>
        <v>0</v>
      </c>
      <c r="F86" s="4">
        <f t="shared" si="22"/>
        <v>808</v>
      </c>
      <c r="G86" s="4">
        <f t="shared" si="23"/>
        <v>0</v>
      </c>
      <c r="H86" s="15">
        <f>(SQRT(4*I85*I85*V*V + 'Drilling Spec'!$C$42*I85 + W*('Drilling Spec'!$C$43 + 2*l*V*(s*W + 2*V*G86/(1+e)) + 'Drilling Spec'!$C$44)) - 'Drilling Spec'!$C$45)/(2*V)</f>
        <v>719.22438782276038</v>
      </c>
      <c r="I86" s="23">
        <f>IF(AND(OR(I85=0,I85=""),F86=0),IF(F87=0,"",'Drilling Spec'!$C$26),H86)</f>
        <v>719.22438782276038</v>
      </c>
      <c r="J86" s="16">
        <f>MAX(0,I86-'Drilling Spec'!$C$30)</f>
        <v>639.22438782276038</v>
      </c>
      <c r="K86" s="18">
        <f>IFERROR(J86/'Drilling Spec'!$C$31,0)</f>
        <v>42.614959188184024</v>
      </c>
      <c r="L86" s="21">
        <f t="shared" si="24"/>
        <v>16</v>
      </c>
      <c r="M86" s="4">
        <f t="shared" si="34"/>
        <v>112</v>
      </c>
      <c r="N86" s="21">
        <f t="shared" si="25"/>
        <v>960</v>
      </c>
      <c r="O86" s="18">
        <f>(SQRT(4*O85*O85*vB*vB + 'Drilling Spec'!$C$48*O85 + WB*('Drilling Spec'!$C$49 + 2*lB*vB*(sB*WB + 2*vB*N86/(1+eB)) + 'Drilling Spec'!$C$50)) - 'Drilling Spec'!$C$51)/(2*vB)</f>
        <v>658.9850258956875</v>
      </c>
      <c r="P86" s="18">
        <f>IFERROR(((S86-'Drilling Spec'!$C$30)/'Drilling Spec'!$C$31)*'Drilling Spec'!$C$32,0)</f>
        <v>34.73910155374125</v>
      </c>
      <c r="Q86" s="18">
        <f t="shared" si="35"/>
        <v>3.3465893411413461</v>
      </c>
      <c r="R86" s="18"/>
      <c r="S86" s="26">
        <f>IF(AND(OR(T85=0,T85=""),M86=0),IF(M87=0,"",'Drilling Spec'!$C$30),O86)</f>
        <v>658.9850258956875</v>
      </c>
      <c r="U86" s="15">
        <f>E86*'Drilling Spec'!$C$22 + L86*'Drilling Spec'!$C$23</f>
        <v>0.3902439024390244</v>
      </c>
      <c r="V86" s="15">
        <f t="shared" si="36"/>
        <v>18.924552845528449</v>
      </c>
      <c r="W86" s="15">
        <f t="shared" si="26"/>
        <v>5.0754471544715463</v>
      </c>
      <c r="X86" s="10"/>
      <c r="Y86" s="30">
        <f>IF(W86&lt;U87,'Drilling Spec'!$C$35,0)</f>
        <v>0</v>
      </c>
      <c r="AA86" s="4">
        <f t="shared" si="40"/>
        <v>46</v>
      </c>
      <c r="AB86" s="10"/>
      <c r="AC86" s="30">
        <f>IF('04-07-25-Scen6-Good,16hr'!K87&gt;'04-07-25-Scen6-Good,16hr'!AA86,'Drilling Spec'!$C$36,)</f>
        <v>0</v>
      </c>
      <c r="AE86" s="18">
        <f>(I86-'Drilling Spec'!$C$26)/'Drilling Spec'!$C$38</f>
        <v>108.20406463712673</v>
      </c>
      <c r="AF86" s="18">
        <f t="shared" si="27"/>
        <v>0</v>
      </c>
      <c r="AG86" s="34">
        <f t="shared" si="28"/>
        <v>8.2040646371267343</v>
      </c>
      <c r="AH86" s="10"/>
      <c r="AI86" s="26">
        <f>IF(C86="Camp Closed",AG86,IF(AG86&lt;'Drilling Spec'!$C$39,,'Drilling Spec'!$C$39))</f>
        <v>0</v>
      </c>
      <c r="AL86" s="16">
        <f t="shared" si="29"/>
        <v>-719.22438782276038</v>
      </c>
      <c r="AM86" s="16">
        <f t="shared" si="30"/>
        <v>-658.9850258956875</v>
      </c>
      <c r="AN86">
        <f>-'Drilling Spec'!$C$29</f>
        <v>-720</v>
      </c>
      <c r="AO86">
        <f>-'Drilling Spec'!$C$27</f>
        <v>-624</v>
      </c>
      <c r="AP86">
        <f>-'Drilling Spec'!$C$28</f>
        <v>-688</v>
      </c>
      <c r="AQ86" t="e">
        <f t="shared" si="31"/>
        <v>#N/A</v>
      </c>
      <c r="AR86" t="e">
        <f>IF(X86=0,NA(),-'Drilling Spec'!$C$29*0.1)</f>
        <v>#N/A</v>
      </c>
      <c r="AS86" t="e">
        <f>IF(Y86=0,NA(),-'Drilling Spec'!$C$29*0.1)</f>
        <v>#N/A</v>
      </c>
      <c r="AT86" t="e">
        <f>IF(AB86=0,NA(),-'Drilling Spec'!$C$29*0.2)</f>
        <v>#N/A</v>
      </c>
      <c r="AU86" t="e">
        <f>IF(AC86=0,NA(),-'Drilling Spec'!$C$29*0.2)</f>
        <v>#N/A</v>
      </c>
      <c r="AV86" t="e">
        <f>IF(AH86=0,NA(),-'Drilling Spec'!$C$29*0.3)</f>
        <v>#N/A</v>
      </c>
      <c r="AW86" t="e">
        <f>IF(AI86=0,NA(),-'Drilling Spec'!$C$29*0.3)</f>
        <v>#N/A</v>
      </c>
      <c r="AX86" s="29">
        <f t="shared" si="32"/>
        <v>5.0754471544715463</v>
      </c>
      <c r="AY86" s="29">
        <f t="shared" si="33"/>
        <v>38.124142365557226</v>
      </c>
      <c r="AZ86" s="29">
        <f t="shared" si="37"/>
        <v>8.2040646371267343</v>
      </c>
    </row>
    <row r="87" spans="1:52" x14ac:dyDescent="0.35">
      <c r="A87" s="28">
        <f>A86+1</f>
        <v>46057</v>
      </c>
      <c r="B87" t="str">
        <f t="shared" si="20"/>
        <v>Wed</v>
      </c>
      <c r="C87" s="10" t="s">
        <v>10</v>
      </c>
      <c r="D87" s="10">
        <v>16</v>
      </c>
      <c r="E87" s="4">
        <f t="shared" si="21"/>
        <v>0</v>
      </c>
      <c r="F87" s="4">
        <f t="shared" si="22"/>
        <v>808</v>
      </c>
      <c r="G87" s="4">
        <f t="shared" si="23"/>
        <v>0</v>
      </c>
      <c r="H87" s="15">
        <f>(SQRT(4*I86*I86*V*V + 'Drilling Spec'!$C$42*I86 + W*('Drilling Spec'!$C$43 + 2*l*V*(s*W + 2*V*G87/(1+e)) + 'Drilling Spec'!$C$44)) - 'Drilling Spec'!$C$45)/(2*V)</f>
        <v>719.22438782276038</v>
      </c>
      <c r="I87" s="23">
        <f>IF(AND(OR(I86=0,I86=""),F87=0),IF(F88=0,"",'Drilling Spec'!$C$26),H87)</f>
        <v>719.22438782276038</v>
      </c>
      <c r="J87" s="16">
        <f>MAX(0,I87-'Drilling Spec'!$C$30)</f>
        <v>639.22438782276038</v>
      </c>
      <c r="K87" s="18">
        <f>IFERROR(J87/'Drilling Spec'!$C$31,0)</f>
        <v>42.614959188184024</v>
      </c>
      <c r="L87" s="21">
        <f t="shared" si="24"/>
        <v>16</v>
      </c>
      <c r="M87" s="4">
        <f t="shared" si="34"/>
        <v>128</v>
      </c>
      <c r="N87" s="21">
        <f t="shared" si="25"/>
        <v>960</v>
      </c>
      <c r="O87" s="18">
        <f>(SQRT(4*O86*O86*vB*vB + 'Drilling Spec'!$C$48*O86 + WB*('Drilling Spec'!$C$49 + 2*lB*vB*(sB*WB + 2*vB*N87/(1+eB)) + 'Drilling Spec'!$C$50)) - 'Drilling Spec'!$C$51)/(2*vB)</f>
        <v>710.9762191673608</v>
      </c>
      <c r="P87" s="18">
        <f>IFERROR(((S87-'Drilling Spec'!$C$30)/'Drilling Spec'!$C$31)*'Drilling Spec'!$C$32,0)</f>
        <v>37.85857315004165</v>
      </c>
      <c r="Q87" s="18">
        <f t="shared" si="35"/>
        <v>3.1194715963004001</v>
      </c>
      <c r="R87" s="18"/>
      <c r="S87" s="26">
        <f>IF(AND(OR(T86=0,T86=""),M87=0),IF(M88=0,"",'Drilling Spec'!$C$30),O87)</f>
        <v>710.9762191673608</v>
      </c>
      <c r="U87" s="15">
        <f>E87*'Drilling Spec'!$C$22 + L87*'Drilling Spec'!$C$23</f>
        <v>0.3902439024390244</v>
      </c>
      <c r="V87" s="15">
        <f t="shared" si="36"/>
        <v>19.314796747967474</v>
      </c>
      <c r="W87" s="15">
        <f t="shared" si="26"/>
        <v>4.6852032520325215</v>
      </c>
      <c r="X87" s="10"/>
      <c r="Y87" s="30">
        <f>IF(W87&lt;U88,'Drilling Spec'!$C$35,0)</f>
        <v>0</v>
      </c>
      <c r="AA87" s="4">
        <f t="shared" si="40"/>
        <v>46</v>
      </c>
      <c r="AB87" s="10"/>
      <c r="AC87" s="30">
        <f>IF('04-07-25-Scen6-Good,16hr'!K88&gt;'04-07-25-Scen6-Good,16hr'!AA87,'Drilling Spec'!$C$36,)</f>
        <v>0</v>
      </c>
      <c r="AE87" s="18">
        <f>(I87-'Drilling Spec'!$C$26)/'Drilling Spec'!$C$38</f>
        <v>108.20406463712673</v>
      </c>
      <c r="AF87" s="18">
        <f t="shared" si="27"/>
        <v>0</v>
      </c>
      <c r="AG87" s="34">
        <f t="shared" si="28"/>
        <v>8.2040646371267343</v>
      </c>
      <c r="AH87" s="10"/>
      <c r="AI87" s="26">
        <f>IF(C87="Camp Closed",AG87,IF(AG87&lt;'Drilling Spec'!$C$39,,'Drilling Spec'!$C$39))</f>
        <v>0</v>
      </c>
      <c r="AL87" s="16">
        <f t="shared" si="29"/>
        <v>-719.22438782276038</v>
      </c>
      <c r="AM87" s="16">
        <f t="shared" si="30"/>
        <v>-710.9762191673608</v>
      </c>
      <c r="AN87">
        <f>-'Drilling Spec'!$C$29</f>
        <v>-720</v>
      </c>
      <c r="AO87">
        <f>-'Drilling Spec'!$C$27</f>
        <v>-624</v>
      </c>
      <c r="AP87">
        <f>-'Drilling Spec'!$C$28</f>
        <v>-688</v>
      </c>
      <c r="AQ87" t="e">
        <f t="shared" si="31"/>
        <v>#N/A</v>
      </c>
      <c r="AR87" t="e">
        <f>IF(X87=0,NA(),-'Drilling Spec'!$C$29*0.1)</f>
        <v>#N/A</v>
      </c>
      <c r="AS87" t="e">
        <f>IF(Y87=0,NA(),-'Drilling Spec'!$C$29*0.1)</f>
        <v>#N/A</v>
      </c>
      <c r="AT87" t="e">
        <f>IF(AB87=0,NA(),-'Drilling Spec'!$C$29*0.2)</f>
        <v>#N/A</v>
      </c>
      <c r="AU87" t="e">
        <f>IF(AC87=0,NA(),-'Drilling Spec'!$C$29*0.2)</f>
        <v>#N/A</v>
      </c>
      <c r="AV87" t="e">
        <f>IF(AH87=0,NA(),-'Drilling Spec'!$C$29*0.3)</f>
        <v>#N/A</v>
      </c>
      <c r="AW87" t="e">
        <f>IF(AI87=0,NA(),-'Drilling Spec'!$C$29*0.3)</f>
        <v>#N/A</v>
      </c>
      <c r="AX87" s="29">
        <f t="shared" si="32"/>
        <v>4.6852032520325215</v>
      </c>
      <c r="AY87" s="29">
        <f t="shared" si="33"/>
        <v>41.243613961857626</v>
      </c>
      <c r="AZ87" s="29">
        <f t="shared" si="37"/>
        <v>8.2040646371267343</v>
      </c>
    </row>
    <row r="88" spans="1:52" x14ac:dyDescent="0.35">
      <c r="A88" s="28">
        <f t="shared" ref="A88:A112" si="42">A87+1</f>
        <v>46058</v>
      </c>
      <c r="B88" t="str">
        <f t="shared" si="20"/>
        <v>Thu</v>
      </c>
      <c r="C88" s="10" t="s">
        <v>10</v>
      </c>
      <c r="D88" s="10">
        <v>3</v>
      </c>
      <c r="E88" s="4">
        <f t="shared" si="21"/>
        <v>0</v>
      </c>
      <c r="F88" s="4">
        <f t="shared" si="22"/>
        <v>808</v>
      </c>
      <c r="G88" s="4">
        <f t="shared" si="23"/>
        <v>0</v>
      </c>
      <c r="H88" s="15">
        <f>(SQRT(4*I87*I87*V*V + 'Drilling Spec'!$C$42*I87 + W*('Drilling Spec'!$C$43 + 2*l*V*(s*W + 2*V*G88/(1+e)) + 'Drilling Spec'!$C$44)) - 'Drilling Spec'!$C$45)/(2*V)</f>
        <v>719.22438782276038</v>
      </c>
      <c r="I88" s="23">
        <f>IF(AND(OR(I87=0,I87=""),F88=0),IF(F89=0,"",'Drilling Spec'!$C$26),H88)</f>
        <v>719.22438782276038</v>
      </c>
      <c r="J88" s="16">
        <f>MAX(0,I88-'Drilling Spec'!$C$30)</f>
        <v>639.22438782276038</v>
      </c>
      <c r="K88" s="18">
        <f>IFERROR(J88/'Drilling Spec'!$C$31,0)</f>
        <v>42.614959188184024</v>
      </c>
      <c r="L88" s="21">
        <f t="shared" si="24"/>
        <v>3</v>
      </c>
      <c r="M88" s="4">
        <f t="shared" si="34"/>
        <v>131</v>
      </c>
      <c r="N88" s="21">
        <f t="shared" si="25"/>
        <v>180</v>
      </c>
      <c r="O88" s="18">
        <f>(SQRT(4*O87*O87*vB*vB + 'Drilling Spec'!$C$48*O87 + WB*('Drilling Spec'!$C$49 + 2*lB*vB*(sB*WB + 2*vB*N88/(1+eB)) + 'Drilling Spec'!$C$50)) - 'Drilling Spec'!$C$51)/(2*vB)</f>
        <v>720.36180283396209</v>
      </c>
      <c r="P88" s="18">
        <f>IFERROR(((S88-'Drilling Spec'!$C$30)/'Drilling Spec'!$C$31)*'Drilling Spec'!$C$32,0)</f>
        <v>38.421708170037725</v>
      </c>
      <c r="Q88" s="18">
        <f t="shared" si="35"/>
        <v>0.56313501999607496</v>
      </c>
      <c r="R88" s="18"/>
      <c r="S88" s="26">
        <f>IF(AND(OR(T87=0,T87=""),M88=0),IF(M89=0,"",'Drilling Spec'!$C$30),O88)</f>
        <v>720.36180283396209</v>
      </c>
      <c r="U88" s="15">
        <f>E88*'Drilling Spec'!$C$22 + L88*'Drilling Spec'!$C$23</f>
        <v>7.3170731707317083E-2</v>
      </c>
      <c r="V88" s="15">
        <f t="shared" si="36"/>
        <v>19.387967479674792</v>
      </c>
      <c r="W88" s="15">
        <f t="shared" si="26"/>
        <v>4.6120325203252044</v>
      </c>
      <c r="X88" s="10"/>
      <c r="Y88" s="30">
        <f>IF(W88&lt;U89,'Drilling Spec'!$C$35,0)</f>
        <v>0</v>
      </c>
      <c r="AA88" s="4">
        <f t="shared" si="40"/>
        <v>46</v>
      </c>
      <c r="AB88" s="10"/>
      <c r="AC88" s="30">
        <f>IF('04-07-25-Scen6-Good,16hr'!K89&gt;'04-07-25-Scen6-Good,16hr'!AA88,'Drilling Spec'!$C$36,)</f>
        <v>0</v>
      </c>
      <c r="AE88" s="18">
        <f>(I88-'Drilling Spec'!$C$26)/'Drilling Spec'!$C$38</f>
        <v>108.20406463712673</v>
      </c>
      <c r="AF88" s="18">
        <f t="shared" si="27"/>
        <v>0</v>
      </c>
      <c r="AG88" s="34">
        <f t="shared" si="28"/>
        <v>8.2040646371267343</v>
      </c>
      <c r="AH88" s="10"/>
      <c r="AI88" s="26">
        <f>IF(C88="Camp Closed",AG88,IF(AG88&lt;'Drilling Spec'!$C$39,,'Drilling Spec'!$C$39))</f>
        <v>0</v>
      </c>
      <c r="AL88" s="16">
        <f t="shared" si="29"/>
        <v>-719.22438782276038</v>
      </c>
      <c r="AM88" s="16">
        <f t="shared" si="30"/>
        <v>-720.36180283396209</v>
      </c>
      <c r="AN88">
        <f>-'Drilling Spec'!$C$29</f>
        <v>-720</v>
      </c>
      <c r="AO88">
        <f>-'Drilling Spec'!$C$27</f>
        <v>-624</v>
      </c>
      <c r="AP88">
        <f>-'Drilling Spec'!$C$28</f>
        <v>-688</v>
      </c>
      <c r="AQ88" t="e">
        <f t="shared" si="31"/>
        <v>#N/A</v>
      </c>
      <c r="AR88" t="e">
        <f>IF(X88=0,NA(),-'Drilling Spec'!$C$29*0.1)</f>
        <v>#N/A</v>
      </c>
      <c r="AS88" t="e">
        <f>IF(Y88=0,NA(),-'Drilling Spec'!$C$29*0.1)</f>
        <v>#N/A</v>
      </c>
      <c r="AT88" t="e">
        <f>IF(AB88=0,NA(),-'Drilling Spec'!$C$29*0.2)</f>
        <v>#N/A</v>
      </c>
      <c r="AU88" t="e">
        <f>IF(AC88=0,NA(),-'Drilling Spec'!$C$29*0.2)</f>
        <v>#N/A</v>
      </c>
      <c r="AV88" t="e">
        <f>IF(AH88=0,NA(),-'Drilling Spec'!$C$29*0.3)</f>
        <v>#N/A</v>
      </c>
      <c r="AW88" t="e">
        <f>IF(AI88=0,NA(),-'Drilling Spec'!$C$29*0.3)</f>
        <v>#N/A</v>
      </c>
      <c r="AX88" s="29">
        <f t="shared" si="32"/>
        <v>4.6120325203252044</v>
      </c>
      <c r="AY88" s="29">
        <f t="shared" si="33"/>
        <v>41.806748981853701</v>
      </c>
      <c r="AZ88" s="29">
        <f t="shared" si="37"/>
        <v>8.2040646371267343</v>
      </c>
    </row>
    <row r="89" spans="1:52" x14ac:dyDescent="0.35">
      <c r="A89" s="28">
        <f t="shared" si="42"/>
        <v>46059</v>
      </c>
      <c r="B89" t="str">
        <f t="shared" si="20"/>
        <v>Fri</v>
      </c>
      <c r="C89" s="10" t="s">
        <v>68</v>
      </c>
      <c r="D89" s="10">
        <v>12</v>
      </c>
      <c r="E89" s="4">
        <f t="shared" si="21"/>
        <v>0</v>
      </c>
      <c r="F89" s="4">
        <f t="shared" si="22"/>
        <v>808</v>
      </c>
      <c r="G89" s="4">
        <f t="shared" si="23"/>
        <v>0</v>
      </c>
      <c r="H89" s="15">
        <f>(SQRT(4*I88*I88*V*V + 'Drilling Spec'!$C$42*I88 + W*('Drilling Spec'!$C$43 + 2*l*V*(s*W + 2*V*G89/(1+e)) + 'Drilling Spec'!$C$44)) - 'Drilling Spec'!$C$45)/(2*V)</f>
        <v>719.22438782276038</v>
      </c>
      <c r="I89" s="23">
        <f>IF(AND(OR(I88=0,I88=""),F89=0),IF(F90=0,"",'Drilling Spec'!$C$26),H89)</f>
        <v>719.22438782276038</v>
      </c>
      <c r="J89" s="16">
        <f>MAX(0,I89-'Drilling Spec'!$C$30)</f>
        <v>639.22438782276038</v>
      </c>
      <c r="K89" s="18">
        <f>IFERROR(J89/'Drilling Spec'!$C$31,0)</f>
        <v>42.614959188184024</v>
      </c>
      <c r="L89" s="21">
        <f t="shared" si="24"/>
        <v>0</v>
      </c>
      <c r="M89" s="4">
        <f t="shared" si="34"/>
        <v>131</v>
      </c>
      <c r="N89" s="21">
        <f t="shared" si="25"/>
        <v>0</v>
      </c>
      <c r="O89" s="18">
        <f>(SQRT(4*O88*O88*vB*vB + 'Drilling Spec'!$C$48*O88 + WB*('Drilling Spec'!$C$49 + 2*lB*vB*(sB*WB + 2*vB*N89/(1+eB)) + 'Drilling Spec'!$C$50)) - 'Drilling Spec'!$C$51)/(2*vB)</f>
        <v>720.36180283396209</v>
      </c>
      <c r="P89" s="18">
        <f>IFERROR(((S89-'Drilling Spec'!$C$30)/'Drilling Spec'!$C$31)*'Drilling Spec'!$C$32,0)</f>
        <v>38.421708170037725</v>
      </c>
      <c r="Q89" s="18">
        <f t="shared" si="35"/>
        <v>0</v>
      </c>
      <c r="R89" s="18"/>
      <c r="S89" s="26">
        <f>IF(AND(OR(T88=0,T88=""),M89=0),IF(M90=0,"",'Drilling Spec'!$C$30),O89)</f>
        <v>720.36180283396209</v>
      </c>
      <c r="U89" s="15">
        <f>E89*'Drilling Spec'!$C$22 + L89*'Drilling Spec'!$C$23</f>
        <v>0</v>
      </c>
      <c r="V89" s="15">
        <f t="shared" si="36"/>
        <v>19.387967479674792</v>
      </c>
      <c r="W89" s="15">
        <f t="shared" si="26"/>
        <v>4.6120325203252044</v>
      </c>
      <c r="X89" s="10"/>
      <c r="Y89" s="30">
        <f>IF(W89&lt;U90,'Drilling Spec'!$C$35,0)</f>
        <v>0</v>
      </c>
      <c r="AA89" s="4">
        <f t="shared" si="40"/>
        <v>46</v>
      </c>
      <c r="AB89" s="10"/>
      <c r="AC89" s="30">
        <f>IF('04-07-25-Scen6-Good,16hr'!K90&gt;'04-07-25-Scen6-Good,16hr'!AA89,'Drilling Spec'!$C$36,)</f>
        <v>0</v>
      </c>
      <c r="AE89" s="18">
        <f>(I89-'Drilling Spec'!$C$26)/'Drilling Spec'!$C$38</f>
        <v>108.20406463712673</v>
      </c>
      <c r="AF89" s="18">
        <f t="shared" si="27"/>
        <v>0</v>
      </c>
      <c r="AG89" s="34">
        <f t="shared" si="28"/>
        <v>8.2040646371267343</v>
      </c>
      <c r="AH89" s="10"/>
      <c r="AI89" s="26">
        <f>IF(C89="Camp Closed",AG89,IF(AG89&lt;'Drilling Spec'!$C$39,,'Drilling Spec'!$C$39))</f>
        <v>0</v>
      </c>
      <c r="AL89" s="16">
        <f t="shared" si="29"/>
        <v>-719.22438782276038</v>
      </c>
      <c r="AM89" s="16">
        <f t="shared" si="30"/>
        <v>-720.36180283396209</v>
      </c>
      <c r="AN89">
        <f>-'Drilling Spec'!$C$29</f>
        <v>-720</v>
      </c>
      <c r="AO89">
        <f>-'Drilling Spec'!$C$27</f>
        <v>-624</v>
      </c>
      <c r="AP89">
        <f>-'Drilling Spec'!$C$28</f>
        <v>-688</v>
      </c>
      <c r="AQ89" t="e">
        <f t="shared" si="31"/>
        <v>#N/A</v>
      </c>
      <c r="AR89" t="e">
        <f>IF(X89=0,NA(),-'Drilling Spec'!$C$29*0.1)</f>
        <v>#N/A</v>
      </c>
      <c r="AS89" t="e">
        <f>IF(Y89=0,NA(),-'Drilling Spec'!$C$29*0.1)</f>
        <v>#N/A</v>
      </c>
      <c r="AT89" t="e">
        <f>IF(AB89=0,NA(),-'Drilling Spec'!$C$29*0.2)</f>
        <v>#N/A</v>
      </c>
      <c r="AU89" t="e">
        <f>IF(AC89=0,NA(),-'Drilling Spec'!$C$29*0.2)</f>
        <v>#N/A</v>
      </c>
      <c r="AV89" t="e">
        <f>IF(AH89=0,NA(),-'Drilling Spec'!$C$29*0.3)</f>
        <v>#N/A</v>
      </c>
      <c r="AW89" t="e">
        <f>IF(AI89=0,NA(),-'Drilling Spec'!$C$29*0.3)</f>
        <v>#N/A</v>
      </c>
      <c r="AX89" s="29">
        <f t="shared" si="32"/>
        <v>4.6120325203252044</v>
      </c>
      <c r="AY89" s="29">
        <f t="shared" si="33"/>
        <v>41.806748981853701</v>
      </c>
      <c r="AZ89" s="29">
        <f t="shared" si="37"/>
        <v>8.2040646371267343</v>
      </c>
    </row>
    <row r="90" spans="1:52" x14ac:dyDescent="0.35">
      <c r="A90" s="28">
        <f t="shared" si="42"/>
        <v>46060</v>
      </c>
      <c r="B90" t="str">
        <f t="shared" si="20"/>
        <v>Sat</v>
      </c>
      <c r="C90" s="10" t="s">
        <v>68</v>
      </c>
      <c r="D90" s="10">
        <v>12</v>
      </c>
      <c r="E90" s="4">
        <f t="shared" si="21"/>
        <v>0</v>
      </c>
      <c r="F90" s="4">
        <f t="shared" si="22"/>
        <v>808</v>
      </c>
      <c r="G90" s="4">
        <f t="shared" si="23"/>
        <v>0</v>
      </c>
      <c r="H90" s="15">
        <f>(SQRT(4*I89*I89*V*V + 'Drilling Spec'!$C$42*I89 + W*('Drilling Spec'!$C$43 + 2*l*V*(s*W + 2*V*G90/(1+e)) + 'Drilling Spec'!$C$44)) - 'Drilling Spec'!$C$45)/(2*V)</f>
        <v>719.22438782276038</v>
      </c>
      <c r="I90" s="23">
        <f>IF(AND(OR(I89=0,I89=""),F90=0),IF(F91=0,"",'Drilling Spec'!$C$26),H90)</f>
        <v>719.22438782276038</v>
      </c>
      <c r="J90" s="16">
        <f>MAX(0,I90-'Drilling Spec'!$C$30)</f>
        <v>639.22438782276038</v>
      </c>
      <c r="K90" s="18">
        <f>IFERROR(J90/'Drilling Spec'!$C$31,0)</f>
        <v>42.614959188184024</v>
      </c>
      <c r="L90" s="21">
        <f t="shared" si="24"/>
        <v>0</v>
      </c>
      <c r="M90" s="4">
        <f t="shared" si="34"/>
        <v>131</v>
      </c>
      <c r="N90" s="21">
        <f t="shared" si="25"/>
        <v>0</v>
      </c>
      <c r="O90" s="18">
        <f>(SQRT(4*O89*O89*vB*vB + 'Drilling Spec'!$C$48*O89 + WB*('Drilling Spec'!$C$49 + 2*lB*vB*(sB*WB + 2*vB*N90/(1+eB)) + 'Drilling Spec'!$C$50)) - 'Drilling Spec'!$C$51)/(2*vB)</f>
        <v>720.36180283396209</v>
      </c>
      <c r="P90" s="18">
        <f>IFERROR(((S90-'Drilling Spec'!$C$30)/'Drilling Spec'!$C$31)*'Drilling Spec'!$C$32,0)</f>
        <v>38.421708170037725</v>
      </c>
      <c r="Q90" s="18">
        <f t="shared" si="35"/>
        <v>0</v>
      </c>
      <c r="R90" s="18"/>
      <c r="S90" s="26">
        <f>IF(AND(OR(T89=0,T89=""),M90=0),IF(M91=0,"",'Drilling Spec'!$C$30),O90)</f>
        <v>720.36180283396209</v>
      </c>
      <c r="U90" s="15">
        <f>E90*'Drilling Spec'!$C$22 + L90*'Drilling Spec'!$C$23</f>
        <v>0</v>
      </c>
      <c r="V90" s="15">
        <f t="shared" si="36"/>
        <v>19.387967479674792</v>
      </c>
      <c r="W90" s="15">
        <f t="shared" si="26"/>
        <v>4.6120325203252044</v>
      </c>
      <c r="X90" s="10"/>
      <c r="Y90" s="30">
        <f>IF(W90&lt;U91,'Drilling Spec'!$C$35,0)</f>
        <v>0</v>
      </c>
      <c r="AA90" s="4">
        <f t="shared" si="40"/>
        <v>46</v>
      </c>
      <c r="AB90" s="10"/>
      <c r="AC90" s="30">
        <f>IF('04-07-25-Scen6-Good,16hr'!K91&gt;'04-07-25-Scen6-Good,16hr'!AA90,'Drilling Spec'!$C$36,)</f>
        <v>0</v>
      </c>
      <c r="AE90" s="18">
        <f>(I90-'Drilling Spec'!$C$26)/'Drilling Spec'!$C$38</f>
        <v>108.20406463712673</v>
      </c>
      <c r="AF90" s="18">
        <f t="shared" si="27"/>
        <v>0</v>
      </c>
      <c r="AG90" s="34">
        <f t="shared" si="28"/>
        <v>8.2040646371267343</v>
      </c>
      <c r="AH90" s="10"/>
      <c r="AI90" s="26">
        <f>IF(C90="Camp Closed",AG90,IF(AG90&lt;'Drilling Spec'!$C$39,,'Drilling Spec'!$C$39))</f>
        <v>0</v>
      </c>
      <c r="AL90" s="16">
        <f t="shared" si="29"/>
        <v>-719.22438782276038</v>
      </c>
      <c r="AM90" s="16">
        <f t="shared" si="30"/>
        <v>-720.36180283396209</v>
      </c>
      <c r="AN90">
        <f>-'Drilling Spec'!$C$29</f>
        <v>-720</v>
      </c>
      <c r="AO90">
        <f>-'Drilling Spec'!$C$27</f>
        <v>-624</v>
      </c>
      <c r="AP90">
        <f>-'Drilling Spec'!$C$28</f>
        <v>-688</v>
      </c>
      <c r="AQ90" t="e">
        <f t="shared" si="31"/>
        <v>#N/A</v>
      </c>
      <c r="AR90" t="e">
        <f>IF(X90=0,NA(),-'Drilling Spec'!$C$29*0.1)</f>
        <v>#N/A</v>
      </c>
      <c r="AS90" t="e">
        <f>IF(Y90=0,NA(),-'Drilling Spec'!$C$29*0.1)</f>
        <v>#N/A</v>
      </c>
      <c r="AT90" t="e">
        <f>IF(AB90=0,NA(),-'Drilling Spec'!$C$29*0.2)</f>
        <v>#N/A</v>
      </c>
      <c r="AU90" t="e">
        <f>IF(AC90=0,NA(),-'Drilling Spec'!$C$29*0.2)</f>
        <v>#N/A</v>
      </c>
      <c r="AV90" t="e">
        <f>IF(AH90=0,NA(),-'Drilling Spec'!$C$29*0.3)</f>
        <v>#N/A</v>
      </c>
      <c r="AW90" t="e">
        <f>IF(AI90=0,NA(),-'Drilling Spec'!$C$29*0.3)</f>
        <v>#N/A</v>
      </c>
      <c r="AX90" s="29">
        <f t="shared" si="32"/>
        <v>4.6120325203252044</v>
      </c>
      <c r="AY90" s="29">
        <f t="shared" si="33"/>
        <v>41.806748981853701</v>
      </c>
      <c r="AZ90" s="29">
        <f t="shared" si="37"/>
        <v>8.2040646371267343</v>
      </c>
    </row>
    <row r="91" spans="1:52" x14ac:dyDescent="0.35">
      <c r="A91" s="28">
        <f t="shared" si="42"/>
        <v>46061</v>
      </c>
      <c r="B91" t="str">
        <f t="shared" si="20"/>
        <v>Sun</v>
      </c>
      <c r="C91" s="10" t="s">
        <v>70</v>
      </c>
      <c r="D91" s="10">
        <v>12</v>
      </c>
      <c r="E91" s="4">
        <f t="shared" si="21"/>
        <v>0</v>
      </c>
      <c r="F91" s="4">
        <f t="shared" si="22"/>
        <v>808</v>
      </c>
      <c r="G91" s="4">
        <f t="shared" si="23"/>
        <v>0</v>
      </c>
      <c r="H91" s="15">
        <f>(SQRT(4*I90*I90*V*V + 'Drilling Spec'!$C$42*I90 + W*('Drilling Spec'!$C$43 + 2*l*V*(s*W + 2*V*G91/(1+e)) + 'Drilling Spec'!$C$44)) - 'Drilling Spec'!$C$45)/(2*V)</f>
        <v>719.22438782276038</v>
      </c>
      <c r="I91" s="23">
        <f>IF(AND(OR(I90=0,I90=""),F91=0),IF(F92=0,"",'Drilling Spec'!$C$26),H91)</f>
        <v>719.22438782276038</v>
      </c>
      <c r="J91" s="16">
        <f>MAX(0,I91-'Drilling Spec'!$C$30)</f>
        <v>639.22438782276038</v>
      </c>
      <c r="K91" s="18">
        <f>IFERROR(J91/'Drilling Spec'!$C$31,0)</f>
        <v>42.614959188184024</v>
      </c>
      <c r="L91" s="21">
        <f t="shared" si="24"/>
        <v>0</v>
      </c>
      <c r="M91" s="4">
        <f t="shared" si="34"/>
        <v>131</v>
      </c>
      <c r="N91" s="21">
        <f t="shared" si="25"/>
        <v>0</v>
      </c>
      <c r="O91" s="18">
        <f>(SQRT(4*O90*O90*vB*vB + 'Drilling Spec'!$C$48*O90 + WB*('Drilling Spec'!$C$49 + 2*lB*vB*(sB*WB + 2*vB*N91/(1+eB)) + 'Drilling Spec'!$C$50)) - 'Drilling Spec'!$C$51)/(2*vB)</f>
        <v>720.36180283396209</v>
      </c>
      <c r="P91" s="18">
        <f>IFERROR(((S91-'Drilling Spec'!$C$30)/'Drilling Spec'!$C$31)*'Drilling Spec'!$C$32,0)</f>
        <v>38.421708170037725</v>
      </c>
      <c r="Q91" s="18">
        <f t="shared" si="35"/>
        <v>0</v>
      </c>
      <c r="R91" s="18"/>
      <c r="S91" s="26">
        <f>IF(AND(OR(T90=0,T90=""),M91=0),IF(M92=0,"",'Drilling Spec'!$C$30),O91)</f>
        <v>720.36180283396209</v>
      </c>
      <c r="U91" s="15">
        <f>E91*'Drilling Spec'!$C$22 + L91*'Drilling Spec'!$C$23</f>
        <v>0</v>
      </c>
      <c r="V91" s="15">
        <f t="shared" si="36"/>
        <v>19.387967479674792</v>
      </c>
      <c r="W91" s="15">
        <f t="shared" si="26"/>
        <v>4.6120325203252044</v>
      </c>
      <c r="X91" s="10"/>
      <c r="Y91" s="30">
        <f>IF(W91&lt;U92,'Drilling Spec'!$C$35,0)</f>
        <v>0</v>
      </c>
      <c r="AA91" s="4">
        <f t="shared" si="40"/>
        <v>46</v>
      </c>
      <c r="AB91" s="10"/>
      <c r="AC91" s="30">
        <f>IF('04-07-25-Scen6-Good,16hr'!K92&gt;'04-07-25-Scen6-Good,16hr'!AA91,'Drilling Spec'!$C$36,)</f>
        <v>0</v>
      </c>
      <c r="AE91" s="18">
        <f>(I91-'Drilling Spec'!$C$26)/'Drilling Spec'!$C$38</f>
        <v>108.20406463712673</v>
      </c>
      <c r="AF91" s="18">
        <f t="shared" si="27"/>
        <v>0</v>
      </c>
      <c r="AG91" s="34">
        <f t="shared" si="28"/>
        <v>8.2040646371267343</v>
      </c>
      <c r="AH91" s="10"/>
      <c r="AI91" s="26">
        <f>IF(C91="Camp Closed",AG91,IF(AG91&lt;'Drilling Spec'!$C$39,,'Drilling Spec'!$C$39))</f>
        <v>0</v>
      </c>
      <c r="AL91" s="16">
        <f t="shared" si="29"/>
        <v>-719.22438782276038</v>
      </c>
      <c r="AM91" s="16">
        <f t="shared" si="30"/>
        <v>-720.36180283396209</v>
      </c>
      <c r="AN91">
        <f>-'Drilling Spec'!$C$29</f>
        <v>-720</v>
      </c>
      <c r="AO91">
        <f>-'Drilling Spec'!$C$27</f>
        <v>-624</v>
      </c>
      <c r="AP91">
        <f>-'Drilling Spec'!$C$28</f>
        <v>-688</v>
      </c>
      <c r="AQ91" t="e">
        <f t="shared" si="31"/>
        <v>#N/A</v>
      </c>
      <c r="AR91" t="e">
        <f>IF(X91=0,NA(),-'Drilling Spec'!$C$29*0.1)</f>
        <v>#N/A</v>
      </c>
      <c r="AS91" t="e">
        <f>IF(Y91=0,NA(),-'Drilling Spec'!$C$29*0.1)</f>
        <v>#N/A</v>
      </c>
      <c r="AT91" t="e">
        <f>IF(AB91=0,NA(),-'Drilling Spec'!$C$29*0.2)</f>
        <v>#N/A</v>
      </c>
      <c r="AU91" t="e">
        <f>IF(AC91=0,NA(),-'Drilling Spec'!$C$29*0.2)</f>
        <v>#N/A</v>
      </c>
      <c r="AV91" t="e">
        <f>IF(AH91=0,NA(),-'Drilling Spec'!$C$29*0.3)</f>
        <v>#N/A</v>
      </c>
      <c r="AW91" t="e">
        <f>IF(AI91=0,NA(),-'Drilling Spec'!$C$29*0.3)</f>
        <v>#N/A</v>
      </c>
      <c r="AX91" s="29">
        <f t="shared" si="32"/>
        <v>4.6120325203252044</v>
      </c>
      <c r="AY91" s="29">
        <f t="shared" si="33"/>
        <v>41.806748981853701</v>
      </c>
      <c r="AZ91" s="29">
        <f t="shared" si="37"/>
        <v>8.2040646371267343</v>
      </c>
    </row>
    <row r="92" spans="1:52" x14ac:dyDescent="0.35">
      <c r="A92" s="28">
        <f t="shared" si="42"/>
        <v>46062</v>
      </c>
      <c r="B92" t="str">
        <f t="shared" si="20"/>
        <v>Mon</v>
      </c>
      <c r="C92" s="10" t="s">
        <v>70</v>
      </c>
      <c r="D92" s="10">
        <v>12</v>
      </c>
      <c r="E92" s="4">
        <f t="shared" si="21"/>
        <v>0</v>
      </c>
      <c r="F92" s="4">
        <f t="shared" si="22"/>
        <v>808</v>
      </c>
      <c r="G92" s="4">
        <f t="shared" si="23"/>
        <v>0</v>
      </c>
      <c r="H92" s="15">
        <f>(SQRT(4*I91*I91*V*V + 'Drilling Spec'!$C$42*I91 + W*('Drilling Spec'!$C$43 + 2*l*V*(s*W + 2*V*G92/(1+e)) + 'Drilling Spec'!$C$44)) - 'Drilling Spec'!$C$45)/(2*V)</f>
        <v>719.22438782276038</v>
      </c>
      <c r="I92" s="23">
        <f>IF(AND(OR(I91=0,I91=""),F92=0),IF(F93=0,"",'Drilling Spec'!$C$26),H92)</f>
        <v>719.22438782276038</v>
      </c>
      <c r="J92" s="16">
        <f>MAX(0,I92-'Drilling Spec'!$C$30)</f>
        <v>639.22438782276038</v>
      </c>
      <c r="K92" s="18">
        <f>IFERROR(J92/'Drilling Spec'!$C$31,0)</f>
        <v>42.614959188184024</v>
      </c>
      <c r="L92" s="21">
        <f t="shared" si="24"/>
        <v>0</v>
      </c>
      <c r="M92" s="4">
        <f t="shared" si="34"/>
        <v>131</v>
      </c>
      <c r="N92" s="21">
        <f t="shared" si="25"/>
        <v>0</v>
      </c>
      <c r="O92" s="18">
        <f>(SQRT(4*O91*O91*vB*vB + 'Drilling Spec'!$C$48*O91 + WB*('Drilling Spec'!$C$49 + 2*lB*vB*(sB*WB + 2*vB*N92/(1+eB)) + 'Drilling Spec'!$C$50)) - 'Drilling Spec'!$C$51)/(2*vB)</f>
        <v>720.36180283396209</v>
      </c>
      <c r="P92" s="18">
        <f>IFERROR(((S92-'Drilling Spec'!$C$30)/'Drilling Spec'!$C$31)*'Drilling Spec'!$C$32,0)</f>
        <v>38.421708170037725</v>
      </c>
      <c r="Q92" s="18">
        <f t="shared" si="35"/>
        <v>0</v>
      </c>
      <c r="R92" s="18"/>
      <c r="S92" s="26">
        <f>IF(AND(OR(T91=0,T91=""),M92=0),IF(M93=0,"",'Drilling Spec'!$C$30),O92)</f>
        <v>720.36180283396209</v>
      </c>
      <c r="U92" s="15">
        <f>E92*'Drilling Spec'!$C$22 + L92*'Drilling Spec'!$C$23</f>
        <v>0</v>
      </c>
      <c r="V92" s="15">
        <f t="shared" si="36"/>
        <v>19.387967479674792</v>
      </c>
      <c r="W92" s="15">
        <f t="shared" si="26"/>
        <v>4.6120325203252044</v>
      </c>
      <c r="X92" s="10"/>
      <c r="Y92" s="30">
        <f>IF(W92&lt;U93,'Drilling Spec'!$C$35,0)</f>
        <v>0</v>
      </c>
      <c r="AA92" s="4">
        <f t="shared" si="40"/>
        <v>46</v>
      </c>
      <c r="AB92" s="10"/>
      <c r="AC92" s="30">
        <f>IF('04-07-25-Scen6-Good,16hr'!K93&gt;'04-07-25-Scen6-Good,16hr'!AA92,'Drilling Spec'!$C$36,)</f>
        <v>0</v>
      </c>
      <c r="AE92" s="18">
        <f>(I92-'Drilling Spec'!$C$26)/'Drilling Spec'!$C$38</f>
        <v>108.20406463712673</v>
      </c>
      <c r="AF92" s="18">
        <f t="shared" si="27"/>
        <v>0</v>
      </c>
      <c r="AG92" s="34">
        <f t="shared" si="28"/>
        <v>8.2040646371267343</v>
      </c>
      <c r="AH92" s="10"/>
      <c r="AI92" s="26">
        <f>IF(C92="Camp Closed",AG92,IF(AG92&lt;'Drilling Spec'!$C$39,,'Drilling Spec'!$C$39))</f>
        <v>0</v>
      </c>
      <c r="AL92" s="16">
        <f t="shared" si="29"/>
        <v>-719.22438782276038</v>
      </c>
      <c r="AM92" s="16">
        <f t="shared" si="30"/>
        <v>-720.36180283396209</v>
      </c>
      <c r="AN92">
        <f>-'Drilling Spec'!$C$29</f>
        <v>-720</v>
      </c>
      <c r="AO92">
        <f>-'Drilling Spec'!$C$27</f>
        <v>-624</v>
      </c>
      <c r="AP92">
        <f>-'Drilling Spec'!$C$28</f>
        <v>-688</v>
      </c>
      <c r="AQ92" t="e">
        <f t="shared" si="31"/>
        <v>#N/A</v>
      </c>
      <c r="AR92" t="e">
        <f>IF(X92=0,NA(),-'Drilling Spec'!$C$29*0.1)</f>
        <v>#N/A</v>
      </c>
      <c r="AS92" t="e">
        <f>IF(Y92=0,NA(),-'Drilling Spec'!$C$29*0.1)</f>
        <v>#N/A</v>
      </c>
      <c r="AT92" t="e">
        <f>IF(AB92=0,NA(),-'Drilling Spec'!$C$29*0.2)</f>
        <v>#N/A</v>
      </c>
      <c r="AU92" t="e">
        <f>IF(AC92=0,NA(),-'Drilling Spec'!$C$29*0.2)</f>
        <v>#N/A</v>
      </c>
      <c r="AV92" t="e">
        <f>IF(AH92=0,NA(),-'Drilling Spec'!$C$29*0.3)</f>
        <v>#N/A</v>
      </c>
      <c r="AW92" t="e">
        <f>IF(AI92=0,NA(),-'Drilling Spec'!$C$29*0.3)</f>
        <v>#N/A</v>
      </c>
      <c r="AX92" s="29">
        <f t="shared" si="32"/>
        <v>4.6120325203252044</v>
      </c>
      <c r="AY92" s="29">
        <f t="shared" si="33"/>
        <v>41.806748981853701</v>
      </c>
      <c r="AZ92" s="29">
        <f t="shared" si="37"/>
        <v>8.2040646371267343</v>
      </c>
    </row>
    <row r="93" spans="1:52" x14ac:dyDescent="0.35">
      <c r="A93" s="28">
        <f t="shared" si="42"/>
        <v>46063</v>
      </c>
      <c r="B93" t="str">
        <f t="shared" si="20"/>
        <v>Tue</v>
      </c>
      <c r="C93" s="10" t="s">
        <v>70</v>
      </c>
      <c r="D93" s="10">
        <v>12</v>
      </c>
      <c r="E93" s="4">
        <f t="shared" si="21"/>
        <v>0</v>
      </c>
      <c r="F93" s="4">
        <f t="shared" si="22"/>
        <v>808</v>
      </c>
      <c r="G93" s="4">
        <f t="shared" si="23"/>
        <v>0</v>
      </c>
      <c r="H93" s="15">
        <f>(SQRT(4*I92*I92*V*V + 'Drilling Spec'!$C$42*I92 + W*('Drilling Spec'!$C$43 + 2*l*V*(s*W + 2*V*G93/(1+e)) + 'Drilling Spec'!$C$44)) - 'Drilling Spec'!$C$45)/(2*V)</f>
        <v>719.22438782276038</v>
      </c>
      <c r="I93" s="23">
        <f>IF(AND(OR(I92=0,I92=""),F93=0),IF(F94=0,"",'Drilling Spec'!$C$26),H93)</f>
        <v>719.22438782276038</v>
      </c>
      <c r="J93" s="16">
        <f>MAX(0,I93-'Drilling Spec'!$C$30)</f>
        <v>639.22438782276038</v>
      </c>
      <c r="K93" s="18">
        <f>IFERROR(J93/'Drilling Spec'!$C$31,0)</f>
        <v>42.614959188184024</v>
      </c>
      <c r="L93" s="21">
        <f t="shared" si="24"/>
        <v>0</v>
      </c>
      <c r="M93" s="4">
        <f t="shared" si="34"/>
        <v>131</v>
      </c>
      <c r="N93" s="21">
        <f t="shared" si="25"/>
        <v>0</v>
      </c>
      <c r="O93" s="18">
        <f>(SQRT(4*O92*O92*vB*vB + 'Drilling Spec'!$C$48*O92 + WB*('Drilling Spec'!$C$49 + 2*lB*vB*(sB*WB + 2*vB*N93/(1+eB)) + 'Drilling Spec'!$C$50)) - 'Drilling Spec'!$C$51)/(2*vB)</f>
        <v>720.36180283396209</v>
      </c>
      <c r="P93" s="18">
        <f>IFERROR(((S93-'Drilling Spec'!$C$30)/'Drilling Spec'!$C$31)*'Drilling Spec'!$C$32,0)</f>
        <v>38.421708170037725</v>
      </c>
      <c r="Q93" s="18">
        <f t="shared" si="35"/>
        <v>0</v>
      </c>
      <c r="R93" s="18"/>
      <c r="S93" s="26">
        <f>IF(AND(OR(T92=0,T92=""),M93=0),IF(M94=0,"",'Drilling Spec'!$C$30),O93)</f>
        <v>720.36180283396209</v>
      </c>
      <c r="U93" s="15">
        <f>E93*'Drilling Spec'!$C$22 + L93*'Drilling Spec'!$C$23</f>
        <v>0</v>
      </c>
      <c r="V93" s="15">
        <f t="shared" si="36"/>
        <v>19.387967479674792</v>
      </c>
      <c r="W93" s="15">
        <f t="shared" si="26"/>
        <v>4.6120325203252044</v>
      </c>
      <c r="X93" s="10"/>
      <c r="Y93" s="30">
        <f>IF(W93&lt;U94,'Drilling Spec'!$C$35,0)</f>
        <v>0</v>
      </c>
      <c r="AA93" s="4">
        <f t="shared" si="40"/>
        <v>46</v>
      </c>
      <c r="AB93" s="10"/>
      <c r="AC93" s="30">
        <f>IF('04-07-25-Scen6-Good,16hr'!K94&gt;'04-07-25-Scen6-Good,16hr'!AA93,'Drilling Spec'!$C$36,)</f>
        <v>0</v>
      </c>
      <c r="AE93" s="18">
        <f>(I93-'Drilling Spec'!$C$26)/'Drilling Spec'!$C$38</f>
        <v>108.20406463712673</v>
      </c>
      <c r="AF93" s="18">
        <f t="shared" si="27"/>
        <v>0</v>
      </c>
      <c r="AG93" s="34">
        <f t="shared" si="28"/>
        <v>8.2040646371267343</v>
      </c>
      <c r="AH93" s="10"/>
      <c r="AI93" s="26">
        <f>IF(C93="Camp Closed",AG93,IF(AG93&lt;'Drilling Spec'!$C$39,,'Drilling Spec'!$C$39))</f>
        <v>0</v>
      </c>
      <c r="AL93" s="16">
        <f t="shared" si="29"/>
        <v>-719.22438782276038</v>
      </c>
      <c r="AM93" s="16">
        <f t="shared" si="30"/>
        <v>-720.36180283396209</v>
      </c>
      <c r="AN93">
        <f>-'Drilling Spec'!$C$29</f>
        <v>-720</v>
      </c>
      <c r="AO93">
        <f>-'Drilling Spec'!$C$27</f>
        <v>-624</v>
      </c>
      <c r="AP93">
        <f>-'Drilling Spec'!$C$28</f>
        <v>-688</v>
      </c>
      <c r="AQ93" t="e">
        <f t="shared" si="31"/>
        <v>#N/A</v>
      </c>
      <c r="AR93" t="e">
        <f>IF(X93=0,NA(),-'Drilling Spec'!$C$29*0.1)</f>
        <v>#N/A</v>
      </c>
      <c r="AS93" t="e">
        <f>IF(Y93=0,NA(),-'Drilling Spec'!$C$29*0.1)</f>
        <v>#N/A</v>
      </c>
      <c r="AT93" t="e">
        <f>IF(AB93=0,NA(),-'Drilling Spec'!$C$29*0.2)</f>
        <v>#N/A</v>
      </c>
      <c r="AU93" t="e">
        <f>IF(AC93=0,NA(),-'Drilling Spec'!$C$29*0.2)</f>
        <v>#N/A</v>
      </c>
      <c r="AV93" t="e">
        <f>IF(AH93=0,NA(),-'Drilling Spec'!$C$29*0.3)</f>
        <v>#N/A</v>
      </c>
      <c r="AW93" t="e">
        <f>IF(AI93=0,NA(),-'Drilling Spec'!$C$29*0.3)</f>
        <v>#N/A</v>
      </c>
      <c r="AX93" s="29">
        <f t="shared" si="32"/>
        <v>4.6120325203252044</v>
      </c>
      <c r="AY93" s="29">
        <f t="shared" si="33"/>
        <v>41.806748981853701</v>
      </c>
      <c r="AZ93" s="29">
        <f t="shared" si="37"/>
        <v>8.2040646371267343</v>
      </c>
    </row>
    <row r="94" spans="1:52" x14ac:dyDescent="0.35">
      <c r="A94" s="28">
        <f t="shared" si="42"/>
        <v>46064</v>
      </c>
      <c r="B94" t="str">
        <f t="shared" si="20"/>
        <v>Wed</v>
      </c>
      <c r="C94" s="10" t="s">
        <v>70</v>
      </c>
      <c r="D94" s="10">
        <v>12</v>
      </c>
      <c r="E94" s="4">
        <f t="shared" si="21"/>
        <v>0</v>
      </c>
      <c r="F94" s="4">
        <f t="shared" si="22"/>
        <v>808</v>
      </c>
      <c r="G94" s="4">
        <f t="shared" si="23"/>
        <v>0</v>
      </c>
      <c r="H94" s="15">
        <f>(SQRT(4*I93*I93*V*V + 'Drilling Spec'!$C$42*I93 + W*('Drilling Spec'!$C$43 + 2*l*V*(s*W + 2*V*G94/(1+e)) + 'Drilling Spec'!$C$44)) - 'Drilling Spec'!$C$45)/(2*V)</f>
        <v>719.22438782276038</v>
      </c>
      <c r="I94" s="23">
        <f>IF(AND(OR(I93=0,I93=""),F94=0),IF(F95=0,"",'Drilling Spec'!$C$26),H94)</f>
        <v>719.22438782276038</v>
      </c>
      <c r="J94" s="16">
        <f>MAX(0,I94-'Drilling Spec'!$C$30)</f>
        <v>639.22438782276038</v>
      </c>
      <c r="K94" s="18">
        <f>IFERROR(J94/'Drilling Spec'!$C$31,0)</f>
        <v>42.614959188184024</v>
      </c>
      <c r="L94" s="21">
        <f t="shared" si="24"/>
        <v>0</v>
      </c>
      <c r="M94" s="4">
        <f t="shared" si="34"/>
        <v>131</v>
      </c>
      <c r="N94" s="21">
        <f t="shared" si="25"/>
        <v>0</v>
      </c>
      <c r="O94" s="18">
        <f>(SQRT(4*O93*O93*vB*vB + 'Drilling Spec'!$C$48*O93 + WB*('Drilling Spec'!$C$49 + 2*lB*vB*(sB*WB + 2*vB*N94/(1+eB)) + 'Drilling Spec'!$C$50)) - 'Drilling Spec'!$C$51)/(2*vB)</f>
        <v>720.36180283396209</v>
      </c>
      <c r="P94" s="18">
        <f>IFERROR(((S94-'Drilling Spec'!$C$30)/'Drilling Spec'!$C$31)*'Drilling Spec'!$C$32,0)</f>
        <v>38.421708170037725</v>
      </c>
      <c r="Q94" s="18">
        <f t="shared" si="35"/>
        <v>0</v>
      </c>
      <c r="R94" s="18"/>
      <c r="S94" s="26">
        <f>IF(AND(OR(T93=0,T93=""),M94=0),IF(M95=0,"",'Drilling Spec'!$C$30),O94)</f>
        <v>720.36180283396209</v>
      </c>
      <c r="U94" s="15">
        <f>E94*'Drilling Spec'!$C$22 + L94*'Drilling Spec'!$C$23</f>
        <v>0</v>
      </c>
      <c r="V94" s="15">
        <f t="shared" si="36"/>
        <v>19.387967479674792</v>
      </c>
      <c r="W94" s="15">
        <f t="shared" si="26"/>
        <v>4.6120325203252044</v>
      </c>
      <c r="X94" s="10"/>
      <c r="Y94" s="30">
        <f>IF(W94&lt;U95,'Drilling Spec'!$C$35,0)</f>
        <v>0</v>
      </c>
      <c r="AA94" s="4">
        <f t="shared" si="40"/>
        <v>46</v>
      </c>
      <c r="AB94" s="10"/>
      <c r="AC94" s="30">
        <f>IF('04-07-25-Scen6-Good,16hr'!K95&gt;'04-07-25-Scen6-Good,16hr'!AA94,'Drilling Spec'!$C$36,)</f>
        <v>0</v>
      </c>
      <c r="AE94" s="18">
        <f>(I94-'Drilling Spec'!$C$26)/'Drilling Spec'!$C$38</f>
        <v>108.20406463712673</v>
      </c>
      <c r="AF94" s="18">
        <f t="shared" si="27"/>
        <v>0</v>
      </c>
      <c r="AG94" s="34">
        <f t="shared" si="28"/>
        <v>8.2040646371267343</v>
      </c>
      <c r="AH94" s="10"/>
      <c r="AI94" s="26">
        <f>IF(C94="Camp Closed",AG94,IF(AG94&lt;'Drilling Spec'!$C$39,,'Drilling Spec'!$C$39))</f>
        <v>0</v>
      </c>
      <c r="AL94" s="16">
        <f t="shared" si="29"/>
        <v>-719.22438782276038</v>
      </c>
      <c r="AM94" s="16">
        <f t="shared" si="30"/>
        <v>-720.36180283396209</v>
      </c>
      <c r="AN94">
        <f>-'Drilling Spec'!$C$29</f>
        <v>-720</v>
      </c>
      <c r="AO94">
        <f>-'Drilling Spec'!$C$27</f>
        <v>-624</v>
      </c>
      <c r="AP94">
        <f>-'Drilling Spec'!$C$28</f>
        <v>-688</v>
      </c>
      <c r="AQ94" t="e">
        <f t="shared" si="31"/>
        <v>#N/A</v>
      </c>
      <c r="AR94" t="e">
        <f>IF(X94=0,NA(),-'Drilling Spec'!$C$29*0.1)</f>
        <v>#N/A</v>
      </c>
      <c r="AS94" t="e">
        <f>IF(Y94=0,NA(),-'Drilling Spec'!$C$29*0.1)</f>
        <v>#N/A</v>
      </c>
      <c r="AT94" t="e">
        <f>IF(AB94=0,NA(),-'Drilling Spec'!$C$29*0.2)</f>
        <v>#N/A</v>
      </c>
      <c r="AU94" t="e">
        <f>IF(AC94=0,NA(),-'Drilling Spec'!$C$29*0.2)</f>
        <v>#N/A</v>
      </c>
      <c r="AV94" t="e">
        <f>IF(AH94=0,NA(),-'Drilling Spec'!$C$29*0.3)</f>
        <v>#N/A</v>
      </c>
      <c r="AW94" t="e">
        <f>IF(AI94=0,NA(),-'Drilling Spec'!$C$29*0.3)</f>
        <v>#N/A</v>
      </c>
      <c r="AX94" s="29">
        <f t="shared" si="32"/>
        <v>4.6120325203252044</v>
      </c>
      <c r="AY94" s="29">
        <f t="shared" si="33"/>
        <v>41.806748981853701</v>
      </c>
      <c r="AZ94" s="29">
        <f t="shared" si="37"/>
        <v>8.2040646371267343</v>
      </c>
    </row>
    <row r="95" spans="1:52" x14ac:dyDescent="0.35">
      <c r="A95" s="28">
        <f t="shared" si="42"/>
        <v>46065</v>
      </c>
      <c r="B95" t="str">
        <f t="shared" si="20"/>
        <v>Thu</v>
      </c>
      <c r="C95" s="10" t="s">
        <v>71</v>
      </c>
      <c r="D95" s="10">
        <v>12</v>
      </c>
      <c r="E95" s="4">
        <f t="shared" si="21"/>
        <v>0</v>
      </c>
      <c r="F95" s="4">
        <f t="shared" si="22"/>
        <v>808</v>
      </c>
      <c r="G95" s="4">
        <f t="shared" si="23"/>
        <v>0</v>
      </c>
      <c r="H95" s="15">
        <f>(SQRT(4*I94*I94*V*V + 'Drilling Spec'!$C$42*I94 + W*('Drilling Spec'!$C$43 + 2*l*V*(s*W + 2*V*G95/(1+e)) + 'Drilling Spec'!$C$44)) - 'Drilling Spec'!$C$45)/(2*V)</f>
        <v>719.22438782276038</v>
      </c>
      <c r="I95" s="23">
        <f>IF(AND(OR(I94=0,I94=""),F95=0),IF(F96=0,"",'Drilling Spec'!$C$26),H95)</f>
        <v>719.22438782276038</v>
      </c>
      <c r="J95" s="16">
        <f>MAX(0,I95-'Drilling Spec'!$C$30)</f>
        <v>639.22438782276038</v>
      </c>
      <c r="K95" s="18">
        <f>IFERROR(J95/'Drilling Spec'!$C$31,0)</f>
        <v>42.614959188184024</v>
      </c>
      <c r="L95" s="21">
        <f t="shared" si="24"/>
        <v>0</v>
      </c>
      <c r="M95" s="4">
        <f t="shared" si="34"/>
        <v>131</v>
      </c>
      <c r="N95" s="21">
        <f t="shared" si="25"/>
        <v>0</v>
      </c>
      <c r="O95" s="18">
        <f>(SQRT(4*O94*O94*vB*vB + 'Drilling Spec'!$C$48*O94 + WB*('Drilling Spec'!$C$49 + 2*lB*vB*(sB*WB + 2*vB*N95/(1+eB)) + 'Drilling Spec'!$C$50)) - 'Drilling Spec'!$C$51)/(2*vB)</f>
        <v>720.36180283396209</v>
      </c>
      <c r="P95" s="18">
        <f>IFERROR(((S95-'Drilling Spec'!$C$30)/'Drilling Spec'!$C$31)*'Drilling Spec'!$C$32,0)</f>
        <v>38.421708170037725</v>
      </c>
      <c r="Q95" s="18">
        <f t="shared" si="35"/>
        <v>0</v>
      </c>
      <c r="R95" s="18"/>
      <c r="S95" s="26">
        <f>IF(AND(OR(T94=0,T94=""),M95=0),IF(M96=0,"",'Drilling Spec'!$C$30),O95)</f>
        <v>720.36180283396209</v>
      </c>
      <c r="U95" s="15">
        <f>E95*'Drilling Spec'!$C$22 + L95*'Drilling Spec'!$C$23</f>
        <v>0</v>
      </c>
      <c r="V95" s="15">
        <f t="shared" si="36"/>
        <v>19.387967479674792</v>
      </c>
      <c r="W95" s="15">
        <f t="shared" si="26"/>
        <v>4.6120325203252044</v>
      </c>
      <c r="X95" s="10"/>
      <c r="Y95" s="30">
        <f>IF(W95&lt;U96,'Drilling Spec'!$C$35,0)</f>
        <v>0</v>
      </c>
      <c r="AA95" s="4">
        <f t="shared" si="40"/>
        <v>46</v>
      </c>
      <c r="AB95" s="10"/>
      <c r="AC95" s="30">
        <f>IF('04-07-25-Scen6-Good,16hr'!K96&gt;'04-07-25-Scen6-Good,16hr'!AA95,'Drilling Spec'!$C$36,)</f>
        <v>0</v>
      </c>
      <c r="AE95" s="18">
        <f>(I95-'Drilling Spec'!$C$26)/'Drilling Spec'!$C$38</f>
        <v>108.20406463712673</v>
      </c>
      <c r="AF95" s="18">
        <f t="shared" si="27"/>
        <v>0</v>
      </c>
      <c r="AG95" s="34">
        <f t="shared" si="28"/>
        <v>8.2040646371267343</v>
      </c>
      <c r="AH95" s="10"/>
      <c r="AI95" s="26">
        <f>IF(C95="Camp Closed",AG95,IF(AG95&lt;'Drilling Spec'!$C$39,,'Drilling Spec'!$C$39))</f>
        <v>8.2040646371267343</v>
      </c>
      <c r="AL95" s="16">
        <f t="shared" si="29"/>
        <v>-719.22438782276038</v>
      </c>
      <c r="AM95" s="16">
        <f t="shared" si="30"/>
        <v>-720.36180283396209</v>
      </c>
      <c r="AN95">
        <f>-'Drilling Spec'!$C$29</f>
        <v>-720</v>
      </c>
      <c r="AO95">
        <f>-'Drilling Spec'!$C$27</f>
        <v>-624</v>
      </c>
      <c r="AP95">
        <f>-'Drilling Spec'!$C$28</f>
        <v>-688</v>
      </c>
      <c r="AQ95">
        <f t="shared" si="31"/>
        <v>0</v>
      </c>
      <c r="AR95" t="e">
        <f>IF(X95=0,NA(),-'Drilling Spec'!$C$29*0.1)</f>
        <v>#N/A</v>
      </c>
      <c r="AS95" t="e">
        <f>IF(Y95=0,NA(),-'Drilling Spec'!$C$29*0.1)</f>
        <v>#N/A</v>
      </c>
      <c r="AT95" t="e">
        <f>IF(AB95=0,NA(),-'Drilling Spec'!$C$29*0.2)</f>
        <v>#N/A</v>
      </c>
      <c r="AU95" t="e">
        <f>IF(AC95=0,NA(),-'Drilling Spec'!$C$29*0.2)</f>
        <v>#N/A</v>
      </c>
      <c r="AV95" t="e">
        <f>IF(AH95=0,NA(),-'Drilling Spec'!$C$29*0.3)</f>
        <v>#N/A</v>
      </c>
      <c r="AW95">
        <f>IF(AI95=0,NA(),-'Drilling Spec'!$C$29*0.3)</f>
        <v>-216</v>
      </c>
      <c r="AX95" s="29">
        <f t="shared" si="32"/>
        <v>4.6120325203252044</v>
      </c>
      <c r="AY95" s="29">
        <f t="shared" si="33"/>
        <v>41.806748981853701</v>
      </c>
      <c r="AZ95" s="29">
        <f t="shared" si="37"/>
        <v>8.2040646371267343</v>
      </c>
    </row>
    <row r="96" spans="1:52" x14ac:dyDescent="0.35">
      <c r="A96" s="28">
        <f t="shared" si="42"/>
        <v>46066</v>
      </c>
      <c r="B96" t="str">
        <f t="shared" si="20"/>
        <v>Fri</v>
      </c>
      <c r="C96" s="10"/>
      <c r="D96" s="10"/>
      <c r="E96" s="4">
        <f t="shared" si="21"/>
        <v>0</v>
      </c>
      <c r="F96" s="4">
        <f t="shared" si="22"/>
        <v>808</v>
      </c>
      <c r="G96" s="4">
        <f t="shared" si="23"/>
        <v>0</v>
      </c>
      <c r="H96" s="15">
        <f>(SQRT(4*I95*I95*V*V + 'Drilling Spec'!$C$42*I95 + W*('Drilling Spec'!$C$43 + 2*l*V*(s*W + 2*V*G96/(1+e)) + 'Drilling Spec'!$C$44)) - 'Drilling Spec'!$C$45)/(2*V)</f>
        <v>719.22438782276038</v>
      </c>
      <c r="I96" s="23">
        <f>IF(AND(OR(I95=0,I95=""),F96=0),IF(F97=0,"",'Drilling Spec'!$C$26),H96)</f>
        <v>719.22438782276038</v>
      </c>
      <c r="J96" s="16">
        <f>MAX(0,I96-'Drilling Spec'!$C$30)</f>
        <v>639.22438782276038</v>
      </c>
      <c r="K96" s="18">
        <f>IFERROR(J96/'Drilling Spec'!$C$31,0)</f>
        <v>42.614959188184024</v>
      </c>
      <c r="L96" s="21">
        <f t="shared" si="24"/>
        <v>0</v>
      </c>
      <c r="M96" s="4">
        <f t="shared" si="34"/>
        <v>131</v>
      </c>
      <c r="N96" s="21">
        <f t="shared" si="25"/>
        <v>0</v>
      </c>
      <c r="O96" s="18">
        <f>(SQRT(4*O95*O95*vB*vB + 'Drilling Spec'!$C$48*O95 + WB*('Drilling Spec'!$C$49 + 2*lB*vB*(sB*WB + 2*vB*N96/(1+eB)) + 'Drilling Spec'!$C$50)) - 'Drilling Spec'!$C$51)/(2*vB)</f>
        <v>720.36180283396209</v>
      </c>
      <c r="P96" s="18">
        <f>IFERROR(((S96-'Drilling Spec'!$C$30)/'Drilling Spec'!$C$31)*'Drilling Spec'!$C$32,0)</f>
        <v>38.421708170037725</v>
      </c>
      <c r="Q96" s="18">
        <f t="shared" si="35"/>
        <v>0</v>
      </c>
      <c r="R96" s="18"/>
      <c r="S96" s="26">
        <f>IF(AND(OR(T95=0,T95=""),M96=0),IF(M97=0,"",'Drilling Spec'!$C$30),O96)</f>
        <v>720.36180283396209</v>
      </c>
      <c r="U96" s="15">
        <f>E96*'Drilling Spec'!$C$22 + L96*'Drilling Spec'!$C$23</f>
        <v>0</v>
      </c>
      <c r="V96" s="15">
        <f t="shared" si="36"/>
        <v>19.387967479674792</v>
      </c>
      <c r="W96" s="15">
        <f t="shared" si="26"/>
        <v>4.6120325203252044</v>
      </c>
      <c r="X96" s="10"/>
      <c r="Y96" s="30">
        <f>IF(W96&lt;U97,'Drilling Spec'!$C$35,0)</f>
        <v>0</v>
      </c>
      <c r="AA96" s="4">
        <f t="shared" si="40"/>
        <v>46</v>
      </c>
      <c r="AB96" s="10"/>
      <c r="AC96" s="30">
        <f>IF('04-07-25-Scen6-Good,16hr'!K97&gt;'04-07-25-Scen6-Good,16hr'!AA96,'Drilling Spec'!$C$36,)</f>
        <v>0</v>
      </c>
      <c r="AE96" s="18">
        <f>(I96-'Drilling Spec'!$C$26)/'Drilling Spec'!$C$38</f>
        <v>108.20406463712673</v>
      </c>
      <c r="AF96" s="18">
        <f t="shared" si="27"/>
        <v>0</v>
      </c>
      <c r="AG96" s="34">
        <f t="shared" si="28"/>
        <v>0</v>
      </c>
      <c r="AH96" s="10"/>
      <c r="AI96" s="26">
        <f>IF(C96="Camp Closed",AG96,IF(AG96&lt;'Drilling Spec'!$C$39,,'Drilling Spec'!$C$39))</f>
        <v>0</v>
      </c>
      <c r="AL96" s="16">
        <f t="shared" si="29"/>
        <v>-719.22438782276038</v>
      </c>
      <c r="AM96" s="16">
        <f t="shared" si="30"/>
        <v>-720.36180283396209</v>
      </c>
      <c r="AN96">
        <f>-'Drilling Spec'!$C$29</f>
        <v>-720</v>
      </c>
      <c r="AO96">
        <f>-'Drilling Spec'!$C$27</f>
        <v>-624</v>
      </c>
      <c r="AP96">
        <f>-'Drilling Spec'!$C$28</f>
        <v>-688</v>
      </c>
      <c r="AQ96" t="e">
        <f t="shared" si="31"/>
        <v>#N/A</v>
      </c>
      <c r="AR96" t="e">
        <f>IF(X96=0,NA(),-'Drilling Spec'!$C$29*0.1)</f>
        <v>#N/A</v>
      </c>
      <c r="AS96" t="e">
        <f>IF(Y96=0,NA(),-'Drilling Spec'!$C$29*0.1)</f>
        <v>#N/A</v>
      </c>
      <c r="AT96" t="e">
        <f>IF(AB96=0,NA(),-'Drilling Spec'!$C$29*0.2)</f>
        <v>#N/A</v>
      </c>
      <c r="AU96" t="e">
        <f>IF(AC96=0,NA(),-'Drilling Spec'!$C$29*0.2)</f>
        <v>#N/A</v>
      </c>
      <c r="AV96" t="e">
        <f>IF(AH96=0,NA(),-'Drilling Spec'!$C$29*0.3)</f>
        <v>#N/A</v>
      </c>
      <c r="AW96" t="e">
        <f>IF(AI96=0,NA(),-'Drilling Spec'!$C$29*0.3)</f>
        <v>#N/A</v>
      </c>
      <c r="AX96" s="29">
        <f t="shared" si="32"/>
        <v>4.6120325203252044</v>
      </c>
      <c r="AY96" s="29">
        <f t="shared" si="33"/>
        <v>41.806748981853701</v>
      </c>
      <c r="AZ96" s="29">
        <f t="shared" si="37"/>
        <v>0</v>
      </c>
    </row>
    <row r="97" spans="1:52" x14ac:dyDescent="0.35">
      <c r="A97" s="28">
        <f t="shared" si="42"/>
        <v>46067</v>
      </c>
      <c r="B97" t="str">
        <f t="shared" si="20"/>
        <v>Sat</v>
      </c>
      <c r="C97" s="10"/>
      <c r="D97" s="10"/>
      <c r="E97" s="4">
        <f t="shared" si="21"/>
        <v>0</v>
      </c>
      <c r="F97" s="4">
        <f t="shared" si="22"/>
        <v>808</v>
      </c>
      <c r="G97" s="4">
        <f t="shared" si="23"/>
        <v>0</v>
      </c>
      <c r="H97" s="15">
        <f>(SQRT(4*I96*I96*V*V + 'Drilling Spec'!$C$42*I96 + W*('Drilling Spec'!$C$43 + 2*l*V*(s*W + 2*V*G97/(1+e)) + 'Drilling Spec'!$C$44)) - 'Drilling Spec'!$C$45)/(2*V)</f>
        <v>719.22438782276038</v>
      </c>
      <c r="I97" s="23">
        <f>IF(AND(OR(I96=0,I96=""),F97=0),IF(F98=0,"",'Drilling Spec'!$C$26),H97)</f>
        <v>719.22438782276038</v>
      </c>
      <c r="J97" s="16">
        <f>MAX(0,I97-'Drilling Spec'!$C$30)</f>
        <v>639.22438782276038</v>
      </c>
      <c r="K97" s="18">
        <f>IFERROR(J97/'Drilling Spec'!$C$31,0)</f>
        <v>42.614959188184024</v>
      </c>
      <c r="L97" s="21">
        <f t="shared" si="24"/>
        <v>0</v>
      </c>
      <c r="M97" s="4">
        <f t="shared" si="34"/>
        <v>131</v>
      </c>
      <c r="N97" s="21">
        <f t="shared" si="25"/>
        <v>0</v>
      </c>
      <c r="O97" s="18">
        <f>(SQRT(4*O96*O96*vB*vB + 'Drilling Spec'!$C$48*O96 + WB*('Drilling Spec'!$C$49 + 2*lB*vB*(sB*WB + 2*vB*N97/(1+eB)) + 'Drilling Spec'!$C$50)) - 'Drilling Spec'!$C$51)/(2*vB)</f>
        <v>720.36180283396209</v>
      </c>
      <c r="P97" s="18">
        <f>IFERROR(((S97-'Drilling Spec'!$C$30)/'Drilling Spec'!$C$31)*'Drilling Spec'!$C$32,0)</f>
        <v>38.421708170037725</v>
      </c>
      <c r="Q97" s="18">
        <f t="shared" si="35"/>
        <v>0</v>
      </c>
      <c r="R97" s="18"/>
      <c r="S97" s="26">
        <f>IF(AND(OR(T96=0,T96=""),M97=0),IF(M98=0,"",'Drilling Spec'!$C$30),O97)</f>
        <v>720.36180283396209</v>
      </c>
      <c r="U97" s="15">
        <f>E97*'Drilling Spec'!$C$22 + L97*'Drilling Spec'!$C$23</f>
        <v>0</v>
      </c>
      <c r="V97" s="15">
        <f t="shared" si="36"/>
        <v>19.387967479674792</v>
      </c>
      <c r="W97" s="15">
        <f t="shared" si="26"/>
        <v>4.6120325203252044</v>
      </c>
      <c r="X97" s="10"/>
      <c r="Y97" s="30">
        <f>IF(W97&lt;U98,'Drilling Spec'!$C$35,0)</f>
        <v>0</v>
      </c>
      <c r="AA97" s="4">
        <f t="shared" si="40"/>
        <v>46</v>
      </c>
      <c r="AB97" s="10"/>
      <c r="AC97" s="30">
        <f>IF('04-07-25-Scen6-Good,16hr'!K98&gt;'04-07-25-Scen6-Good,16hr'!AA97,'Drilling Spec'!$C$36,)</f>
        <v>0</v>
      </c>
      <c r="AE97" s="18">
        <f>(I97-'Drilling Spec'!$C$26)/'Drilling Spec'!$C$38</f>
        <v>108.20406463712673</v>
      </c>
      <c r="AF97" s="18">
        <f t="shared" si="27"/>
        <v>0</v>
      </c>
      <c r="AG97" s="34">
        <f t="shared" si="28"/>
        <v>0</v>
      </c>
      <c r="AH97" s="10"/>
      <c r="AI97" s="26">
        <f>IF(C97="Camp Closed",AG97,IF(AG97&lt;'Drilling Spec'!$C$39,,'Drilling Spec'!$C$39))</f>
        <v>0</v>
      </c>
      <c r="AL97" s="16">
        <f t="shared" si="29"/>
        <v>-719.22438782276038</v>
      </c>
      <c r="AM97" s="16">
        <f t="shared" si="30"/>
        <v>-720.36180283396209</v>
      </c>
      <c r="AN97">
        <f>-'Drilling Spec'!$C$29</f>
        <v>-720</v>
      </c>
      <c r="AO97">
        <f>-'Drilling Spec'!$C$27</f>
        <v>-624</v>
      </c>
      <c r="AP97">
        <f>-'Drilling Spec'!$C$28</f>
        <v>-688</v>
      </c>
      <c r="AQ97" t="e">
        <f t="shared" si="31"/>
        <v>#N/A</v>
      </c>
      <c r="AR97" t="e">
        <f>IF(X97=0,NA(),-'Drilling Spec'!$C$29*0.1)</f>
        <v>#N/A</v>
      </c>
      <c r="AS97" t="e">
        <f>IF(Y97=0,NA(),-'Drilling Spec'!$C$29*0.1)</f>
        <v>#N/A</v>
      </c>
      <c r="AT97" t="e">
        <f>IF(AB97=0,NA(),-'Drilling Spec'!$C$29*0.2)</f>
        <v>#N/A</v>
      </c>
      <c r="AU97" t="e">
        <f>IF(AC97=0,NA(),-'Drilling Spec'!$C$29*0.2)</f>
        <v>#N/A</v>
      </c>
      <c r="AV97" t="e">
        <f>IF(AH97=0,NA(),-'Drilling Spec'!$C$29*0.3)</f>
        <v>#N/A</v>
      </c>
      <c r="AW97" t="e">
        <f>IF(AI97=0,NA(),-'Drilling Spec'!$C$29*0.3)</f>
        <v>#N/A</v>
      </c>
      <c r="AX97" s="29">
        <f t="shared" si="32"/>
        <v>4.6120325203252044</v>
      </c>
      <c r="AY97" s="29">
        <f t="shared" si="33"/>
        <v>41.806748981853701</v>
      </c>
      <c r="AZ97" s="29">
        <f t="shared" si="37"/>
        <v>0</v>
      </c>
    </row>
    <row r="98" spans="1:52" x14ac:dyDescent="0.35">
      <c r="A98" s="28">
        <f t="shared" si="42"/>
        <v>46068</v>
      </c>
      <c r="B98" t="str">
        <f t="shared" si="20"/>
        <v>Sun</v>
      </c>
      <c r="C98" s="10"/>
      <c r="D98" s="10"/>
      <c r="E98" s="4">
        <f t="shared" si="21"/>
        <v>0</v>
      </c>
      <c r="F98" s="4">
        <f t="shared" si="22"/>
        <v>808</v>
      </c>
      <c r="G98" s="4">
        <f t="shared" si="23"/>
        <v>0</v>
      </c>
      <c r="H98" s="15">
        <f>(SQRT(4*I97*I97*V*V + 'Drilling Spec'!$C$42*I97 + W*('Drilling Spec'!$C$43 + 2*l*V*(s*W + 2*V*G98/(1+e)) + 'Drilling Spec'!$C$44)) - 'Drilling Spec'!$C$45)/(2*V)</f>
        <v>719.22438782276038</v>
      </c>
      <c r="I98" s="23">
        <f>IF(AND(OR(I97=0,I97=""),F98=0),IF(F99=0,"",'Drilling Spec'!$C$26),H98)</f>
        <v>719.22438782276038</v>
      </c>
      <c r="J98" s="16">
        <f>MAX(0,I98-'Drilling Spec'!$C$30)</f>
        <v>639.22438782276038</v>
      </c>
      <c r="K98" s="18">
        <f>IFERROR(J98/'Drilling Spec'!$C$31,0)</f>
        <v>42.614959188184024</v>
      </c>
      <c r="L98" s="21">
        <f t="shared" si="24"/>
        <v>0</v>
      </c>
      <c r="M98" s="4">
        <f t="shared" si="34"/>
        <v>131</v>
      </c>
      <c r="N98" s="21">
        <f t="shared" si="25"/>
        <v>0</v>
      </c>
      <c r="O98" s="18">
        <f>(SQRT(4*O97*O97*vB*vB + 'Drilling Spec'!$C$48*O97 + WB*('Drilling Spec'!$C$49 + 2*lB*vB*(sB*WB + 2*vB*N98/(1+eB)) + 'Drilling Spec'!$C$50)) - 'Drilling Spec'!$C$51)/(2*vB)</f>
        <v>720.36180283396209</v>
      </c>
      <c r="P98" s="18">
        <f>IFERROR(((S98-'Drilling Spec'!$C$30)/'Drilling Spec'!$C$31)*'Drilling Spec'!$C$32,0)</f>
        <v>38.421708170037725</v>
      </c>
      <c r="Q98" s="18">
        <f t="shared" si="35"/>
        <v>0</v>
      </c>
      <c r="R98" s="18"/>
      <c r="S98" s="26">
        <f>IF(AND(OR(T97=0,T97=""),M98=0),IF(M99=0,"",'Drilling Spec'!$C$30),O98)</f>
        <v>720.36180283396209</v>
      </c>
      <c r="U98" s="15">
        <f>E98*'Drilling Spec'!$C$22 + L98*'Drilling Spec'!$C$23</f>
        <v>0</v>
      </c>
      <c r="V98" s="15">
        <f t="shared" si="36"/>
        <v>19.387967479674792</v>
      </c>
      <c r="W98" s="15">
        <f t="shared" si="26"/>
        <v>4.6120325203252044</v>
      </c>
      <c r="X98" s="10"/>
      <c r="Y98" s="30">
        <f>IF(W98&lt;U99,'Drilling Spec'!$C$35,0)</f>
        <v>0</v>
      </c>
      <c r="AA98" s="4">
        <f t="shared" si="40"/>
        <v>46</v>
      </c>
      <c r="AB98" s="10"/>
      <c r="AC98" s="30">
        <f>IF('04-07-25-Scen6-Good,16hr'!K99&gt;'04-07-25-Scen6-Good,16hr'!AA98,'Drilling Spec'!$C$36,)</f>
        <v>0</v>
      </c>
      <c r="AE98" s="18">
        <f>(I98-'Drilling Spec'!$C$26)/'Drilling Spec'!$C$38</f>
        <v>108.20406463712673</v>
      </c>
      <c r="AF98" s="18">
        <f t="shared" si="27"/>
        <v>0</v>
      </c>
      <c r="AG98" s="34">
        <f t="shared" si="28"/>
        <v>0</v>
      </c>
      <c r="AH98" s="10"/>
      <c r="AI98" s="26">
        <f>IF(C98="Camp Closed",AG98,IF(AG98&lt;'Drilling Spec'!$C$39,,'Drilling Spec'!$C$39))</f>
        <v>0</v>
      </c>
      <c r="AL98" s="16">
        <f t="shared" si="29"/>
        <v>-719.22438782276038</v>
      </c>
      <c r="AM98" s="16">
        <f t="shared" si="30"/>
        <v>-720.36180283396209</v>
      </c>
      <c r="AN98">
        <f>-'Drilling Spec'!$C$29</f>
        <v>-720</v>
      </c>
      <c r="AO98">
        <f>-'Drilling Spec'!$C$27</f>
        <v>-624</v>
      </c>
      <c r="AP98">
        <f>-'Drilling Spec'!$C$28</f>
        <v>-688</v>
      </c>
      <c r="AQ98" t="e">
        <f t="shared" si="31"/>
        <v>#N/A</v>
      </c>
      <c r="AR98" t="e">
        <f>IF(X98=0,NA(),-'Drilling Spec'!$C$29*0.1)</f>
        <v>#N/A</v>
      </c>
      <c r="AS98" t="e">
        <f>IF(Y98=0,NA(),-'Drilling Spec'!$C$29*0.1)</f>
        <v>#N/A</v>
      </c>
      <c r="AT98" t="e">
        <f>IF(AB98=0,NA(),-'Drilling Spec'!$C$29*0.2)</f>
        <v>#N/A</v>
      </c>
      <c r="AU98" t="e">
        <f>IF(AC98=0,NA(),-'Drilling Spec'!$C$29*0.2)</f>
        <v>#N/A</v>
      </c>
      <c r="AV98" t="e">
        <f>IF(AH98=0,NA(),-'Drilling Spec'!$C$29*0.3)</f>
        <v>#N/A</v>
      </c>
      <c r="AW98" t="e">
        <f>IF(AI98=0,NA(),-'Drilling Spec'!$C$29*0.3)</f>
        <v>#N/A</v>
      </c>
      <c r="AX98" s="29">
        <f t="shared" si="32"/>
        <v>4.6120325203252044</v>
      </c>
      <c r="AY98" s="29">
        <f t="shared" si="33"/>
        <v>41.806748981853701</v>
      </c>
      <c r="AZ98" s="29">
        <f t="shared" si="37"/>
        <v>0</v>
      </c>
    </row>
    <row r="99" spans="1:52" x14ac:dyDescent="0.35">
      <c r="A99" s="28">
        <f t="shared" si="42"/>
        <v>46069</v>
      </c>
      <c r="B99" t="str">
        <f t="shared" si="20"/>
        <v>Mon</v>
      </c>
      <c r="C99" s="10"/>
      <c r="D99" s="10"/>
      <c r="E99" s="4">
        <f t="shared" si="21"/>
        <v>0</v>
      </c>
      <c r="F99" s="4">
        <f t="shared" si="22"/>
        <v>808</v>
      </c>
      <c r="G99" s="4">
        <f t="shared" si="23"/>
        <v>0</v>
      </c>
      <c r="H99" s="15">
        <f>(SQRT(4*I98*I98*V*V + 'Drilling Spec'!$C$42*I98 + W*('Drilling Spec'!$C$43 + 2*l*V*(s*W + 2*V*G99/(1+e)) + 'Drilling Spec'!$C$44)) - 'Drilling Spec'!$C$45)/(2*V)</f>
        <v>719.22438782276038</v>
      </c>
      <c r="I99" s="23">
        <f>IF(AND(OR(I98=0,I98=""),F99=0),IF(F100=0,"",'Drilling Spec'!$C$26),H99)</f>
        <v>719.22438782276038</v>
      </c>
      <c r="J99" s="16">
        <f>MAX(0,I99-'Drilling Spec'!$C$30)</f>
        <v>639.22438782276038</v>
      </c>
      <c r="K99" s="18">
        <f>IFERROR(J99/'Drilling Spec'!$C$31,0)</f>
        <v>42.614959188184024</v>
      </c>
      <c r="L99" s="21">
        <f t="shared" si="24"/>
        <v>0</v>
      </c>
      <c r="M99" s="4">
        <f t="shared" si="34"/>
        <v>131</v>
      </c>
      <c r="N99" s="21">
        <f t="shared" si="25"/>
        <v>0</v>
      </c>
      <c r="O99" s="18">
        <f>(SQRT(4*O98*O98*vB*vB + 'Drilling Spec'!$C$48*O98 + WB*('Drilling Spec'!$C$49 + 2*lB*vB*(sB*WB + 2*vB*N99/(1+eB)) + 'Drilling Spec'!$C$50)) - 'Drilling Spec'!$C$51)/(2*vB)</f>
        <v>720.36180283396209</v>
      </c>
      <c r="P99" s="18">
        <f>IFERROR(((S99-'Drilling Spec'!$C$30)/'Drilling Spec'!$C$31)*'Drilling Spec'!$C$32,0)</f>
        <v>38.421708170037725</v>
      </c>
      <c r="Q99" s="18">
        <f t="shared" si="35"/>
        <v>0</v>
      </c>
      <c r="R99" s="18"/>
      <c r="S99" s="26">
        <f>IF(AND(OR(T98=0,T98=""),M99=0),IF(M100=0,"",'Drilling Spec'!$C$30),O99)</f>
        <v>720.36180283396209</v>
      </c>
      <c r="U99" s="15">
        <f>E99*'Drilling Spec'!$C$22 + L99*'Drilling Spec'!$C$23</f>
        <v>0</v>
      </c>
      <c r="V99" s="15">
        <f t="shared" si="36"/>
        <v>19.387967479674792</v>
      </c>
      <c r="W99" s="15">
        <f t="shared" si="26"/>
        <v>4.6120325203252044</v>
      </c>
      <c r="X99" s="10"/>
      <c r="Y99" s="30">
        <f>IF(W99&lt;U100,'Drilling Spec'!$C$35,0)</f>
        <v>0</v>
      </c>
      <c r="AA99" s="4">
        <f t="shared" si="40"/>
        <v>46</v>
      </c>
      <c r="AB99" s="10"/>
      <c r="AC99" s="30">
        <f>IF('04-07-25-Scen6-Good,16hr'!K100&gt;'04-07-25-Scen6-Good,16hr'!AA99,'Drilling Spec'!$C$36,)</f>
        <v>0</v>
      </c>
      <c r="AE99" s="18">
        <f>(I99-'Drilling Spec'!$C$26)/'Drilling Spec'!$C$38</f>
        <v>108.20406463712673</v>
      </c>
      <c r="AF99" s="18">
        <f t="shared" si="27"/>
        <v>0</v>
      </c>
      <c r="AG99" s="34">
        <f t="shared" si="28"/>
        <v>0</v>
      </c>
      <c r="AH99" s="10"/>
      <c r="AI99" s="26">
        <f>IF(C99="Camp Closed",AG99,IF(AG99&lt;'Drilling Spec'!$C$39,,'Drilling Spec'!$C$39))</f>
        <v>0</v>
      </c>
      <c r="AL99" s="16">
        <f t="shared" si="29"/>
        <v>-719.22438782276038</v>
      </c>
      <c r="AM99" s="16">
        <f t="shared" si="30"/>
        <v>-720.36180283396209</v>
      </c>
      <c r="AN99">
        <f>-'Drilling Spec'!$C$29</f>
        <v>-720</v>
      </c>
      <c r="AO99">
        <f>-'Drilling Spec'!$C$27</f>
        <v>-624</v>
      </c>
      <c r="AP99">
        <f>-'Drilling Spec'!$C$28</f>
        <v>-688</v>
      </c>
      <c r="AQ99" t="e">
        <f t="shared" si="31"/>
        <v>#N/A</v>
      </c>
      <c r="AR99" t="e">
        <f>IF(X99=0,NA(),-'Drilling Spec'!$C$29*0.1)</f>
        <v>#N/A</v>
      </c>
      <c r="AS99" t="e">
        <f>IF(Y99=0,NA(),-'Drilling Spec'!$C$29*0.1)</f>
        <v>#N/A</v>
      </c>
      <c r="AT99" t="e">
        <f>IF(AB99=0,NA(),-'Drilling Spec'!$C$29*0.2)</f>
        <v>#N/A</v>
      </c>
      <c r="AU99" t="e">
        <f>IF(AC99=0,NA(),-'Drilling Spec'!$C$29*0.2)</f>
        <v>#N/A</v>
      </c>
      <c r="AV99" t="e">
        <f>IF(AH99=0,NA(),-'Drilling Spec'!$C$29*0.3)</f>
        <v>#N/A</v>
      </c>
      <c r="AW99" t="e">
        <f>IF(AI99=0,NA(),-'Drilling Spec'!$C$29*0.3)</f>
        <v>#N/A</v>
      </c>
      <c r="AX99" s="29">
        <f t="shared" si="32"/>
        <v>4.6120325203252044</v>
      </c>
      <c r="AY99" s="29">
        <f t="shared" si="33"/>
        <v>41.806748981853701</v>
      </c>
      <c r="AZ99" s="29">
        <f t="shared" si="37"/>
        <v>0</v>
      </c>
    </row>
    <row r="100" spans="1:52" x14ac:dyDescent="0.35">
      <c r="A100" s="28">
        <f t="shared" si="42"/>
        <v>46070</v>
      </c>
      <c r="B100" t="str">
        <f t="shared" si="20"/>
        <v>Tue</v>
      </c>
      <c r="C100" s="10"/>
      <c r="D100" s="10"/>
      <c r="E100" s="4">
        <f t="shared" si="21"/>
        <v>0</v>
      </c>
      <c r="F100" s="4">
        <f t="shared" si="22"/>
        <v>808</v>
      </c>
      <c r="G100" s="4">
        <f t="shared" si="23"/>
        <v>0</v>
      </c>
      <c r="H100" s="15">
        <f>(SQRT(4*I99*I99*V*V + 'Drilling Spec'!$C$42*I99 + W*('Drilling Spec'!$C$43 + 2*l*V*(s*W + 2*V*G100/(1+e)) + 'Drilling Spec'!$C$44)) - 'Drilling Spec'!$C$45)/(2*V)</f>
        <v>719.22438782276038</v>
      </c>
      <c r="I100" s="23">
        <f>IF(AND(OR(I99=0,I99=""),F100=0),IF(F101=0,"",'Drilling Spec'!$C$26),H100)</f>
        <v>719.22438782276038</v>
      </c>
      <c r="J100" s="16">
        <f>MAX(0,I100-'Drilling Spec'!$C$30)</f>
        <v>639.22438782276038</v>
      </c>
      <c r="K100" s="18">
        <f>IFERROR(J100/'Drilling Spec'!$C$31,0)</f>
        <v>42.614959188184024</v>
      </c>
      <c r="L100" s="21">
        <f t="shared" si="24"/>
        <v>0</v>
      </c>
      <c r="M100" s="4">
        <f t="shared" si="34"/>
        <v>131</v>
      </c>
      <c r="N100" s="21">
        <f t="shared" si="25"/>
        <v>0</v>
      </c>
      <c r="O100" s="18">
        <f>(SQRT(4*O99*O99*vB*vB + 'Drilling Spec'!$C$48*O99 + WB*('Drilling Spec'!$C$49 + 2*lB*vB*(sB*WB + 2*vB*N100/(1+eB)) + 'Drilling Spec'!$C$50)) - 'Drilling Spec'!$C$51)/(2*vB)</f>
        <v>720.36180283396209</v>
      </c>
      <c r="P100" s="18">
        <f>IFERROR(((S100-'Drilling Spec'!$C$30)/'Drilling Spec'!$C$31)*'Drilling Spec'!$C$32,0)</f>
        <v>38.421708170037725</v>
      </c>
      <c r="Q100" s="18">
        <f t="shared" si="35"/>
        <v>0</v>
      </c>
      <c r="R100" s="18"/>
      <c r="S100" s="26">
        <f>IF(AND(OR(T99=0,T99=""),M100=0),IF(M101=0,"",'Drilling Spec'!$C$30),O100)</f>
        <v>720.36180283396209</v>
      </c>
      <c r="U100" s="15">
        <f>E100*'Drilling Spec'!$C$22 + L100*'Drilling Spec'!$C$23</f>
        <v>0</v>
      </c>
      <c r="V100" s="15">
        <f t="shared" si="36"/>
        <v>19.387967479674792</v>
      </c>
      <c r="W100" s="15">
        <f t="shared" si="26"/>
        <v>4.6120325203252044</v>
      </c>
      <c r="X100" s="10"/>
      <c r="Y100" s="30">
        <f>IF(W100&lt;U101,'Drilling Spec'!$C$35,0)</f>
        <v>0</v>
      </c>
      <c r="AA100" s="4">
        <f t="shared" si="40"/>
        <v>46</v>
      </c>
      <c r="AB100" s="10"/>
      <c r="AC100" s="30">
        <f>IF('04-07-25-Scen6-Good,16hr'!K101&gt;'04-07-25-Scen6-Good,16hr'!AA100,'Drilling Spec'!$C$36,)</f>
        <v>0</v>
      </c>
      <c r="AE100" s="18">
        <f>(I100-'Drilling Spec'!$C$26)/'Drilling Spec'!$C$38</f>
        <v>108.20406463712673</v>
      </c>
      <c r="AF100" s="18">
        <f t="shared" si="27"/>
        <v>0</v>
      </c>
      <c r="AG100" s="34">
        <f t="shared" si="28"/>
        <v>0</v>
      </c>
      <c r="AH100" s="10"/>
      <c r="AI100" s="26">
        <f>IF(C100="Camp Closed",AG100,IF(AG100&lt;'Drilling Spec'!$C$39,,'Drilling Spec'!$C$39))</f>
        <v>0</v>
      </c>
      <c r="AL100" s="16">
        <f t="shared" si="29"/>
        <v>-719.22438782276038</v>
      </c>
      <c r="AM100" s="16">
        <f t="shared" si="30"/>
        <v>-720.36180283396209</v>
      </c>
      <c r="AN100">
        <f>-'Drilling Spec'!$C$29</f>
        <v>-720</v>
      </c>
      <c r="AO100">
        <f>-'Drilling Spec'!$C$27</f>
        <v>-624</v>
      </c>
      <c r="AP100">
        <f>-'Drilling Spec'!$C$28</f>
        <v>-688</v>
      </c>
      <c r="AQ100" t="e">
        <f t="shared" si="31"/>
        <v>#N/A</v>
      </c>
      <c r="AR100" t="e">
        <f>IF(X100=0,NA(),-'Drilling Spec'!$C$29*0.1)</f>
        <v>#N/A</v>
      </c>
      <c r="AS100" t="e">
        <f>IF(Y100=0,NA(),-'Drilling Spec'!$C$29*0.1)</f>
        <v>#N/A</v>
      </c>
      <c r="AT100" t="e">
        <f>IF(AB100=0,NA(),-'Drilling Spec'!$C$29*0.2)</f>
        <v>#N/A</v>
      </c>
      <c r="AU100" t="e">
        <f>IF(AC100=0,NA(),-'Drilling Spec'!$C$29*0.2)</f>
        <v>#N/A</v>
      </c>
      <c r="AV100" t="e">
        <f>IF(AH100=0,NA(),-'Drilling Spec'!$C$29*0.3)</f>
        <v>#N/A</v>
      </c>
      <c r="AW100" t="e">
        <f>IF(AI100=0,NA(),-'Drilling Spec'!$C$29*0.3)</f>
        <v>#N/A</v>
      </c>
      <c r="AX100" s="29">
        <f t="shared" si="32"/>
        <v>4.6120325203252044</v>
      </c>
      <c r="AY100" s="29">
        <f t="shared" si="33"/>
        <v>41.806748981853701</v>
      </c>
      <c r="AZ100" s="29">
        <f t="shared" si="37"/>
        <v>0</v>
      </c>
    </row>
    <row r="101" spans="1:52" x14ac:dyDescent="0.35">
      <c r="A101" s="28">
        <f t="shared" si="42"/>
        <v>46071</v>
      </c>
      <c r="B101" t="str">
        <f t="shared" si="20"/>
        <v>Wed</v>
      </c>
      <c r="C101" s="10"/>
      <c r="D101" s="10"/>
      <c r="E101" s="4">
        <f t="shared" si="21"/>
        <v>0</v>
      </c>
      <c r="F101" s="4">
        <f t="shared" si="22"/>
        <v>808</v>
      </c>
      <c r="G101" s="4">
        <f t="shared" si="23"/>
        <v>0</v>
      </c>
      <c r="H101" s="15">
        <f>(SQRT(4*I100*I100*V*V + 'Drilling Spec'!$C$42*I100 + W*('Drilling Spec'!$C$43 + 2*l*V*(s*W + 2*V*G101/(1+e)) + 'Drilling Spec'!$C$44)) - 'Drilling Spec'!$C$45)/(2*V)</f>
        <v>719.22438782276038</v>
      </c>
      <c r="I101" s="23">
        <f>IF(AND(OR(I100=0,I100=""),F101=0),IF(F102=0,"",'Drilling Spec'!$C$26),H101)</f>
        <v>719.22438782276038</v>
      </c>
      <c r="J101" s="16">
        <f>MAX(0,I101-'Drilling Spec'!$C$30)</f>
        <v>639.22438782276038</v>
      </c>
      <c r="K101" s="18">
        <f>IFERROR(J101/'Drilling Spec'!$C$31,0)</f>
        <v>42.614959188184024</v>
      </c>
      <c r="L101" s="21">
        <f t="shared" si="24"/>
        <v>0</v>
      </c>
      <c r="M101" s="4">
        <f t="shared" si="34"/>
        <v>131</v>
      </c>
      <c r="N101" s="21">
        <f t="shared" si="25"/>
        <v>0</v>
      </c>
      <c r="O101" s="18">
        <f>(SQRT(4*O100*O100*vB*vB + 'Drilling Spec'!$C$48*O100 + WB*('Drilling Spec'!$C$49 + 2*lB*vB*(sB*WB + 2*vB*N101/(1+eB)) + 'Drilling Spec'!$C$50)) - 'Drilling Spec'!$C$51)/(2*vB)</f>
        <v>720.36180283396209</v>
      </c>
      <c r="P101" s="18">
        <f>IFERROR(((S101-'Drilling Spec'!$C$30)/'Drilling Spec'!$C$31)*'Drilling Spec'!$C$32,0)</f>
        <v>38.421708170037725</v>
      </c>
      <c r="Q101" s="18">
        <f t="shared" si="35"/>
        <v>0</v>
      </c>
      <c r="R101" s="18"/>
      <c r="S101" s="26">
        <f>IF(AND(OR(T100=0,T100=""),M101=0),IF(M102=0,"",'Drilling Spec'!$C$30),O101)</f>
        <v>720.36180283396209</v>
      </c>
      <c r="U101" s="15">
        <f>E101*'Drilling Spec'!$C$22 + L101*'Drilling Spec'!$C$23</f>
        <v>0</v>
      </c>
      <c r="V101" s="15">
        <f t="shared" si="36"/>
        <v>19.387967479674792</v>
      </c>
      <c r="W101" s="15">
        <f t="shared" si="26"/>
        <v>4.6120325203252044</v>
      </c>
      <c r="X101" s="10"/>
      <c r="Y101" s="30">
        <f>IF(W101&lt;U102,'Drilling Spec'!$C$35,0)</f>
        <v>0</v>
      </c>
      <c r="AA101" s="4">
        <f t="shared" si="40"/>
        <v>46</v>
      </c>
      <c r="AB101" s="10"/>
      <c r="AC101" s="30">
        <f>IF('04-07-25-Scen6-Good,16hr'!K102&gt;'04-07-25-Scen6-Good,16hr'!AA101,'Drilling Spec'!$C$36,)</f>
        <v>0</v>
      </c>
      <c r="AE101" s="18">
        <f>(I101-'Drilling Spec'!$C$26)/'Drilling Spec'!$C$38</f>
        <v>108.20406463712673</v>
      </c>
      <c r="AF101" s="18">
        <f t="shared" si="27"/>
        <v>0</v>
      </c>
      <c r="AG101" s="34">
        <f t="shared" si="28"/>
        <v>0</v>
      </c>
      <c r="AH101" s="10"/>
      <c r="AI101" s="26">
        <f>IF(C101="Camp Closed",AG101,IF(AG101&lt;'Drilling Spec'!$C$39,,'Drilling Spec'!$C$39))</f>
        <v>0</v>
      </c>
      <c r="AL101" s="16">
        <f t="shared" si="29"/>
        <v>-719.22438782276038</v>
      </c>
      <c r="AM101" s="16">
        <f t="shared" si="30"/>
        <v>-720.36180283396209</v>
      </c>
      <c r="AN101">
        <f>-'Drilling Spec'!$C$29</f>
        <v>-720</v>
      </c>
      <c r="AO101">
        <f>-'Drilling Spec'!$C$27</f>
        <v>-624</v>
      </c>
      <c r="AP101">
        <f>-'Drilling Spec'!$C$28</f>
        <v>-688</v>
      </c>
      <c r="AQ101" t="e">
        <f t="shared" si="31"/>
        <v>#N/A</v>
      </c>
      <c r="AR101" t="e">
        <f>IF(X101=0,NA(),-'Drilling Spec'!$C$29*0.1)</f>
        <v>#N/A</v>
      </c>
      <c r="AS101" t="e">
        <f>IF(Y101=0,NA(),-'Drilling Spec'!$C$29*0.1)</f>
        <v>#N/A</v>
      </c>
      <c r="AT101" t="e">
        <f>IF(AB101=0,NA(),-'Drilling Spec'!$C$29*0.2)</f>
        <v>#N/A</v>
      </c>
      <c r="AU101" t="e">
        <f>IF(AC101=0,NA(),-'Drilling Spec'!$C$29*0.2)</f>
        <v>#N/A</v>
      </c>
      <c r="AV101" t="e">
        <f>IF(AH101=0,NA(),-'Drilling Spec'!$C$29*0.3)</f>
        <v>#N/A</v>
      </c>
      <c r="AW101" t="e">
        <f>IF(AI101=0,NA(),-'Drilling Spec'!$C$29*0.3)</f>
        <v>#N/A</v>
      </c>
      <c r="AX101" s="29">
        <f t="shared" si="32"/>
        <v>4.6120325203252044</v>
      </c>
      <c r="AY101" s="29">
        <f t="shared" si="33"/>
        <v>41.806748981853701</v>
      </c>
      <c r="AZ101" s="29">
        <f t="shared" si="37"/>
        <v>0</v>
      </c>
    </row>
    <row r="102" spans="1:52" x14ac:dyDescent="0.35">
      <c r="A102" s="28">
        <f t="shared" si="42"/>
        <v>46072</v>
      </c>
      <c r="B102" t="str">
        <f t="shared" si="20"/>
        <v>Thu</v>
      </c>
      <c r="C102" s="10"/>
      <c r="D102" s="10"/>
      <c r="E102" s="4">
        <f t="shared" si="21"/>
        <v>0</v>
      </c>
      <c r="F102" s="4">
        <f t="shared" si="22"/>
        <v>808</v>
      </c>
      <c r="G102" s="4">
        <f t="shared" si="23"/>
        <v>0</v>
      </c>
      <c r="H102" s="15">
        <f>(SQRT(4*I101*I101*V*V + 'Drilling Spec'!$C$42*I101 + W*('Drilling Spec'!$C$43 + 2*l*V*(s*W + 2*V*G102/(1+e)) + 'Drilling Spec'!$C$44)) - 'Drilling Spec'!$C$45)/(2*V)</f>
        <v>719.22438782276038</v>
      </c>
      <c r="I102" s="23">
        <f>IF(AND(OR(I101=0,I101=""),F102=0),IF(F103=0,"",'Drilling Spec'!$C$26),H102)</f>
        <v>719.22438782276038</v>
      </c>
      <c r="J102" s="16">
        <f>MAX(0,I102-'Drilling Spec'!$C$30)</f>
        <v>639.22438782276038</v>
      </c>
      <c r="K102" s="18">
        <f>IFERROR(J102/'Drilling Spec'!$C$31,0)</f>
        <v>42.614959188184024</v>
      </c>
      <c r="L102" s="21">
        <f t="shared" si="24"/>
        <v>0</v>
      </c>
      <c r="M102" s="4">
        <f t="shared" si="34"/>
        <v>131</v>
      </c>
      <c r="N102" s="21">
        <f t="shared" si="25"/>
        <v>0</v>
      </c>
      <c r="O102" s="18">
        <f>(SQRT(4*O101*O101*vB*vB + 'Drilling Spec'!$C$48*O101 + WB*('Drilling Spec'!$C$49 + 2*lB*vB*(sB*WB + 2*vB*N102/(1+eB)) + 'Drilling Spec'!$C$50)) - 'Drilling Spec'!$C$51)/(2*vB)</f>
        <v>720.36180283396209</v>
      </c>
      <c r="P102" s="18">
        <f>IFERROR(((S102-'Drilling Spec'!$C$30)/'Drilling Spec'!$C$31)*'Drilling Spec'!$C$32,0)</f>
        <v>38.421708170037725</v>
      </c>
      <c r="Q102" s="18">
        <f t="shared" si="35"/>
        <v>0</v>
      </c>
      <c r="R102" s="18"/>
      <c r="S102" s="26">
        <f>IF(AND(OR(T101=0,T101=""),M102=0),IF(M103=0,"",'Drilling Spec'!$C$30),O102)</f>
        <v>720.36180283396209</v>
      </c>
      <c r="U102" s="15">
        <f>E102*'Drilling Spec'!$C$22 + L102*'Drilling Spec'!$C$23</f>
        <v>0</v>
      </c>
      <c r="V102" s="15">
        <f t="shared" si="36"/>
        <v>19.387967479674792</v>
      </c>
      <c r="W102" s="15">
        <f t="shared" si="26"/>
        <v>4.6120325203252044</v>
      </c>
      <c r="X102" s="10"/>
      <c r="Y102" s="30">
        <f>IF(W102&lt;U103,'Drilling Spec'!$C$35,0)</f>
        <v>0</v>
      </c>
      <c r="AA102" s="4">
        <f t="shared" si="40"/>
        <v>46</v>
      </c>
      <c r="AB102" s="10"/>
      <c r="AC102" s="30">
        <f>IF('04-07-25-Scen6-Good,16hr'!K103&gt;'04-07-25-Scen6-Good,16hr'!AA102,'Drilling Spec'!$C$36,)</f>
        <v>0</v>
      </c>
      <c r="AE102" s="18">
        <f>(I102-'Drilling Spec'!$C$26)/'Drilling Spec'!$C$38</f>
        <v>108.20406463712673</v>
      </c>
      <c r="AF102" s="18">
        <f t="shared" si="27"/>
        <v>0</v>
      </c>
      <c r="AG102" s="34">
        <f t="shared" si="28"/>
        <v>0</v>
      </c>
      <c r="AH102" s="10"/>
      <c r="AI102" s="26">
        <f>IF(C102="Camp Closed",AG102,IF(AG102&lt;'Drilling Spec'!$C$39,,'Drilling Spec'!$C$39))</f>
        <v>0</v>
      </c>
      <c r="AL102" s="16">
        <f t="shared" si="29"/>
        <v>-719.22438782276038</v>
      </c>
      <c r="AM102" s="16">
        <f t="shared" si="30"/>
        <v>-720.36180283396209</v>
      </c>
      <c r="AN102">
        <f>-'Drilling Spec'!$C$29</f>
        <v>-720</v>
      </c>
      <c r="AO102">
        <f>-'Drilling Spec'!$C$27</f>
        <v>-624</v>
      </c>
      <c r="AP102">
        <f>-'Drilling Spec'!$C$28</f>
        <v>-688</v>
      </c>
      <c r="AQ102" t="e">
        <f t="shared" si="31"/>
        <v>#N/A</v>
      </c>
      <c r="AR102" t="e">
        <f>IF(X102=0,NA(),-'Drilling Spec'!$C$29*0.1)</f>
        <v>#N/A</v>
      </c>
      <c r="AS102" t="e">
        <f>IF(Y102=0,NA(),-'Drilling Spec'!$C$29*0.1)</f>
        <v>#N/A</v>
      </c>
      <c r="AT102" t="e">
        <f>IF(AB102=0,NA(),-'Drilling Spec'!$C$29*0.2)</f>
        <v>#N/A</v>
      </c>
      <c r="AU102" t="e">
        <f>IF(AC102=0,NA(),-'Drilling Spec'!$C$29*0.2)</f>
        <v>#N/A</v>
      </c>
      <c r="AV102" t="e">
        <f>IF(AH102=0,NA(),-'Drilling Spec'!$C$29*0.3)</f>
        <v>#N/A</v>
      </c>
      <c r="AW102" t="e">
        <f>IF(AI102=0,NA(),-'Drilling Spec'!$C$29*0.3)</f>
        <v>#N/A</v>
      </c>
      <c r="AX102" s="29">
        <f t="shared" si="32"/>
        <v>4.6120325203252044</v>
      </c>
      <c r="AY102" s="29">
        <f t="shared" si="33"/>
        <v>41.806748981853701</v>
      </c>
      <c r="AZ102" s="29">
        <f t="shared" si="37"/>
        <v>0</v>
      </c>
    </row>
    <row r="103" spans="1:52" x14ac:dyDescent="0.35">
      <c r="A103" s="28">
        <f t="shared" si="42"/>
        <v>46073</v>
      </c>
      <c r="B103" t="str">
        <f t="shared" si="20"/>
        <v>Fri</v>
      </c>
      <c r="C103" s="10"/>
      <c r="D103" s="10"/>
      <c r="E103" s="4">
        <f t="shared" si="21"/>
        <v>0</v>
      </c>
      <c r="F103" s="4">
        <f t="shared" si="22"/>
        <v>808</v>
      </c>
      <c r="G103" s="4">
        <f t="shared" si="23"/>
        <v>0</v>
      </c>
      <c r="H103" s="15">
        <f>(SQRT(4*I102*I102*V*V + 'Drilling Spec'!$C$42*I102 + W*('Drilling Spec'!$C$43 + 2*l*V*(s*W + 2*V*G103/(1+e)) + 'Drilling Spec'!$C$44)) - 'Drilling Spec'!$C$45)/(2*V)</f>
        <v>719.22438782276038</v>
      </c>
      <c r="I103" s="23">
        <f>IF(AND(OR(I102=0,I102=""),F103=0),IF(F104=0,"",'Drilling Spec'!$C$26),H103)</f>
        <v>719.22438782276038</v>
      </c>
      <c r="J103" s="16">
        <f>MAX(0,I103-'Drilling Spec'!$C$30)</f>
        <v>639.22438782276038</v>
      </c>
      <c r="K103" s="18">
        <f>IFERROR(J103/'Drilling Spec'!$C$31,0)</f>
        <v>42.614959188184024</v>
      </c>
      <c r="L103" s="21">
        <f t="shared" si="24"/>
        <v>0</v>
      </c>
      <c r="M103" s="4">
        <f t="shared" si="34"/>
        <v>131</v>
      </c>
      <c r="N103" s="21">
        <f t="shared" si="25"/>
        <v>0</v>
      </c>
      <c r="O103" s="18">
        <f>(SQRT(4*O102*O102*vB*vB + 'Drilling Spec'!$C$48*O102 + WB*('Drilling Spec'!$C$49 + 2*lB*vB*(sB*WB + 2*vB*N103/(1+eB)) + 'Drilling Spec'!$C$50)) - 'Drilling Spec'!$C$51)/(2*vB)</f>
        <v>720.36180283396209</v>
      </c>
      <c r="P103" s="18">
        <f>IFERROR(((S103-'Drilling Spec'!$C$30)/'Drilling Spec'!$C$31)*'Drilling Spec'!$C$32,0)</f>
        <v>38.421708170037725</v>
      </c>
      <c r="Q103" s="18">
        <f t="shared" si="35"/>
        <v>0</v>
      </c>
      <c r="R103" s="18"/>
      <c r="S103" s="26">
        <f>IF(AND(OR(T102=0,T102=""),M103=0),IF(M104=0,"",'Drilling Spec'!$C$30),O103)</f>
        <v>720.36180283396209</v>
      </c>
      <c r="U103" s="15">
        <f>E103*'Drilling Spec'!$C$22 + L103*'Drilling Spec'!$C$23</f>
        <v>0</v>
      </c>
      <c r="V103" s="15">
        <f t="shared" si="36"/>
        <v>19.387967479674792</v>
      </c>
      <c r="W103" s="15">
        <f t="shared" si="26"/>
        <v>4.6120325203252044</v>
      </c>
      <c r="X103" s="10"/>
      <c r="Y103" s="30">
        <f>IF(W103&lt;U104,'Drilling Spec'!$C$35,0)</f>
        <v>0</v>
      </c>
      <c r="AA103" s="4">
        <f t="shared" si="40"/>
        <v>46</v>
      </c>
      <c r="AB103" s="10"/>
      <c r="AC103" s="30">
        <f>IF('04-07-25-Scen6-Good,16hr'!K104&gt;'04-07-25-Scen6-Good,16hr'!AA103,'Drilling Spec'!$C$36,)</f>
        <v>0</v>
      </c>
      <c r="AE103" s="18">
        <f>(I103-'Drilling Spec'!$C$26)/'Drilling Spec'!$C$38</f>
        <v>108.20406463712673</v>
      </c>
      <c r="AF103" s="18">
        <f t="shared" si="27"/>
        <v>0</v>
      </c>
      <c r="AG103" s="34">
        <f t="shared" si="28"/>
        <v>0</v>
      </c>
      <c r="AH103" s="10"/>
      <c r="AI103" s="26">
        <f>IF(C103="Camp Closed",AG103,IF(AG103&lt;'Drilling Spec'!$C$39,,'Drilling Spec'!$C$39))</f>
        <v>0</v>
      </c>
      <c r="AL103" s="16">
        <f t="shared" si="29"/>
        <v>-719.22438782276038</v>
      </c>
      <c r="AM103" s="16">
        <f t="shared" si="30"/>
        <v>-720.36180283396209</v>
      </c>
      <c r="AN103">
        <f>-'Drilling Spec'!$C$29</f>
        <v>-720</v>
      </c>
      <c r="AO103">
        <f>-'Drilling Spec'!$C$27</f>
        <v>-624</v>
      </c>
      <c r="AP103">
        <f>-'Drilling Spec'!$C$28</f>
        <v>-688</v>
      </c>
      <c r="AQ103" t="e">
        <f t="shared" si="31"/>
        <v>#N/A</v>
      </c>
      <c r="AR103" t="e">
        <f>IF(X103=0,NA(),-'Drilling Spec'!$C$29*0.1)</f>
        <v>#N/A</v>
      </c>
      <c r="AS103" t="e">
        <f>IF(Y103=0,NA(),-'Drilling Spec'!$C$29*0.1)</f>
        <v>#N/A</v>
      </c>
      <c r="AT103" t="e">
        <f>IF(AB103=0,NA(),-'Drilling Spec'!$C$29*0.2)</f>
        <v>#N/A</v>
      </c>
      <c r="AU103" t="e">
        <f>IF(AC103=0,NA(),-'Drilling Spec'!$C$29*0.2)</f>
        <v>#N/A</v>
      </c>
      <c r="AV103" t="e">
        <f>IF(AH103=0,NA(),-'Drilling Spec'!$C$29*0.3)</f>
        <v>#N/A</v>
      </c>
      <c r="AW103" t="e">
        <f>IF(AI103=0,NA(),-'Drilling Spec'!$C$29*0.3)</f>
        <v>#N/A</v>
      </c>
      <c r="AX103" s="29">
        <f t="shared" si="32"/>
        <v>4.6120325203252044</v>
      </c>
      <c r="AY103" s="29">
        <f t="shared" si="33"/>
        <v>41.806748981853701</v>
      </c>
      <c r="AZ103" s="29">
        <f t="shared" si="37"/>
        <v>0</v>
      </c>
    </row>
    <row r="104" spans="1:52" x14ac:dyDescent="0.35">
      <c r="A104" s="28">
        <f t="shared" si="42"/>
        <v>46074</v>
      </c>
      <c r="B104" t="str">
        <f t="shared" si="20"/>
        <v>Sat</v>
      </c>
      <c r="C104" s="10"/>
      <c r="D104" s="10"/>
      <c r="E104" s="4">
        <f t="shared" si="21"/>
        <v>0</v>
      </c>
      <c r="F104" s="4">
        <f t="shared" si="22"/>
        <v>808</v>
      </c>
      <c r="G104" s="4">
        <f t="shared" si="23"/>
        <v>0</v>
      </c>
      <c r="H104" s="15">
        <f>(SQRT(4*I103*I103*V*V + 'Drilling Spec'!$C$42*I103 + W*('Drilling Spec'!$C$43 + 2*l*V*(s*W + 2*V*G104/(1+e)) + 'Drilling Spec'!$C$44)) - 'Drilling Spec'!$C$45)/(2*V)</f>
        <v>719.22438782276038</v>
      </c>
      <c r="I104" s="23">
        <f>IF(AND(OR(I103=0,I103=""),F104=0),IF(F105=0,"",'Drilling Spec'!$C$26),H104)</f>
        <v>719.22438782276038</v>
      </c>
      <c r="J104" s="16">
        <f>MAX(0,I104-'Drilling Spec'!$C$30)</f>
        <v>639.22438782276038</v>
      </c>
      <c r="K104" s="18">
        <f>IFERROR(J104/'Drilling Spec'!$C$31,0)</f>
        <v>42.614959188184024</v>
      </c>
      <c r="L104" s="21">
        <f t="shared" si="24"/>
        <v>0</v>
      </c>
      <c r="M104" s="4">
        <f t="shared" si="34"/>
        <v>131</v>
      </c>
      <c r="N104" s="21">
        <f t="shared" si="25"/>
        <v>0</v>
      </c>
      <c r="O104" s="18">
        <f>(SQRT(4*O103*O103*vB*vB + 'Drilling Spec'!$C$48*O103 + WB*('Drilling Spec'!$C$49 + 2*lB*vB*(sB*WB + 2*vB*N104/(1+eB)) + 'Drilling Spec'!$C$50)) - 'Drilling Spec'!$C$51)/(2*vB)</f>
        <v>720.36180283396209</v>
      </c>
      <c r="P104" s="18">
        <f>IFERROR(((S104-'Drilling Spec'!$C$30)/'Drilling Spec'!$C$31)*'Drilling Spec'!$C$32,0)</f>
        <v>38.421708170037725</v>
      </c>
      <c r="Q104" s="18">
        <f t="shared" si="35"/>
        <v>0</v>
      </c>
      <c r="R104" s="18"/>
      <c r="S104" s="26">
        <f>IF(AND(OR(T103=0,T103=""),M104=0),IF(M105=0,"",'Drilling Spec'!$C$30),O104)</f>
        <v>720.36180283396209</v>
      </c>
      <c r="U104" s="15">
        <f>E104*'Drilling Spec'!$C$22 + L104*'Drilling Spec'!$C$23</f>
        <v>0</v>
      </c>
      <c r="V104" s="15">
        <f t="shared" si="36"/>
        <v>19.387967479674792</v>
      </c>
      <c r="W104" s="15">
        <f t="shared" si="26"/>
        <v>4.6120325203252044</v>
      </c>
      <c r="X104" s="10"/>
      <c r="Y104" s="30">
        <f>IF(W104&lt;U105,'Drilling Spec'!$C$35,0)</f>
        <v>0</v>
      </c>
      <c r="AA104" s="4">
        <f t="shared" si="40"/>
        <v>46</v>
      </c>
      <c r="AB104" s="10"/>
      <c r="AC104" s="30">
        <f>IF('04-07-25-Scen6-Good,16hr'!K105&gt;'04-07-25-Scen6-Good,16hr'!AA104,'Drilling Spec'!$C$36,)</f>
        <v>0</v>
      </c>
      <c r="AE104" s="18">
        <f>(I104-'Drilling Spec'!$C$26)/'Drilling Spec'!$C$38</f>
        <v>108.20406463712673</v>
      </c>
      <c r="AF104" s="18">
        <f t="shared" si="27"/>
        <v>0</v>
      </c>
      <c r="AG104" s="34">
        <f t="shared" si="28"/>
        <v>0</v>
      </c>
      <c r="AH104" s="10"/>
      <c r="AI104" s="26">
        <f>IF(C104="Camp Closed",AG104,IF(AG104&lt;'Drilling Spec'!$C$39,,'Drilling Spec'!$C$39))</f>
        <v>0</v>
      </c>
      <c r="AL104" s="16">
        <f t="shared" si="29"/>
        <v>-719.22438782276038</v>
      </c>
      <c r="AM104" s="16">
        <f t="shared" si="30"/>
        <v>-720.36180283396209</v>
      </c>
      <c r="AN104">
        <f>-'Drilling Spec'!$C$29</f>
        <v>-720</v>
      </c>
      <c r="AO104">
        <f>-'Drilling Spec'!$C$27</f>
        <v>-624</v>
      </c>
      <c r="AP104">
        <f>-'Drilling Spec'!$C$28</f>
        <v>-688</v>
      </c>
      <c r="AQ104" t="e">
        <f t="shared" si="31"/>
        <v>#N/A</v>
      </c>
      <c r="AR104" t="e">
        <f>IF(X104=0,NA(),-'Drilling Spec'!$C$29*0.1)</f>
        <v>#N/A</v>
      </c>
      <c r="AS104" t="e">
        <f>IF(Y104=0,NA(),-'Drilling Spec'!$C$29*0.1)</f>
        <v>#N/A</v>
      </c>
      <c r="AT104" t="e">
        <f>IF(AB104=0,NA(),-'Drilling Spec'!$C$29*0.2)</f>
        <v>#N/A</v>
      </c>
      <c r="AU104" t="e">
        <f>IF(AC104=0,NA(),-'Drilling Spec'!$C$29*0.2)</f>
        <v>#N/A</v>
      </c>
      <c r="AV104" t="e">
        <f>IF(AH104=0,NA(),-'Drilling Spec'!$C$29*0.3)</f>
        <v>#N/A</v>
      </c>
      <c r="AW104" t="e">
        <f>IF(AI104=0,NA(),-'Drilling Spec'!$C$29*0.3)</f>
        <v>#N/A</v>
      </c>
      <c r="AX104" s="29">
        <f t="shared" si="32"/>
        <v>4.6120325203252044</v>
      </c>
      <c r="AY104" s="29">
        <f t="shared" si="33"/>
        <v>41.806748981853701</v>
      </c>
      <c r="AZ104" s="29">
        <f t="shared" si="37"/>
        <v>0</v>
      </c>
    </row>
    <row r="105" spans="1:52" x14ac:dyDescent="0.35">
      <c r="A105" s="28">
        <f t="shared" si="42"/>
        <v>46075</v>
      </c>
      <c r="B105" t="str">
        <f t="shared" si="20"/>
        <v>Sun</v>
      </c>
      <c r="C105" s="10"/>
      <c r="D105" s="10"/>
      <c r="E105" s="4">
        <f t="shared" si="21"/>
        <v>0</v>
      </c>
      <c r="F105" s="4">
        <f t="shared" si="22"/>
        <v>808</v>
      </c>
      <c r="G105" s="4">
        <f t="shared" si="23"/>
        <v>0</v>
      </c>
      <c r="H105" s="15">
        <f>(SQRT(4*I104*I104*V*V + 'Drilling Spec'!$C$42*I104 + W*('Drilling Spec'!$C$43 + 2*l*V*(s*W + 2*V*G105/(1+e)) + 'Drilling Spec'!$C$44)) - 'Drilling Spec'!$C$45)/(2*V)</f>
        <v>719.22438782276038</v>
      </c>
      <c r="I105" s="23">
        <f>IF(AND(OR(I104=0,I104=""),F105=0),IF(F106=0,"",'Drilling Spec'!$C$26),H105)</f>
        <v>719.22438782276038</v>
      </c>
      <c r="J105" s="16">
        <f>MAX(0,I105-'Drilling Spec'!$C$30)</f>
        <v>639.22438782276038</v>
      </c>
      <c r="K105" s="18">
        <f>IFERROR(J105/'Drilling Spec'!$C$31,0)</f>
        <v>42.614959188184024</v>
      </c>
      <c r="L105" s="21">
        <f t="shared" si="24"/>
        <v>0</v>
      </c>
      <c r="M105" s="4">
        <f t="shared" si="34"/>
        <v>131</v>
      </c>
      <c r="N105" s="21">
        <f t="shared" si="25"/>
        <v>0</v>
      </c>
      <c r="O105" s="18">
        <f>(SQRT(4*O104*O104*vB*vB + 'Drilling Spec'!$C$48*O104 + WB*('Drilling Spec'!$C$49 + 2*lB*vB*(sB*WB + 2*vB*N105/(1+eB)) + 'Drilling Spec'!$C$50)) - 'Drilling Spec'!$C$51)/(2*vB)</f>
        <v>720.36180283396209</v>
      </c>
      <c r="P105" s="18">
        <f>IFERROR(((S105-'Drilling Spec'!$C$30)/'Drilling Spec'!$C$31)*'Drilling Spec'!$C$32,0)</f>
        <v>38.421708170037725</v>
      </c>
      <c r="Q105" s="18">
        <f t="shared" si="35"/>
        <v>0</v>
      </c>
      <c r="R105" s="18"/>
      <c r="S105" s="26">
        <f>IF(AND(OR(T104=0,T104=""),M105=0),IF(M106=0,"",'Drilling Spec'!$C$30),O105)</f>
        <v>720.36180283396209</v>
      </c>
      <c r="U105" s="15">
        <f>E105*'Drilling Spec'!$C$22 + L105*'Drilling Spec'!$C$23</f>
        <v>0</v>
      </c>
      <c r="V105" s="15">
        <f t="shared" si="36"/>
        <v>19.387967479674792</v>
      </c>
      <c r="W105" s="15">
        <f t="shared" si="26"/>
        <v>4.6120325203252044</v>
      </c>
      <c r="X105" s="10"/>
      <c r="Y105" s="30">
        <f>IF(W105&lt;U106,'Drilling Spec'!$C$35,0)</f>
        <v>0</v>
      </c>
      <c r="AA105" s="4">
        <f t="shared" si="40"/>
        <v>46</v>
      </c>
      <c r="AB105" s="10"/>
      <c r="AC105" s="30">
        <f>IF('04-07-25-Scen6-Good,16hr'!K106&gt;'04-07-25-Scen6-Good,16hr'!AA105,'Drilling Spec'!$C$36,)</f>
        <v>0</v>
      </c>
      <c r="AE105" s="18">
        <f>(I105-'Drilling Spec'!$C$26)/'Drilling Spec'!$C$38</f>
        <v>108.20406463712673</v>
      </c>
      <c r="AF105" s="18">
        <f t="shared" si="27"/>
        <v>0</v>
      </c>
      <c r="AG105" s="34">
        <f t="shared" si="28"/>
        <v>0</v>
      </c>
      <c r="AH105" s="10"/>
      <c r="AI105" s="26">
        <f>IF(C105="Camp Closed",AG105,IF(AG105&lt;'Drilling Spec'!$C$39,,'Drilling Spec'!$C$39))</f>
        <v>0</v>
      </c>
      <c r="AL105" s="16">
        <f t="shared" si="29"/>
        <v>-719.22438782276038</v>
      </c>
      <c r="AM105" s="16">
        <f t="shared" si="30"/>
        <v>-720.36180283396209</v>
      </c>
      <c r="AN105">
        <f>-'Drilling Spec'!$C$29</f>
        <v>-720</v>
      </c>
      <c r="AO105">
        <f>-'Drilling Spec'!$C$27</f>
        <v>-624</v>
      </c>
      <c r="AP105">
        <f>-'Drilling Spec'!$C$28</f>
        <v>-688</v>
      </c>
      <c r="AQ105" t="e">
        <f t="shared" si="31"/>
        <v>#N/A</v>
      </c>
      <c r="AR105" t="e">
        <f>IF(X105=0,NA(),-'Drilling Spec'!$C$29*0.1)</f>
        <v>#N/A</v>
      </c>
      <c r="AS105" t="e">
        <f>IF(Y105=0,NA(),-'Drilling Spec'!$C$29*0.1)</f>
        <v>#N/A</v>
      </c>
      <c r="AT105" t="e">
        <f>IF(AB105=0,NA(),-'Drilling Spec'!$C$29*0.2)</f>
        <v>#N/A</v>
      </c>
      <c r="AU105" t="e">
        <f>IF(AC105=0,NA(),-'Drilling Spec'!$C$29*0.2)</f>
        <v>#N/A</v>
      </c>
      <c r="AV105" t="e">
        <f>IF(AH105=0,NA(),-'Drilling Spec'!$C$29*0.3)</f>
        <v>#N/A</v>
      </c>
      <c r="AW105" t="e">
        <f>IF(AI105=0,NA(),-'Drilling Spec'!$C$29*0.3)</f>
        <v>#N/A</v>
      </c>
      <c r="AX105" s="29">
        <f t="shared" si="32"/>
        <v>4.6120325203252044</v>
      </c>
      <c r="AY105" s="29">
        <f t="shared" si="33"/>
        <v>41.806748981853701</v>
      </c>
      <c r="AZ105" s="29">
        <f t="shared" si="37"/>
        <v>0</v>
      </c>
    </row>
    <row r="106" spans="1:52" x14ac:dyDescent="0.35">
      <c r="A106" s="28">
        <f t="shared" si="42"/>
        <v>46076</v>
      </c>
      <c r="B106" t="str">
        <f t="shared" si="20"/>
        <v>Mon</v>
      </c>
      <c r="C106" s="10"/>
      <c r="D106" s="10"/>
      <c r="E106" s="4">
        <f t="shared" si="21"/>
        <v>0</v>
      </c>
      <c r="F106" s="4">
        <f t="shared" si="22"/>
        <v>808</v>
      </c>
      <c r="G106" s="4">
        <f t="shared" si="23"/>
        <v>0</v>
      </c>
      <c r="H106" s="15">
        <f>(SQRT(4*I105*I105*V*V + 'Drilling Spec'!$C$42*I105 + W*('Drilling Spec'!$C$43 + 2*l*V*(s*W + 2*V*G106/(1+e)) + 'Drilling Spec'!$C$44)) - 'Drilling Spec'!$C$45)/(2*V)</f>
        <v>719.22438782276038</v>
      </c>
      <c r="I106" s="23">
        <f>IF(AND(OR(I105=0,I105=""),F106=0),IF(F107=0,"",'Drilling Spec'!$C$26),H106)</f>
        <v>719.22438782276038</v>
      </c>
      <c r="J106" s="16">
        <f>MAX(0,I106-'Drilling Spec'!$C$30)</f>
        <v>639.22438782276038</v>
      </c>
      <c r="K106" s="18">
        <f>IFERROR(J106/'Drilling Spec'!$C$31,0)</f>
        <v>42.614959188184024</v>
      </c>
      <c r="L106" s="21">
        <f t="shared" si="24"/>
        <v>0</v>
      </c>
      <c r="M106" s="4">
        <f t="shared" si="34"/>
        <v>131</v>
      </c>
      <c r="N106" s="21">
        <f t="shared" si="25"/>
        <v>0</v>
      </c>
      <c r="O106" s="18">
        <f>(SQRT(4*O105*O105*vB*vB + 'Drilling Spec'!$C$48*O105 + WB*('Drilling Spec'!$C$49 + 2*lB*vB*(sB*WB + 2*vB*N106/(1+eB)) + 'Drilling Spec'!$C$50)) - 'Drilling Spec'!$C$51)/(2*vB)</f>
        <v>720.36180283396209</v>
      </c>
      <c r="P106" s="18">
        <f>IFERROR(((S106-'Drilling Spec'!$C$30)/'Drilling Spec'!$C$31)*'Drilling Spec'!$C$32,0)</f>
        <v>38.421708170037725</v>
      </c>
      <c r="Q106" s="18">
        <f t="shared" si="35"/>
        <v>0</v>
      </c>
      <c r="R106" s="18"/>
      <c r="S106" s="26">
        <f>IF(AND(OR(T105=0,T105=""),M106=0),IF(M107=0,"",'Drilling Spec'!$C$30),O106)</f>
        <v>720.36180283396209</v>
      </c>
      <c r="U106" s="15">
        <f>E106*'Drilling Spec'!$C$22 + L106*'Drilling Spec'!$C$23</f>
        <v>0</v>
      </c>
      <c r="V106" s="15">
        <f t="shared" si="36"/>
        <v>19.387967479674792</v>
      </c>
      <c r="W106" s="15">
        <f t="shared" si="26"/>
        <v>4.6120325203252044</v>
      </c>
      <c r="X106" s="10"/>
      <c r="Y106" s="30">
        <f>IF(W106&lt;U107,'Drilling Spec'!$C$35,0)</f>
        <v>0</v>
      </c>
      <c r="AA106" s="4">
        <f t="shared" si="40"/>
        <v>46</v>
      </c>
      <c r="AB106" s="10"/>
      <c r="AC106" s="30">
        <f>IF('04-07-25-Scen6-Good,16hr'!K107&gt;'04-07-25-Scen6-Good,16hr'!AA106,'Drilling Spec'!$C$36,)</f>
        <v>0</v>
      </c>
      <c r="AE106" s="18">
        <f>(I106-'Drilling Spec'!$C$26)/'Drilling Spec'!$C$38</f>
        <v>108.20406463712673</v>
      </c>
      <c r="AF106" s="18">
        <f t="shared" si="27"/>
        <v>0</v>
      </c>
      <c r="AG106" s="34">
        <f t="shared" si="28"/>
        <v>0</v>
      </c>
      <c r="AH106" s="10"/>
      <c r="AI106" s="26">
        <f>IF(C106="Camp Closed",AG106,IF(AG106&lt;'Drilling Spec'!$C$39,,'Drilling Spec'!$C$39))</f>
        <v>0</v>
      </c>
      <c r="AL106" s="16">
        <f t="shared" si="29"/>
        <v>-719.22438782276038</v>
      </c>
      <c r="AM106" s="16">
        <f t="shared" si="30"/>
        <v>-720.36180283396209</v>
      </c>
      <c r="AN106">
        <f>-'Drilling Spec'!$C$29</f>
        <v>-720</v>
      </c>
      <c r="AO106">
        <f>-'Drilling Spec'!$C$27</f>
        <v>-624</v>
      </c>
      <c r="AP106">
        <f>-'Drilling Spec'!$C$28</f>
        <v>-688</v>
      </c>
      <c r="AQ106" t="e">
        <f t="shared" si="31"/>
        <v>#N/A</v>
      </c>
      <c r="AR106" t="e">
        <f>IF(X106=0,NA(),-'Drilling Spec'!$C$29*0.1)</f>
        <v>#N/A</v>
      </c>
      <c r="AS106" t="e">
        <f>IF(Y106=0,NA(),-'Drilling Spec'!$C$29*0.1)</f>
        <v>#N/A</v>
      </c>
      <c r="AT106" t="e">
        <f>IF(AB106=0,NA(),-'Drilling Spec'!$C$29*0.2)</f>
        <v>#N/A</v>
      </c>
      <c r="AU106" t="e">
        <f>IF(AC106=0,NA(),-'Drilling Spec'!$C$29*0.2)</f>
        <v>#N/A</v>
      </c>
      <c r="AV106" t="e">
        <f>IF(AH106=0,NA(),-'Drilling Spec'!$C$29*0.3)</f>
        <v>#N/A</v>
      </c>
      <c r="AW106" t="e">
        <f>IF(AI106=0,NA(),-'Drilling Spec'!$C$29*0.3)</f>
        <v>#N/A</v>
      </c>
      <c r="AX106" s="29">
        <f t="shared" si="32"/>
        <v>4.6120325203252044</v>
      </c>
      <c r="AY106" s="29">
        <f t="shared" si="33"/>
        <v>41.806748981853701</v>
      </c>
      <c r="AZ106" s="29">
        <f t="shared" si="37"/>
        <v>0</v>
      </c>
    </row>
    <row r="107" spans="1:52" x14ac:dyDescent="0.35">
      <c r="A107" s="28">
        <f t="shared" si="42"/>
        <v>46077</v>
      </c>
      <c r="B107" t="str">
        <f t="shared" si="20"/>
        <v>Tue</v>
      </c>
      <c r="C107" s="10"/>
      <c r="D107" s="10"/>
      <c r="E107" s="4">
        <f t="shared" si="21"/>
        <v>0</v>
      </c>
      <c r="F107" s="4">
        <f t="shared" si="22"/>
        <v>808</v>
      </c>
      <c r="G107" s="4">
        <f t="shared" si="23"/>
        <v>0</v>
      </c>
      <c r="H107" s="15">
        <f>(SQRT(4*I106*I106*V*V + 'Drilling Spec'!$C$42*I106 + W*('Drilling Spec'!$C$43 + 2*l*V*(s*W + 2*V*G107/(1+e)) + 'Drilling Spec'!$C$44)) - 'Drilling Spec'!$C$45)/(2*V)</f>
        <v>719.22438782276038</v>
      </c>
      <c r="I107" s="23">
        <f>IF(AND(OR(I106=0,I106=""),F107=0),IF(F108=0,"",'Drilling Spec'!$C$26),H107)</f>
        <v>719.22438782276038</v>
      </c>
      <c r="J107" s="16">
        <f>MAX(0,I107-'Drilling Spec'!$C$30)</f>
        <v>639.22438782276038</v>
      </c>
      <c r="K107" s="18">
        <f>IFERROR(J107/'Drilling Spec'!$C$31,0)</f>
        <v>42.614959188184024</v>
      </c>
      <c r="L107" s="21">
        <f t="shared" si="24"/>
        <v>0</v>
      </c>
      <c r="M107" s="4">
        <f t="shared" si="34"/>
        <v>131</v>
      </c>
      <c r="N107" s="21">
        <f t="shared" si="25"/>
        <v>0</v>
      </c>
      <c r="O107" s="18">
        <f>(SQRT(4*O106*O106*vB*vB + 'Drilling Spec'!$C$48*O106 + WB*('Drilling Spec'!$C$49 + 2*lB*vB*(sB*WB + 2*vB*N107/(1+eB)) + 'Drilling Spec'!$C$50)) - 'Drilling Spec'!$C$51)/(2*vB)</f>
        <v>720.36180283396209</v>
      </c>
      <c r="P107" s="18">
        <f>IFERROR(((S107-'Drilling Spec'!$C$30)/'Drilling Spec'!$C$31)*'Drilling Spec'!$C$32,0)</f>
        <v>38.421708170037725</v>
      </c>
      <c r="Q107" s="18">
        <f t="shared" si="35"/>
        <v>0</v>
      </c>
      <c r="R107" s="18"/>
      <c r="S107" s="26">
        <f>IF(AND(OR(T106=0,T106=""),M107=0),IF(M108=0,"",'Drilling Spec'!$C$30),O107)</f>
        <v>720.36180283396209</v>
      </c>
      <c r="U107" s="15">
        <f>E107*'Drilling Spec'!$C$22 + L107*'Drilling Spec'!$C$23</f>
        <v>0</v>
      </c>
      <c r="V107" s="15">
        <f t="shared" si="36"/>
        <v>19.387967479674792</v>
      </c>
      <c r="W107" s="15">
        <f t="shared" si="26"/>
        <v>4.6120325203252044</v>
      </c>
      <c r="X107" s="10"/>
      <c r="Y107" s="30">
        <f>IF(W107&lt;U108,'Drilling Spec'!$C$35,0)</f>
        <v>0</v>
      </c>
      <c r="AA107" s="4">
        <f t="shared" si="40"/>
        <v>46</v>
      </c>
      <c r="AB107" s="10"/>
      <c r="AC107" s="30">
        <f>IF('04-07-25-Scen6-Good,16hr'!K108&gt;'04-07-25-Scen6-Good,16hr'!AA107,'Drilling Spec'!$C$36,)</f>
        <v>0</v>
      </c>
      <c r="AE107" s="18">
        <f>(I107-'Drilling Spec'!$C$26)/'Drilling Spec'!$C$38</f>
        <v>108.20406463712673</v>
      </c>
      <c r="AF107" s="18">
        <f t="shared" si="27"/>
        <v>0</v>
      </c>
      <c r="AG107" s="34">
        <f t="shared" si="28"/>
        <v>0</v>
      </c>
      <c r="AH107" s="10"/>
      <c r="AI107" s="26">
        <f>IF(C107="Camp Closed",AG107,IF(AG107&lt;'Drilling Spec'!$C$39,,'Drilling Spec'!$C$39))</f>
        <v>0</v>
      </c>
      <c r="AL107" s="16">
        <f t="shared" si="29"/>
        <v>-719.22438782276038</v>
      </c>
      <c r="AM107" s="16">
        <f t="shared" si="30"/>
        <v>-720.36180283396209</v>
      </c>
      <c r="AN107">
        <f>-'Drilling Spec'!$C$29</f>
        <v>-720</v>
      </c>
      <c r="AO107">
        <f>-'Drilling Spec'!$C$27</f>
        <v>-624</v>
      </c>
      <c r="AP107">
        <f>-'Drilling Spec'!$C$28</f>
        <v>-688</v>
      </c>
      <c r="AQ107" t="e">
        <f t="shared" si="31"/>
        <v>#N/A</v>
      </c>
      <c r="AR107" t="e">
        <f>IF(X107=0,NA(),-'Drilling Spec'!$C$29*0.1)</f>
        <v>#N/A</v>
      </c>
      <c r="AS107" t="e">
        <f>IF(Y107=0,NA(),-'Drilling Spec'!$C$29*0.1)</f>
        <v>#N/A</v>
      </c>
      <c r="AT107" t="e">
        <f>IF(AB107=0,NA(),-'Drilling Spec'!$C$29*0.2)</f>
        <v>#N/A</v>
      </c>
      <c r="AU107" t="e">
        <f>IF(AC107=0,NA(),-'Drilling Spec'!$C$29*0.2)</f>
        <v>#N/A</v>
      </c>
      <c r="AV107" t="e">
        <f>IF(AH107=0,NA(),-'Drilling Spec'!$C$29*0.3)</f>
        <v>#N/A</v>
      </c>
      <c r="AW107" t="e">
        <f>IF(AI107=0,NA(),-'Drilling Spec'!$C$29*0.3)</f>
        <v>#N/A</v>
      </c>
      <c r="AX107" s="29">
        <f t="shared" si="32"/>
        <v>4.6120325203252044</v>
      </c>
      <c r="AY107" s="29">
        <f t="shared" si="33"/>
        <v>41.806748981853701</v>
      </c>
      <c r="AZ107" s="29">
        <f t="shared" si="37"/>
        <v>0</v>
      </c>
    </row>
    <row r="108" spans="1:52" x14ac:dyDescent="0.35">
      <c r="A108" s="28">
        <f t="shared" si="42"/>
        <v>46078</v>
      </c>
      <c r="B108" t="str">
        <f t="shared" si="20"/>
        <v>Wed</v>
      </c>
      <c r="C108" s="10"/>
      <c r="D108" s="10"/>
      <c r="E108" s="4">
        <f t="shared" si="21"/>
        <v>0</v>
      </c>
      <c r="F108" s="4">
        <f t="shared" si="22"/>
        <v>808</v>
      </c>
      <c r="G108" s="4">
        <f t="shared" si="23"/>
        <v>0</v>
      </c>
      <c r="H108" s="15">
        <f>(SQRT(4*I107*I107*V*V + 'Drilling Spec'!$C$42*I107 + W*('Drilling Spec'!$C$43 + 2*l*V*(s*W + 2*V*G108/(1+e)) + 'Drilling Spec'!$C$44)) - 'Drilling Spec'!$C$45)/(2*V)</f>
        <v>719.22438782276038</v>
      </c>
      <c r="I108" s="23">
        <f>IF(AND(OR(I107=0,I107=""),F108=0),IF(F109=0,"",'Drilling Spec'!$C$26),H108)</f>
        <v>719.22438782276038</v>
      </c>
      <c r="J108" s="16">
        <f>MAX(0,I108-'Drilling Spec'!$C$30)</f>
        <v>639.22438782276038</v>
      </c>
      <c r="K108" s="18">
        <f>IFERROR(J108/'Drilling Spec'!$C$31,0)</f>
        <v>42.614959188184024</v>
      </c>
      <c r="L108" s="21">
        <f t="shared" si="24"/>
        <v>0</v>
      </c>
      <c r="M108" s="4">
        <f t="shared" si="34"/>
        <v>131</v>
      </c>
      <c r="N108" s="21">
        <f t="shared" si="25"/>
        <v>0</v>
      </c>
      <c r="O108" s="18">
        <f>(SQRT(4*O107*O107*vB*vB + 'Drilling Spec'!$C$48*O107 + WB*('Drilling Spec'!$C$49 + 2*lB*vB*(sB*WB + 2*vB*N108/(1+eB)) + 'Drilling Spec'!$C$50)) - 'Drilling Spec'!$C$51)/(2*vB)</f>
        <v>720.36180283396209</v>
      </c>
      <c r="P108" s="18">
        <f>IFERROR(((S108-'Drilling Spec'!$C$30)/'Drilling Spec'!$C$31)*'Drilling Spec'!$C$32,0)</f>
        <v>38.421708170037725</v>
      </c>
      <c r="Q108" s="18">
        <f t="shared" si="35"/>
        <v>0</v>
      </c>
      <c r="R108" s="18"/>
      <c r="S108" s="26">
        <f>IF(AND(OR(T107=0,T107=""),M108=0),IF(M109=0,"",'Drilling Spec'!$C$30),O108)</f>
        <v>720.36180283396209</v>
      </c>
      <c r="U108" s="15">
        <f>E108*'Drilling Spec'!$C$22 + L108*'Drilling Spec'!$C$23</f>
        <v>0</v>
      </c>
      <c r="V108" s="15">
        <f t="shared" si="36"/>
        <v>19.387967479674792</v>
      </c>
      <c r="W108" s="15">
        <f t="shared" si="26"/>
        <v>4.6120325203252044</v>
      </c>
      <c r="X108" s="10"/>
      <c r="Y108" s="30">
        <f>IF(W108&lt;U109,'Drilling Spec'!$C$35,0)</f>
        <v>0</v>
      </c>
      <c r="AA108" s="4">
        <f t="shared" si="40"/>
        <v>46</v>
      </c>
      <c r="AB108" s="10"/>
      <c r="AC108" s="30">
        <f>IF('04-07-25-Scen6-Good,16hr'!K109&gt;'04-07-25-Scen6-Good,16hr'!AA108,'Drilling Spec'!$C$36,)</f>
        <v>0</v>
      </c>
      <c r="AE108" s="18">
        <f>(I108-'Drilling Spec'!$C$26)/'Drilling Spec'!$C$38</f>
        <v>108.20406463712673</v>
      </c>
      <c r="AF108" s="18">
        <f t="shared" si="27"/>
        <v>0</v>
      </c>
      <c r="AG108" s="34">
        <f t="shared" si="28"/>
        <v>0</v>
      </c>
      <c r="AH108" s="10"/>
      <c r="AI108" s="26">
        <f>IF(C108="Camp Closed",AG108,IF(AG108&lt;'Drilling Spec'!$C$39,,'Drilling Spec'!$C$39))</f>
        <v>0</v>
      </c>
      <c r="AL108" s="16">
        <f t="shared" si="29"/>
        <v>-719.22438782276038</v>
      </c>
      <c r="AM108" s="16">
        <f t="shared" si="30"/>
        <v>-720.36180283396209</v>
      </c>
      <c r="AN108">
        <f>-'Drilling Spec'!$C$29</f>
        <v>-720</v>
      </c>
      <c r="AO108">
        <f>-'Drilling Spec'!$C$27</f>
        <v>-624</v>
      </c>
      <c r="AP108">
        <f>-'Drilling Spec'!$C$28</f>
        <v>-688</v>
      </c>
      <c r="AQ108" t="e">
        <f t="shared" si="31"/>
        <v>#N/A</v>
      </c>
      <c r="AR108" t="e">
        <f>IF(X108=0,NA(),-'Drilling Spec'!$C$29*0.1)</f>
        <v>#N/A</v>
      </c>
      <c r="AS108" t="e">
        <f>IF(Y108=0,NA(),-'Drilling Spec'!$C$29*0.1)</f>
        <v>#N/A</v>
      </c>
      <c r="AT108" t="e">
        <f>IF(AB108=0,NA(),-'Drilling Spec'!$C$29*0.2)</f>
        <v>#N/A</v>
      </c>
      <c r="AU108" t="e">
        <f>IF(AC108=0,NA(),-'Drilling Spec'!$C$29*0.2)</f>
        <v>#N/A</v>
      </c>
      <c r="AV108" t="e">
        <f>IF(AH108=0,NA(),-'Drilling Spec'!$C$29*0.3)</f>
        <v>#N/A</v>
      </c>
      <c r="AW108" t="e">
        <f>IF(AI108=0,NA(),-'Drilling Spec'!$C$29*0.3)</f>
        <v>#N/A</v>
      </c>
      <c r="AX108" s="29">
        <f t="shared" si="32"/>
        <v>4.6120325203252044</v>
      </c>
      <c r="AY108" s="29">
        <f t="shared" si="33"/>
        <v>41.806748981853701</v>
      </c>
      <c r="AZ108" s="29">
        <f t="shared" si="37"/>
        <v>0</v>
      </c>
    </row>
    <row r="109" spans="1:52" x14ac:dyDescent="0.35">
      <c r="A109" s="28">
        <f t="shared" si="42"/>
        <v>46079</v>
      </c>
      <c r="B109" t="str">
        <f t="shared" si="20"/>
        <v>Thu</v>
      </c>
      <c r="C109" s="10"/>
      <c r="D109" s="10"/>
      <c r="E109" s="4">
        <f t="shared" si="21"/>
        <v>0</v>
      </c>
      <c r="F109" s="4">
        <f t="shared" si="22"/>
        <v>808</v>
      </c>
      <c r="G109" s="4">
        <f t="shared" si="23"/>
        <v>0</v>
      </c>
      <c r="H109" s="15">
        <f>(SQRT(4*I108*I108*V*V + 'Drilling Spec'!$C$42*I108 + W*('Drilling Spec'!$C$43 + 2*l*V*(s*W + 2*V*G109/(1+e)) + 'Drilling Spec'!$C$44)) - 'Drilling Spec'!$C$45)/(2*V)</f>
        <v>719.22438782276038</v>
      </c>
      <c r="I109" s="23">
        <f>IF(AND(OR(I108=0,I108=""),F109=0),IF(F110=0,"",'Drilling Spec'!$C$26),H109)</f>
        <v>719.22438782276038</v>
      </c>
      <c r="J109" s="16">
        <f>MAX(0,I109-'Drilling Spec'!$C$30)</f>
        <v>639.22438782276038</v>
      </c>
      <c r="K109" s="18">
        <f>IFERROR(J109/'Drilling Spec'!$C$31,0)</f>
        <v>42.614959188184024</v>
      </c>
      <c r="L109" s="21">
        <f t="shared" si="24"/>
        <v>0</v>
      </c>
      <c r="M109" s="4">
        <f t="shared" si="34"/>
        <v>131</v>
      </c>
      <c r="N109" s="21">
        <f t="shared" si="25"/>
        <v>0</v>
      </c>
      <c r="O109" s="18">
        <f>(SQRT(4*O108*O108*vB*vB + 'Drilling Spec'!$C$48*O108 + WB*('Drilling Spec'!$C$49 + 2*lB*vB*(sB*WB + 2*vB*N109/(1+eB)) + 'Drilling Spec'!$C$50)) - 'Drilling Spec'!$C$51)/(2*vB)</f>
        <v>720.36180283396209</v>
      </c>
      <c r="P109" s="18">
        <f>IFERROR(((S109-'Drilling Spec'!$C$30)/'Drilling Spec'!$C$31)*'Drilling Spec'!$C$32,0)</f>
        <v>38.421708170037725</v>
      </c>
      <c r="Q109" s="18">
        <f t="shared" si="35"/>
        <v>0</v>
      </c>
      <c r="R109" s="18"/>
      <c r="S109" s="26">
        <f>IF(AND(OR(T108=0,T108=""),M109=0),IF(M110=0,"",'Drilling Spec'!$C$30),O109)</f>
        <v>720.36180283396209</v>
      </c>
      <c r="U109" s="15">
        <f>E109*'Drilling Spec'!$C$22 + L109*'Drilling Spec'!$C$23</f>
        <v>0</v>
      </c>
      <c r="V109" s="15">
        <f t="shared" si="36"/>
        <v>19.387967479674792</v>
      </c>
      <c r="W109" s="15">
        <f t="shared" si="26"/>
        <v>4.6120325203252044</v>
      </c>
      <c r="X109" s="10"/>
      <c r="Y109" s="30">
        <f>IF(W109&lt;U110,'Drilling Spec'!$C$35,0)</f>
        <v>0</v>
      </c>
      <c r="AA109" s="4">
        <f t="shared" si="40"/>
        <v>46</v>
      </c>
      <c r="AB109" s="10"/>
      <c r="AC109" s="30">
        <f>IF('04-07-25-Scen6-Good,16hr'!K110&gt;'04-07-25-Scen6-Good,16hr'!AA109,'Drilling Spec'!$C$36,)</f>
        <v>0</v>
      </c>
      <c r="AE109" s="18">
        <f>(I109-'Drilling Spec'!$C$26)/'Drilling Spec'!$C$38</f>
        <v>108.20406463712673</v>
      </c>
      <c r="AF109" s="18">
        <f t="shared" si="27"/>
        <v>0</v>
      </c>
      <c r="AG109" s="34">
        <f t="shared" si="28"/>
        <v>0</v>
      </c>
      <c r="AH109" s="10"/>
      <c r="AI109" s="26">
        <f>IF(C109="Camp Closed",AG109,IF(AG109&lt;'Drilling Spec'!$C$39,,'Drilling Spec'!$C$39))</f>
        <v>0</v>
      </c>
      <c r="AL109" s="16">
        <f t="shared" si="29"/>
        <v>-719.22438782276038</v>
      </c>
      <c r="AM109" s="16">
        <f t="shared" si="30"/>
        <v>-720.36180283396209</v>
      </c>
      <c r="AN109">
        <f>-'Drilling Spec'!$C$29</f>
        <v>-720</v>
      </c>
      <c r="AO109">
        <f>-'Drilling Spec'!$C$27</f>
        <v>-624</v>
      </c>
      <c r="AP109">
        <f>-'Drilling Spec'!$C$28</f>
        <v>-688</v>
      </c>
      <c r="AQ109" t="e">
        <f t="shared" si="31"/>
        <v>#N/A</v>
      </c>
      <c r="AR109" t="e">
        <f>IF(X109=0,NA(),-'Drilling Spec'!$C$29*0.1)</f>
        <v>#N/A</v>
      </c>
      <c r="AS109" t="e">
        <f>IF(Y109=0,NA(),-'Drilling Spec'!$C$29*0.1)</f>
        <v>#N/A</v>
      </c>
      <c r="AT109" t="e">
        <f>IF(AB109=0,NA(),-'Drilling Spec'!$C$29*0.2)</f>
        <v>#N/A</v>
      </c>
      <c r="AU109" t="e">
        <f>IF(AC109=0,NA(),-'Drilling Spec'!$C$29*0.2)</f>
        <v>#N/A</v>
      </c>
      <c r="AV109" t="e">
        <f>IF(AH109=0,NA(),-'Drilling Spec'!$C$29*0.3)</f>
        <v>#N/A</v>
      </c>
      <c r="AW109" t="e">
        <f>IF(AI109=0,NA(),-'Drilling Spec'!$C$29*0.3)</f>
        <v>#N/A</v>
      </c>
      <c r="AX109" s="29">
        <f t="shared" si="32"/>
        <v>4.6120325203252044</v>
      </c>
      <c r="AY109" s="29">
        <f t="shared" si="33"/>
        <v>41.806748981853701</v>
      </c>
      <c r="AZ109" s="29">
        <f t="shared" si="37"/>
        <v>0</v>
      </c>
    </row>
    <row r="110" spans="1:52" x14ac:dyDescent="0.35">
      <c r="A110" s="28">
        <f t="shared" si="42"/>
        <v>46080</v>
      </c>
      <c r="B110" t="str">
        <f t="shared" si="20"/>
        <v>Fri</v>
      </c>
      <c r="C110" s="10"/>
      <c r="D110" s="10"/>
      <c r="E110" s="4">
        <f t="shared" si="21"/>
        <v>0</v>
      </c>
      <c r="F110" s="4">
        <f t="shared" si="22"/>
        <v>808</v>
      </c>
      <c r="G110" s="4">
        <f t="shared" si="23"/>
        <v>0</v>
      </c>
      <c r="H110" s="15">
        <f>(SQRT(4*I109*I109*V*V + 'Drilling Spec'!$C$42*I109 + W*('Drilling Spec'!$C$43 + 2*l*V*(s*W + 2*V*G110/(1+e)) + 'Drilling Spec'!$C$44)) - 'Drilling Spec'!$C$45)/(2*V)</f>
        <v>719.22438782276038</v>
      </c>
      <c r="I110" s="23">
        <f>IF(AND(OR(I109=0,I109=""),F110=0),IF(F111=0,"",'Drilling Spec'!$C$26),H110)</f>
        <v>719.22438782276038</v>
      </c>
      <c r="J110" s="16">
        <f>MAX(0,I110-'Drilling Spec'!$C$30)</f>
        <v>639.22438782276038</v>
      </c>
      <c r="K110" s="18">
        <f>IFERROR(J110/'Drilling Spec'!$C$31,0)</f>
        <v>42.614959188184024</v>
      </c>
      <c r="L110" s="21">
        <f t="shared" si="24"/>
        <v>0</v>
      </c>
      <c r="M110" s="4">
        <f t="shared" si="34"/>
        <v>131</v>
      </c>
      <c r="N110" s="21">
        <f t="shared" si="25"/>
        <v>0</v>
      </c>
      <c r="O110" s="18">
        <f>(SQRT(4*O109*O109*vB*vB + 'Drilling Spec'!$C$48*O109 + WB*('Drilling Spec'!$C$49 + 2*lB*vB*(sB*WB + 2*vB*N110/(1+eB)) + 'Drilling Spec'!$C$50)) - 'Drilling Spec'!$C$51)/(2*vB)</f>
        <v>720.36180283396209</v>
      </c>
      <c r="P110" s="18">
        <f>IFERROR(((S110-'Drilling Spec'!$C$30)/'Drilling Spec'!$C$31)*'Drilling Spec'!$C$32,0)</f>
        <v>38.421708170037725</v>
      </c>
      <c r="Q110" s="18">
        <f t="shared" si="35"/>
        <v>0</v>
      </c>
      <c r="R110" s="18"/>
      <c r="S110" s="26">
        <f>IF(AND(OR(T109=0,T109=""),M110=0),IF(M111=0,"",'Drilling Spec'!$C$30),O110)</f>
        <v>720.36180283396209</v>
      </c>
      <c r="U110" s="15">
        <f>E110*'Drilling Spec'!$C$22 + L110*'Drilling Spec'!$C$23</f>
        <v>0</v>
      </c>
      <c r="V110" s="15">
        <f t="shared" si="36"/>
        <v>19.387967479674792</v>
      </c>
      <c r="W110" s="15">
        <f t="shared" si="26"/>
        <v>4.6120325203252044</v>
      </c>
      <c r="X110" s="10"/>
      <c r="Y110" s="30">
        <f>IF(W110&lt;U111,'Drilling Spec'!$C$35,0)</f>
        <v>0</v>
      </c>
      <c r="AA110" s="4">
        <f t="shared" si="40"/>
        <v>46</v>
      </c>
      <c r="AB110" s="10"/>
      <c r="AC110" s="30">
        <f>IF('04-07-25-Scen6-Good,16hr'!K111&gt;'04-07-25-Scen6-Good,16hr'!AA110,'Drilling Spec'!$C$36,)</f>
        <v>0</v>
      </c>
      <c r="AE110" s="18">
        <f>(I110-'Drilling Spec'!$C$26)/'Drilling Spec'!$C$38</f>
        <v>108.20406463712673</v>
      </c>
      <c r="AF110" s="18">
        <f t="shared" si="27"/>
        <v>0</v>
      </c>
      <c r="AG110" s="34">
        <f t="shared" si="28"/>
        <v>0</v>
      </c>
      <c r="AH110" s="10"/>
      <c r="AI110" s="26">
        <f>IF(C110="Camp Closed",AG110,IF(AG110&lt;'Drilling Spec'!$C$39,,'Drilling Spec'!$C$39))</f>
        <v>0</v>
      </c>
      <c r="AL110" s="16">
        <f t="shared" si="29"/>
        <v>-719.22438782276038</v>
      </c>
      <c r="AM110" s="16">
        <f t="shared" si="30"/>
        <v>-720.36180283396209</v>
      </c>
      <c r="AN110">
        <f>-'Drilling Spec'!$C$29</f>
        <v>-720</v>
      </c>
      <c r="AO110">
        <f>-'Drilling Spec'!$C$27</f>
        <v>-624</v>
      </c>
      <c r="AP110">
        <f>-'Drilling Spec'!$C$28</f>
        <v>-688</v>
      </c>
      <c r="AQ110" t="e">
        <f t="shared" si="31"/>
        <v>#N/A</v>
      </c>
      <c r="AR110" t="e">
        <f>IF(X110=0,NA(),-'Drilling Spec'!$C$29*0.1)</f>
        <v>#N/A</v>
      </c>
      <c r="AS110" t="e">
        <f>IF(Y110=0,NA(),-'Drilling Spec'!$C$29*0.1)</f>
        <v>#N/A</v>
      </c>
      <c r="AT110" t="e">
        <f>IF(AB110=0,NA(),-'Drilling Spec'!$C$29*0.2)</f>
        <v>#N/A</v>
      </c>
      <c r="AU110" t="e">
        <f>IF(AC110=0,NA(),-'Drilling Spec'!$C$29*0.2)</f>
        <v>#N/A</v>
      </c>
      <c r="AV110" t="e">
        <f>IF(AH110=0,NA(),-'Drilling Spec'!$C$29*0.3)</f>
        <v>#N/A</v>
      </c>
      <c r="AW110" t="e">
        <f>IF(AI110=0,NA(),-'Drilling Spec'!$C$29*0.3)</f>
        <v>#N/A</v>
      </c>
      <c r="AX110" s="29">
        <f t="shared" si="32"/>
        <v>4.6120325203252044</v>
      </c>
      <c r="AY110" s="29">
        <f t="shared" si="33"/>
        <v>41.806748981853701</v>
      </c>
      <c r="AZ110" s="29">
        <f t="shared" si="37"/>
        <v>0</v>
      </c>
    </row>
    <row r="111" spans="1:52" x14ac:dyDescent="0.35">
      <c r="A111" s="28">
        <f t="shared" si="42"/>
        <v>46081</v>
      </c>
      <c r="B111" t="str">
        <f t="shared" si="20"/>
        <v>Sat</v>
      </c>
      <c r="C111" s="10"/>
      <c r="D111" s="10"/>
      <c r="E111" s="4">
        <f t="shared" si="21"/>
        <v>0</v>
      </c>
      <c r="F111" s="4">
        <f t="shared" si="22"/>
        <v>808</v>
      </c>
      <c r="G111" s="4">
        <f t="shared" si="23"/>
        <v>0</v>
      </c>
      <c r="H111" s="15">
        <f>(SQRT(4*I110*I110*V*V + 'Drilling Spec'!$C$42*I110 + W*('Drilling Spec'!$C$43 + 2*l*V*(s*W + 2*V*G111/(1+e)) + 'Drilling Spec'!$C$44)) - 'Drilling Spec'!$C$45)/(2*V)</f>
        <v>719.22438782276038</v>
      </c>
      <c r="I111" s="23">
        <f>IF(AND(OR(I110=0,I110=""),F111=0),IF(F112=0,"",'Drilling Spec'!$C$26),H111)</f>
        <v>719.22438782276038</v>
      </c>
      <c r="J111" s="16">
        <f>MAX(0,I111-'Drilling Spec'!$C$30)</f>
        <v>639.22438782276038</v>
      </c>
      <c r="K111" s="18">
        <f>IFERROR(J111/'Drilling Spec'!$C$31,0)</f>
        <v>42.614959188184024</v>
      </c>
      <c r="L111" s="21">
        <f t="shared" si="24"/>
        <v>0</v>
      </c>
      <c r="M111" s="4">
        <f t="shared" si="34"/>
        <v>131</v>
      </c>
      <c r="N111" s="21">
        <f t="shared" si="25"/>
        <v>0</v>
      </c>
      <c r="O111" s="18">
        <f>(SQRT(4*O110*O110*vB*vB + 'Drilling Spec'!$C$48*O110 + WB*('Drilling Spec'!$C$49 + 2*lB*vB*(sB*WB + 2*vB*N111/(1+eB)) + 'Drilling Spec'!$C$50)) - 'Drilling Spec'!$C$51)/(2*vB)</f>
        <v>720.36180283396209</v>
      </c>
      <c r="P111" s="18">
        <f>IFERROR(((S111-'Drilling Spec'!$C$30)/'Drilling Spec'!$C$31)*'Drilling Spec'!$C$32,0)</f>
        <v>38.421708170037725</v>
      </c>
      <c r="Q111" s="18">
        <f t="shared" si="35"/>
        <v>0</v>
      </c>
      <c r="R111" s="18"/>
      <c r="S111" s="26">
        <f>IF(AND(OR(T110=0,T110=""),M111=0),IF(M112=0,"",'Drilling Spec'!$C$30),O111)</f>
        <v>720.36180283396209</v>
      </c>
      <c r="U111" s="15">
        <f>E111*'Drilling Spec'!$C$22 + L111*'Drilling Spec'!$C$23</f>
        <v>0</v>
      </c>
      <c r="V111" s="15">
        <f t="shared" si="36"/>
        <v>19.387967479674792</v>
      </c>
      <c r="W111" s="15">
        <f t="shared" si="26"/>
        <v>4.6120325203252044</v>
      </c>
      <c r="X111" s="10"/>
      <c r="Y111" s="30">
        <f>IF(W111&lt;U112,'Drilling Spec'!$C$35,0)</f>
        <v>0</v>
      </c>
      <c r="AA111" s="4">
        <f t="shared" si="40"/>
        <v>46</v>
      </c>
      <c r="AB111" s="10"/>
      <c r="AC111" s="30">
        <f>IF('04-07-25-Scen6-Good,16hr'!K112&gt;'04-07-25-Scen6-Good,16hr'!AA111,'Drilling Spec'!$C$36,)</f>
        <v>0</v>
      </c>
      <c r="AE111" s="18">
        <f>(I111-'Drilling Spec'!$C$26)/'Drilling Spec'!$C$38</f>
        <v>108.20406463712673</v>
      </c>
      <c r="AF111" s="18">
        <f t="shared" si="27"/>
        <v>0</v>
      </c>
      <c r="AG111" s="34">
        <f t="shared" si="28"/>
        <v>0</v>
      </c>
      <c r="AH111" s="10"/>
      <c r="AI111" s="26">
        <f>IF(C111="Camp Closed",AG111,IF(AG111&lt;'Drilling Spec'!$C$39,,'Drilling Spec'!$C$39))</f>
        <v>0</v>
      </c>
      <c r="AL111" s="16">
        <f t="shared" si="29"/>
        <v>-719.22438782276038</v>
      </c>
      <c r="AM111" s="16">
        <f t="shared" si="30"/>
        <v>-720.36180283396209</v>
      </c>
      <c r="AN111">
        <f>-'Drilling Spec'!$C$29</f>
        <v>-720</v>
      </c>
      <c r="AO111">
        <f>-'Drilling Spec'!$C$27</f>
        <v>-624</v>
      </c>
      <c r="AP111">
        <f>-'Drilling Spec'!$C$28</f>
        <v>-688</v>
      </c>
      <c r="AQ111" t="e">
        <f t="shared" si="31"/>
        <v>#N/A</v>
      </c>
      <c r="AR111" t="e">
        <f>IF(X111=0,NA(),-'Drilling Spec'!$C$29*0.1)</f>
        <v>#N/A</v>
      </c>
      <c r="AS111" t="e">
        <f>IF(Y111=0,NA(),-'Drilling Spec'!$C$29*0.1)</f>
        <v>#N/A</v>
      </c>
      <c r="AT111" t="e">
        <f>IF(AB111=0,NA(),-'Drilling Spec'!$C$29*0.2)</f>
        <v>#N/A</v>
      </c>
      <c r="AU111" t="e">
        <f>IF(AC111=0,NA(),-'Drilling Spec'!$C$29*0.2)</f>
        <v>#N/A</v>
      </c>
      <c r="AV111" t="e">
        <f>IF(AH111=0,NA(),-'Drilling Spec'!$C$29*0.3)</f>
        <v>#N/A</v>
      </c>
      <c r="AW111" t="e">
        <f>IF(AI111=0,NA(),-'Drilling Spec'!$C$29*0.3)</f>
        <v>#N/A</v>
      </c>
      <c r="AX111" s="29">
        <f t="shared" si="32"/>
        <v>4.6120325203252044</v>
      </c>
      <c r="AY111" s="29">
        <f t="shared" si="33"/>
        <v>41.806748981853701</v>
      </c>
      <c r="AZ111" s="29">
        <f t="shared" si="37"/>
        <v>0</v>
      </c>
    </row>
    <row r="112" spans="1:52" x14ac:dyDescent="0.35">
      <c r="A112" s="28">
        <f t="shared" si="42"/>
        <v>46082</v>
      </c>
      <c r="B112" t="str">
        <f t="shared" si="20"/>
        <v>Sun</v>
      </c>
      <c r="C112" s="10"/>
      <c r="D112" s="10"/>
      <c r="E112" s="4">
        <f t="shared" si="21"/>
        <v>0</v>
      </c>
      <c r="F112" s="4">
        <f t="shared" si="22"/>
        <v>808</v>
      </c>
      <c r="G112" s="4">
        <f t="shared" si="23"/>
        <v>0</v>
      </c>
      <c r="H112" s="15">
        <f>(SQRT(4*I111*I111*V*V + 'Drilling Spec'!$C$42*I111 + W*('Drilling Spec'!$C$43 + 2*l*V*(s*W + 2*V*G112/(1+e)) + 'Drilling Spec'!$C$44)) - 'Drilling Spec'!$C$45)/(2*V)</f>
        <v>719.22438782276038</v>
      </c>
      <c r="I112" s="23">
        <f>IF(AND(OR(I111=0,I111=""),F112=0),IF(F113=0,"",'Drilling Spec'!$C$26),H112)</f>
        <v>719.22438782276038</v>
      </c>
      <c r="J112" s="16">
        <f>MAX(0,I112-'Drilling Spec'!$C$30)</f>
        <v>639.22438782276038</v>
      </c>
      <c r="K112" s="18">
        <f>IFERROR(J112/'Drilling Spec'!$C$31,0)</f>
        <v>42.614959188184024</v>
      </c>
      <c r="L112" s="21">
        <f t="shared" si="24"/>
        <v>0</v>
      </c>
      <c r="M112" s="4">
        <f t="shared" si="34"/>
        <v>131</v>
      </c>
      <c r="N112" s="21">
        <f t="shared" si="25"/>
        <v>0</v>
      </c>
      <c r="O112" s="18">
        <f>(SQRT(4*O111*O111*vB*vB + 'Drilling Spec'!$C$48*O111 + WB*('Drilling Spec'!$C$49 + 2*lB*vB*(sB*WB + 2*vB*N112/(1+eB)) + 'Drilling Spec'!$C$50)) - 'Drilling Spec'!$C$51)/(2*vB)</f>
        <v>720.36180283396209</v>
      </c>
      <c r="P112" s="18">
        <f>IFERROR(((S112-'Drilling Spec'!$C$30)/'Drilling Spec'!$C$31)*'Drilling Spec'!$C$32,0)</f>
        <v>38.421708170037725</v>
      </c>
      <c r="Q112" s="18">
        <f t="shared" si="35"/>
        <v>0</v>
      </c>
      <c r="R112" s="18"/>
      <c r="S112" s="26">
        <f>IF(AND(OR(T111=0,T111=""),M112=0),IF(M113=0,"",'Drilling Spec'!$C$30),O112)</f>
        <v>720.36180283396209</v>
      </c>
      <c r="U112" s="15">
        <f>E112*'Drilling Spec'!$C$22 + L112*'Drilling Spec'!$C$23</f>
        <v>0</v>
      </c>
      <c r="V112" s="15">
        <f t="shared" si="36"/>
        <v>19.387967479674792</v>
      </c>
      <c r="W112" s="15">
        <f t="shared" si="26"/>
        <v>4.6120325203252044</v>
      </c>
      <c r="X112" s="10"/>
      <c r="Y112" s="30">
        <f>IF(W112&lt;U113,'Drilling Spec'!$C$35,0)</f>
        <v>0</v>
      </c>
      <c r="AA112" s="4">
        <f t="shared" si="40"/>
        <v>46</v>
      </c>
      <c r="AB112" s="10"/>
      <c r="AC112" s="30">
        <f>IF('04-07-25-Scen6-Good,16hr'!K113&gt;'04-07-25-Scen6-Good,16hr'!AA112,'Drilling Spec'!$C$36,)</f>
        <v>0</v>
      </c>
      <c r="AE112" s="18">
        <f>(I112-'Drilling Spec'!$C$26)/'Drilling Spec'!$C$38</f>
        <v>108.20406463712673</v>
      </c>
      <c r="AF112" s="18">
        <f t="shared" si="27"/>
        <v>0</v>
      </c>
      <c r="AG112" s="34">
        <f t="shared" si="28"/>
        <v>0</v>
      </c>
      <c r="AH112" s="10"/>
      <c r="AI112" s="26">
        <f>IF(C112="Camp Closed",AG112,IF(AG112&lt;'Drilling Spec'!$C$39,,'Drilling Spec'!$C$39))</f>
        <v>0</v>
      </c>
      <c r="AL112" s="16">
        <f t="shared" si="29"/>
        <v>-719.22438782276038</v>
      </c>
      <c r="AM112" s="16">
        <f t="shared" si="30"/>
        <v>-720.36180283396209</v>
      </c>
      <c r="AN112">
        <f>-'Drilling Spec'!$C$29</f>
        <v>-720</v>
      </c>
      <c r="AO112">
        <f>-'Drilling Spec'!$C$27</f>
        <v>-624</v>
      </c>
      <c r="AP112">
        <f>-'Drilling Spec'!$C$28</f>
        <v>-688</v>
      </c>
      <c r="AQ112" t="e">
        <f t="shared" si="31"/>
        <v>#N/A</v>
      </c>
      <c r="AR112" t="e">
        <f>IF(X112=0,NA(),-'Drilling Spec'!$C$29*0.1)</f>
        <v>#N/A</v>
      </c>
      <c r="AS112" t="e">
        <f>IF(Y112=0,NA(),-'Drilling Spec'!$C$29*0.1)</f>
        <v>#N/A</v>
      </c>
      <c r="AT112" t="e">
        <f>IF(AB112=0,NA(),-'Drilling Spec'!$C$29*0.2)</f>
        <v>#N/A</v>
      </c>
      <c r="AU112" t="e">
        <f>IF(AC112=0,NA(),-'Drilling Spec'!$C$29*0.2)</f>
        <v>#N/A</v>
      </c>
      <c r="AV112" t="e">
        <f>IF(AH112=0,NA(),-'Drilling Spec'!$C$29*0.3)</f>
        <v>#N/A</v>
      </c>
      <c r="AW112" t="e">
        <f>IF(AI112=0,NA(),-'Drilling Spec'!$C$29*0.3)</f>
        <v>#N/A</v>
      </c>
      <c r="AX112" s="29">
        <f t="shared" si="32"/>
        <v>4.6120325203252044</v>
      </c>
      <c r="AY112" s="29">
        <f t="shared" si="33"/>
        <v>41.806748981853701</v>
      </c>
      <c r="AZ112" s="29">
        <f t="shared" si="37"/>
        <v>0</v>
      </c>
    </row>
  </sheetData>
  <mergeCells count="24">
    <mergeCell ref="BT6:CA6"/>
    <mergeCell ref="BA1:BR1"/>
    <mergeCell ref="BT1:CA1"/>
    <mergeCell ref="BT3:BU3"/>
    <mergeCell ref="BW3:CA3"/>
    <mergeCell ref="BT4:CA5"/>
    <mergeCell ref="BU24:CA25"/>
    <mergeCell ref="BT8:CA10"/>
    <mergeCell ref="BU11:BV11"/>
    <mergeCell ref="BW11:CA11"/>
    <mergeCell ref="BU12:BV12"/>
    <mergeCell ref="BW12:CA12"/>
    <mergeCell ref="BU13:BV13"/>
    <mergeCell ref="BW13:CA13"/>
    <mergeCell ref="BU14:BV14"/>
    <mergeCell ref="BW14:CA14"/>
    <mergeCell ref="BU15:CA16"/>
    <mergeCell ref="BU17:CA18"/>
    <mergeCell ref="BU19:CA23"/>
    <mergeCell ref="BT26:CA30"/>
    <mergeCell ref="BU31:CA32"/>
    <mergeCell ref="BU33:CA34"/>
    <mergeCell ref="BT35:CA37"/>
    <mergeCell ref="BT38:CA3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8E50E-138A-403A-A8DD-45A09D91066D}">
  <dimension ref="A1:CA112"/>
  <sheetViews>
    <sheetView workbookViewId="0">
      <pane ySplit="1" topLeftCell="A2" activePane="bottomLeft" state="frozen"/>
      <selection pane="bottomLeft" activeCell="BA2" sqref="BA2"/>
    </sheetView>
  </sheetViews>
  <sheetFormatPr defaultRowHeight="14.5" x14ac:dyDescent="0.35"/>
  <cols>
    <col min="1" max="1" width="5.26953125" bestFit="1" customWidth="1"/>
    <col min="2" max="2" width="4.81640625" bestFit="1" customWidth="1"/>
    <col min="3" max="3" width="20" style="4" bestFit="1" customWidth="1"/>
    <col min="4" max="4" width="8.453125" style="4" bestFit="1" customWidth="1"/>
    <col min="5" max="5" width="7.54296875" style="4" hidden="1" customWidth="1"/>
    <col min="6" max="6" width="12.453125" style="4" hidden="1" customWidth="1"/>
    <col min="7" max="7" width="9.1796875" style="4" hidden="1" customWidth="1"/>
    <col min="8" max="8" width="12.453125" style="4" hidden="1" customWidth="1"/>
    <col min="9" max="9" width="8.7265625" style="4" hidden="1" customWidth="1"/>
    <col min="10" max="10" width="9.7265625" style="4" hidden="1" customWidth="1"/>
    <col min="11" max="11" width="8.453125" style="4" hidden="1" customWidth="1"/>
    <col min="12" max="14" width="7" style="4" hidden="1" customWidth="1"/>
    <col min="15" max="17" width="9.7265625" style="4" hidden="1" customWidth="1"/>
    <col min="18" max="18" width="1.453125" style="4" hidden="1" customWidth="1"/>
    <col min="19" max="19" width="10.1796875" style="4" hidden="1" customWidth="1"/>
    <col min="20" max="20" width="3.26953125" customWidth="1"/>
    <col min="21" max="23" width="9.7265625" hidden="1" customWidth="1"/>
    <col min="24" max="24" width="14.1796875" style="4" bestFit="1" customWidth="1"/>
    <col min="25" max="25" width="14" style="4" customWidth="1"/>
    <col min="26" max="26" width="2.453125" style="4" customWidth="1"/>
    <col min="27" max="27" width="9.54296875" style="4" hidden="1" customWidth="1"/>
    <col min="28" max="28" width="9.7265625" style="4" bestFit="1" customWidth="1"/>
    <col min="29" max="29" width="11.7265625" style="4" customWidth="1"/>
    <col min="30" max="30" width="1.453125" style="4" customWidth="1"/>
    <col min="31" max="32" width="9.1796875" style="4" hidden="1" customWidth="1"/>
    <col min="33" max="33" width="8" style="4" bestFit="1" customWidth="1"/>
    <col min="34" max="34" width="8.81640625" style="4" bestFit="1" customWidth="1"/>
    <col min="35" max="35" width="9.7265625" style="4" bestFit="1" customWidth="1"/>
    <col min="36" max="36" width="2.26953125" customWidth="1"/>
    <col min="37" max="37" width="9.1796875" hidden="1" customWidth="1"/>
    <col min="38" max="39" width="10" style="4" hidden="1" customWidth="1"/>
    <col min="40" max="50" width="9.1796875" hidden="1" customWidth="1"/>
    <col min="51" max="51" width="11.453125" hidden="1" customWidth="1"/>
    <col min="52" max="52" width="9.1796875" hidden="1" customWidth="1"/>
    <col min="53" max="53" width="16.26953125" bestFit="1" customWidth="1"/>
    <col min="54" max="54" width="10.453125" bestFit="1" customWidth="1"/>
    <col min="55" max="55" width="5.1796875" bestFit="1" customWidth="1"/>
    <col min="56" max="56" width="5" bestFit="1" customWidth="1"/>
    <col min="57" max="57" width="14" bestFit="1" customWidth="1"/>
    <col min="58" max="58" width="10.453125" bestFit="1" customWidth="1"/>
    <col min="59" max="59" width="4.453125" bestFit="1" customWidth="1"/>
    <col min="61" max="61" width="4.453125" bestFit="1" customWidth="1"/>
    <col min="71" max="71" width="0.54296875" customWidth="1"/>
    <col min="72" max="72" width="2" customWidth="1"/>
  </cols>
  <sheetData>
    <row r="1" spans="1:79" s="6" customFormat="1" ht="60" customHeight="1" x14ac:dyDescent="0.7">
      <c r="A1" s="6" t="s">
        <v>160</v>
      </c>
      <c r="B1" s="6" t="s">
        <v>6</v>
      </c>
      <c r="C1" s="6" t="s">
        <v>1</v>
      </c>
      <c r="D1" s="6" t="s">
        <v>5</v>
      </c>
      <c r="E1" s="13" t="s">
        <v>8</v>
      </c>
      <c r="F1" s="13" t="s">
        <v>28</v>
      </c>
      <c r="G1" s="13" t="s">
        <v>51</v>
      </c>
      <c r="H1" s="13" t="s">
        <v>49</v>
      </c>
      <c r="I1" s="6" t="s">
        <v>48</v>
      </c>
      <c r="J1" s="13" t="s">
        <v>103</v>
      </c>
      <c r="K1" s="6" t="s">
        <v>11</v>
      </c>
      <c r="L1" s="13" t="s">
        <v>101</v>
      </c>
      <c r="M1" s="13" t="s">
        <v>107</v>
      </c>
      <c r="N1" s="13" t="s">
        <v>102</v>
      </c>
      <c r="O1" s="13" t="s">
        <v>105</v>
      </c>
      <c r="P1" s="13" t="s">
        <v>163</v>
      </c>
      <c r="Q1" s="13" t="s">
        <v>164</v>
      </c>
      <c r="R1" s="13"/>
      <c r="S1" s="6" t="s">
        <v>106</v>
      </c>
      <c r="U1" s="13" t="s">
        <v>155</v>
      </c>
      <c r="V1" s="13" t="s">
        <v>156</v>
      </c>
      <c r="W1" s="13" t="s">
        <v>157</v>
      </c>
      <c r="X1" s="6" t="s">
        <v>158</v>
      </c>
      <c r="Y1" s="6" t="s">
        <v>159</v>
      </c>
      <c r="AA1" s="13" t="s">
        <v>75</v>
      </c>
      <c r="AB1" s="6" t="s">
        <v>118</v>
      </c>
      <c r="AC1" s="6" t="s">
        <v>119</v>
      </c>
      <c r="AE1" s="13" t="s">
        <v>122</v>
      </c>
      <c r="AF1" s="13" t="s">
        <v>125</v>
      </c>
      <c r="AG1" s="13" t="s">
        <v>124</v>
      </c>
      <c r="AH1" s="6" t="s">
        <v>123</v>
      </c>
      <c r="AI1" s="6" t="s">
        <v>126</v>
      </c>
      <c r="AJ1"/>
      <c r="AK1" s="13" t="s">
        <v>69</v>
      </c>
      <c r="AL1" s="13" t="s">
        <v>67</v>
      </c>
      <c r="AM1" s="13" t="s">
        <v>104</v>
      </c>
      <c r="AN1" s="13" t="s">
        <v>54</v>
      </c>
      <c r="AO1" s="13" t="s">
        <v>65</v>
      </c>
      <c r="AP1" s="13" t="s">
        <v>66</v>
      </c>
      <c r="AQ1" s="13" t="s">
        <v>115</v>
      </c>
      <c r="AR1" s="13" t="s">
        <v>152</v>
      </c>
      <c r="AS1" s="13" t="s">
        <v>153</v>
      </c>
      <c r="AT1" s="13" t="s">
        <v>121</v>
      </c>
      <c r="AU1" s="13" t="s">
        <v>120</v>
      </c>
      <c r="AV1" s="13" t="s">
        <v>127</v>
      </c>
      <c r="AW1" s="13" t="s">
        <v>128</v>
      </c>
      <c r="AX1" s="13" t="s">
        <v>161</v>
      </c>
      <c r="AY1" s="13" t="s">
        <v>166</v>
      </c>
      <c r="AZ1" s="13" t="s">
        <v>162</v>
      </c>
      <c r="BA1" s="37" t="s">
        <v>196</v>
      </c>
      <c r="BB1" s="37"/>
      <c r="BC1" s="37"/>
      <c r="BD1" s="37"/>
      <c r="BE1" s="37"/>
      <c r="BF1" s="37"/>
      <c r="BG1" s="37"/>
      <c r="BH1" s="37"/>
      <c r="BI1" s="37"/>
      <c r="BJ1" s="37"/>
      <c r="BK1" s="37"/>
      <c r="BL1" s="37"/>
      <c r="BM1" s="37"/>
      <c r="BN1" s="37"/>
      <c r="BO1" s="37"/>
      <c r="BP1" s="37"/>
      <c r="BQ1" s="37"/>
      <c r="BR1" s="37"/>
      <c r="BT1" s="46" t="s">
        <v>173</v>
      </c>
      <c r="BU1" s="46"/>
      <c r="BV1" s="46"/>
      <c r="BW1" s="46"/>
      <c r="BX1" s="46"/>
      <c r="BY1" s="46"/>
      <c r="BZ1" s="46"/>
      <c r="CA1" s="46"/>
    </row>
    <row r="2" spans="1:79" s="6" customFormat="1" ht="5.25" customHeight="1" x14ac:dyDescent="0.35">
      <c r="AJ2"/>
    </row>
    <row r="3" spans="1:79" x14ac:dyDescent="0.35">
      <c r="A3" s="27">
        <f>BB4</f>
        <v>45973</v>
      </c>
      <c r="B3" t="str">
        <f t="shared" ref="B3:B66" si="0">TEXT(A3,"ddd")</f>
        <v>Wed</v>
      </c>
      <c r="C3" s="10" t="s">
        <v>2</v>
      </c>
      <c r="D3" s="10">
        <v>12</v>
      </c>
      <c r="E3" s="4">
        <f t="shared" ref="E3:E66" si="1">IF(C3="Drilling",D3,0)</f>
        <v>0</v>
      </c>
      <c r="F3" s="4">
        <f t="shared" ref="F3:F66" si="2">(F2+E3)</f>
        <v>0</v>
      </c>
      <c r="G3" s="4">
        <f t="shared" ref="G3:G66" si="3">E3*60</f>
        <v>0</v>
      </c>
      <c r="H3" s="15">
        <f>(SQRT(4*I2*I2*V*V + 'Drilling Spec'!$C$42*I2 + W*('Drilling Spec'!$C$43 + 2*l*V*(s*W + 2*V*G3/(1+e)) + 'Drilling Spec'!$C$44)) - 'Drilling Spec'!$C$45)/(2*V)</f>
        <v>0</v>
      </c>
      <c r="I3" s="23" t="str">
        <f>IF(AND(OR(I2=0,I2=""),F3=0),IF(F4=0,"",'Drilling Spec'!$C$26),H3)</f>
        <v/>
      </c>
      <c r="J3" s="16" t="e">
        <f>MAX(0,I3-'Drilling Spec'!$C$30)</f>
        <v>#VALUE!</v>
      </c>
      <c r="K3" s="18">
        <f>IFERROR(J3/'Drilling Spec'!$C$31,0)</f>
        <v>0</v>
      </c>
      <c r="L3" s="21">
        <f t="shared" ref="L3:L66" si="4">IF(C3="Bailing",D3,0)</f>
        <v>0</v>
      </c>
      <c r="M3" s="4">
        <f>(M2+L3)</f>
        <v>0</v>
      </c>
      <c r="N3" s="4">
        <f t="shared" ref="N3:N66" si="5">L3*60</f>
        <v>0</v>
      </c>
      <c r="O3" s="18">
        <f>(SQRT(4*O2*O2*vB*vB + 'Drilling Spec'!$C$48*O2 + WB*('Drilling Spec'!$C$49 + 2*lB*vB*(sB*WB + 2*vB*N3/(1+eB)) + 'Drilling Spec'!$C$50)) - 'Drilling Spec'!$C$51)/(2*vB)</f>
        <v>0</v>
      </c>
      <c r="P3" s="18">
        <f>IFERROR(((S3-'Drilling Spec'!$C$30)/'Drilling Spec'!$C$31)*'Drilling Spec'!$C$32,0)</f>
        <v>0</v>
      </c>
      <c r="Q3" s="18">
        <f>P3-P2</f>
        <v>0</v>
      </c>
      <c r="R3" s="18"/>
      <c r="S3" s="26" t="str">
        <f>IF(AND(OR(T2=0,T2=""),M3=0),IF(M4=0,"",'Drilling Spec'!$C$30),O3)</f>
        <v/>
      </c>
      <c r="U3" s="15">
        <f>E3*'Drilling Spec'!$C$22 + L3*'Drilling Spec'!$C$23</f>
        <v>0</v>
      </c>
      <c r="V3" s="15">
        <f>V2+U3</f>
        <v>0</v>
      </c>
      <c r="W3" s="15">
        <f t="shared" ref="W3:W66" si="6">W2-U3+X2+Y2</f>
        <v>0</v>
      </c>
      <c r="X3" s="10"/>
      <c r="Y3" s="30">
        <f>IF(W3&lt;U4,'Drilling Spec'!$C$35,0)</f>
        <v>0</v>
      </c>
      <c r="AA3" s="4">
        <f>AA2+AC2+AB3+'Drilling Spec'!$C$37</f>
        <v>4</v>
      </c>
      <c r="AB3" s="10"/>
      <c r="AC3" s="30">
        <f>IF('08-07-25-Scen7-GennyFail'!K4&gt;'08-07-25-Scen7-GennyFail'!AA3,'Drilling Spec'!$C$36,)</f>
        <v>0</v>
      </c>
      <c r="AE3" s="18" t="e">
        <f>(I3-'Drilling Spec'!$C$26)/'Drilling Spec'!$C$38</f>
        <v>#VALUE!</v>
      </c>
      <c r="AF3" s="18">
        <f t="shared" ref="AF3:AF66" si="7">IFERROR(AE3-AE2,0)</f>
        <v>0</v>
      </c>
      <c r="AG3" s="34">
        <f t="shared" ref="AG3:AG66" si="8">AG2+AF3-AH3-AI2</f>
        <v>0</v>
      </c>
      <c r="AH3" s="10"/>
      <c r="AI3" s="26">
        <f>IF(C3="Camp Closed",AG3,IF(AG3&lt;'Drilling Spec'!$C$39,,'Drilling Spec'!$C$39))</f>
        <v>0</v>
      </c>
      <c r="AK3">
        <v>0</v>
      </c>
      <c r="AL3" s="16" t="e">
        <f t="shared" ref="AL3:AL66" si="9">IFERROR(-I3,NA())</f>
        <v>#N/A</v>
      </c>
      <c r="AM3" s="16" t="e">
        <f t="shared" ref="AM3:AM66" si="10">IF(OR(S3=0,S3=""),NA(),-S3)</f>
        <v>#N/A</v>
      </c>
      <c r="AN3">
        <f>-'Drilling Spec'!$C$29</f>
        <v>-720</v>
      </c>
      <c r="AO3">
        <f>-'Drilling Spec'!$C$27</f>
        <v>-624</v>
      </c>
      <c r="AP3">
        <f>-'Drilling Spec'!$C$28</f>
        <v>-688</v>
      </c>
      <c r="AQ3" t="e">
        <f t="shared" ref="AQ3:AQ66" si="11">IF(C3="Camp Closed",0,NA())</f>
        <v>#N/A</v>
      </c>
      <c r="AR3" t="e">
        <f>IF(X3=0,NA(),-'Drilling Spec'!$C$29*0.1)</f>
        <v>#N/A</v>
      </c>
      <c r="AS3" t="e">
        <f>IF(Y3=0,NA(),-'Drilling Spec'!$C$29*0.1)</f>
        <v>#N/A</v>
      </c>
      <c r="AT3" t="e">
        <f>IF(AB3=0,NA(),-'Drilling Spec'!$C$29*0.2)</f>
        <v>#N/A</v>
      </c>
      <c r="AU3" t="e">
        <f>IF(AC3=0,NA(),-'Drilling Spec'!$C$29*0.2)</f>
        <v>#N/A</v>
      </c>
      <c r="AV3" t="e">
        <f>IF(AH3=0,NA(),-'Drilling Spec'!$C$29*0.3)</f>
        <v>#N/A</v>
      </c>
      <c r="AW3" t="e">
        <f>IF(AI3=0,NA(),-'Drilling Spec'!$C$29*0.3)</f>
        <v>#N/A</v>
      </c>
      <c r="AX3" s="29">
        <f t="shared" ref="AX3:AX66" si="12">W3</f>
        <v>0</v>
      </c>
      <c r="AY3" s="29">
        <f t="shared" ref="AY3:AY66" si="13">AA3-K3+P3</f>
        <v>4</v>
      </c>
      <c r="AZ3" s="29">
        <f>AG3</f>
        <v>0</v>
      </c>
      <c r="BB3" s="33" t="s">
        <v>160</v>
      </c>
      <c r="BC3" s="33" t="s">
        <v>131</v>
      </c>
      <c r="BF3" s="33" t="s">
        <v>160</v>
      </c>
      <c r="BG3" s="33" t="s">
        <v>131</v>
      </c>
      <c r="BT3" s="45" t="s">
        <v>174</v>
      </c>
      <c r="BU3" s="45"/>
      <c r="BV3" s="36" t="s">
        <v>175</v>
      </c>
      <c r="BW3" s="47" t="s">
        <v>176</v>
      </c>
      <c r="BX3" s="45"/>
      <c r="BY3" s="45"/>
      <c r="BZ3" s="45"/>
      <c r="CA3" s="45"/>
    </row>
    <row r="4" spans="1:79" x14ac:dyDescent="0.35">
      <c r="A4" s="28">
        <f>A3+1</f>
        <v>45974</v>
      </c>
      <c r="B4" t="str">
        <f t="shared" si="0"/>
        <v>Thu</v>
      </c>
      <c r="C4" s="10" t="s">
        <v>3</v>
      </c>
      <c r="D4" s="10">
        <v>12</v>
      </c>
      <c r="E4" s="4">
        <f t="shared" si="1"/>
        <v>0</v>
      </c>
      <c r="F4" s="4">
        <f t="shared" si="2"/>
        <v>0</v>
      </c>
      <c r="G4" s="4">
        <f t="shared" si="3"/>
        <v>0</v>
      </c>
      <c r="H4" s="15" t="e">
        <f>(SQRT(4*I3*I3*V*V + 'Drilling Spec'!$C$42*I3 + W*('Drilling Spec'!$C$43 + 2*l*V*(s*W + 2*V*G4/(1+e)) + 'Drilling Spec'!$C$44)) - 'Drilling Spec'!$C$45)/(2*V)</f>
        <v>#VALUE!</v>
      </c>
      <c r="I4" s="23" t="str">
        <f>IF(AND(OR(I3=0,I3=""),F4=0),IF(F5=0,"",'Drilling Spec'!$C$26),H4)</f>
        <v/>
      </c>
      <c r="J4" s="16" t="e">
        <f>MAX(0,I4-'Drilling Spec'!$C$30)</f>
        <v>#VALUE!</v>
      </c>
      <c r="K4" s="18">
        <f>IFERROR(J4/'Drilling Spec'!$C$31,0)</f>
        <v>0</v>
      </c>
      <c r="L4" s="21">
        <f t="shared" si="4"/>
        <v>0</v>
      </c>
      <c r="M4" s="4">
        <f t="shared" ref="M4:M67" si="14">(M3+L4)</f>
        <v>0</v>
      </c>
      <c r="N4" s="21">
        <f t="shared" si="5"/>
        <v>0</v>
      </c>
      <c r="O4" s="18">
        <f>(SQRT(4*O3*O3*vB*vB + 'Drilling Spec'!$C$48*O3 + WB*('Drilling Spec'!$C$49 + 2*lB*vB*(sB*WB + 2*vB*N4/(1+eB)) + 'Drilling Spec'!$C$50)) - 'Drilling Spec'!$C$51)/(2*vB)</f>
        <v>0</v>
      </c>
      <c r="P4" s="18">
        <f>IFERROR(((S4-'Drilling Spec'!$C$30)/'Drilling Spec'!$C$31)*'Drilling Spec'!$C$32,0)</f>
        <v>0</v>
      </c>
      <c r="Q4" s="18">
        <f t="shared" ref="Q4:Q67" si="15">P4-P3</f>
        <v>0</v>
      </c>
      <c r="R4" s="18"/>
      <c r="S4" s="26" t="str">
        <f>IF(AND(OR(T3=0,T3=""),M4=0),IF(M5=0,"",'Drilling Spec'!$C$30),O4)</f>
        <v/>
      </c>
      <c r="U4" s="15">
        <f>E4*'Drilling Spec'!$C$22 + L4*'Drilling Spec'!$C$23</f>
        <v>0</v>
      </c>
      <c r="V4" s="15">
        <f t="shared" ref="V4:V67" si="16">V3+U4</f>
        <v>0</v>
      </c>
      <c r="W4" s="15">
        <f t="shared" si="6"/>
        <v>0</v>
      </c>
      <c r="X4" s="10"/>
      <c r="Y4" s="30">
        <f>IF(W4&lt;U5,'Drilling Spec'!$C$35,0)</f>
        <v>0</v>
      </c>
      <c r="AA4" s="4">
        <f>AA3+AC3+AB4</f>
        <v>4</v>
      </c>
      <c r="AB4" s="10"/>
      <c r="AC4" s="30">
        <f>IF('08-07-25-Scen7-GennyFail'!K5&gt;'08-07-25-Scen7-GennyFail'!AA4,'Drilling Spec'!$C$36,)</f>
        <v>0</v>
      </c>
      <c r="AE4" s="18" t="e">
        <f>(I4-'Drilling Spec'!$C$26)/'Drilling Spec'!$C$38</f>
        <v>#VALUE!</v>
      </c>
      <c r="AF4" s="18">
        <f t="shared" si="7"/>
        <v>0</v>
      </c>
      <c r="AG4" s="34">
        <f t="shared" si="8"/>
        <v>0</v>
      </c>
      <c r="AH4" s="10"/>
      <c r="AI4" s="26">
        <f>IF(C4="Camp Closed",AG4,IF(AG4&lt;'Drilling Spec'!$C$39,,'Drilling Spec'!$C$39))</f>
        <v>0</v>
      </c>
      <c r="AL4" s="16" t="e">
        <f t="shared" si="9"/>
        <v>#N/A</v>
      </c>
      <c r="AM4" s="16" t="e">
        <f t="shared" si="10"/>
        <v>#N/A</v>
      </c>
      <c r="AN4">
        <f>-'Drilling Spec'!$C$29</f>
        <v>-720</v>
      </c>
      <c r="AO4">
        <f>-'Drilling Spec'!$C$27</f>
        <v>-624</v>
      </c>
      <c r="AP4">
        <f>-'Drilling Spec'!$C$28</f>
        <v>-688</v>
      </c>
      <c r="AQ4" t="e">
        <f t="shared" si="11"/>
        <v>#N/A</v>
      </c>
      <c r="AR4" t="e">
        <f>IF(X4=0,NA(),-'Drilling Spec'!$C$29*0.1)</f>
        <v>#N/A</v>
      </c>
      <c r="AS4" t="e">
        <f>IF(Y4=0,NA(),-'Drilling Spec'!$C$29*0.1)</f>
        <v>#N/A</v>
      </c>
      <c r="AT4" t="e">
        <f>IF(AB4=0,NA(),-'Drilling Spec'!$C$29*0.2)</f>
        <v>#N/A</v>
      </c>
      <c r="AU4" t="e">
        <f>IF(AC4=0,NA(),-'Drilling Spec'!$C$29*0.2)</f>
        <v>#N/A</v>
      </c>
      <c r="AV4" t="e">
        <f>IF(AH4=0,NA(),-'Drilling Spec'!$C$29*0.3)</f>
        <v>#N/A</v>
      </c>
      <c r="AW4" t="e">
        <f>IF(AI4=0,NA(),-'Drilling Spec'!$C$29*0.3)</f>
        <v>#N/A</v>
      </c>
      <c r="AX4" s="29">
        <f t="shared" si="12"/>
        <v>0</v>
      </c>
      <c r="AY4" s="29">
        <f t="shared" si="13"/>
        <v>4</v>
      </c>
      <c r="AZ4" s="29">
        <f t="shared" ref="AZ4:AZ67" si="17">AG4</f>
        <v>0</v>
      </c>
      <c r="BA4" s="31" t="s">
        <v>132</v>
      </c>
      <c r="BB4" s="32">
        <v>45973</v>
      </c>
      <c r="BC4" s="10">
        <v>5</v>
      </c>
      <c r="BE4" s="31" t="s">
        <v>134</v>
      </c>
      <c r="BF4" s="32">
        <v>46043</v>
      </c>
      <c r="BG4" s="10">
        <v>5</v>
      </c>
      <c r="BT4" s="39" t="s">
        <v>177</v>
      </c>
      <c r="BU4" s="39"/>
      <c r="BV4" s="39"/>
      <c r="BW4" s="39"/>
      <c r="BX4" s="39"/>
      <c r="BY4" s="39"/>
      <c r="BZ4" s="39"/>
      <c r="CA4" s="39"/>
    </row>
    <row r="5" spans="1:79" x14ac:dyDescent="0.35">
      <c r="A5" s="28">
        <f t="shared" ref="A5:A68" si="18">A4+1</f>
        <v>45975</v>
      </c>
      <c r="B5" t="str">
        <f t="shared" si="0"/>
        <v>Fri</v>
      </c>
      <c r="C5" s="10" t="s">
        <v>3</v>
      </c>
      <c r="D5" s="10">
        <v>12</v>
      </c>
      <c r="E5" s="4">
        <f t="shared" si="1"/>
        <v>0</v>
      </c>
      <c r="F5" s="4">
        <f t="shared" si="2"/>
        <v>0</v>
      </c>
      <c r="G5" s="4">
        <f t="shared" si="3"/>
        <v>0</v>
      </c>
      <c r="H5" s="15" t="e">
        <f>(SQRT(4*I4*I4*V*V + 'Drilling Spec'!$C$42*I4 + W*('Drilling Spec'!$C$43 + 2*l*V*(s*W + 2*V*G5/(1+e)) + 'Drilling Spec'!$C$44)) - 'Drilling Spec'!$C$45)/(2*V)</f>
        <v>#VALUE!</v>
      </c>
      <c r="I5" s="23" t="str">
        <f>IF(AND(OR(I4=0,I4=""),F5=0),IF(F6=0,"",'Drilling Spec'!$C$26),H5)</f>
        <v/>
      </c>
      <c r="J5" s="16" t="e">
        <f>MAX(0,I5-'Drilling Spec'!$C$30)</f>
        <v>#VALUE!</v>
      </c>
      <c r="K5" s="18">
        <f>IFERROR(J5/'Drilling Spec'!$C$31,0)</f>
        <v>0</v>
      </c>
      <c r="L5" s="21">
        <f t="shared" si="4"/>
        <v>0</v>
      </c>
      <c r="M5" s="4">
        <f t="shared" si="14"/>
        <v>0</v>
      </c>
      <c r="N5" s="21">
        <f t="shared" si="5"/>
        <v>0</v>
      </c>
      <c r="O5" s="18">
        <f>(SQRT(4*O4*O4*vB*vB + 'Drilling Spec'!$C$48*O4 + WB*('Drilling Spec'!$C$49 + 2*lB*vB*(sB*WB + 2*vB*N5/(1+eB)) + 'Drilling Spec'!$C$50)) - 'Drilling Spec'!$C$51)/(2*vB)</f>
        <v>0</v>
      </c>
      <c r="P5" s="18">
        <f>IFERROR(((S5-'Drilling Spec'!$C$30)/'Drilling Spec'!$C$31)*'Drilling Spec'!$C$32,0)</f>
        <v>0</v>
      </c>
      <c r="Q5" s="18">
        <f t="shared" si="15"/>
        <v>0</v>
      </c>
      <c r="R5" s="18"/>
      <c r="S5" s="26" t="str">
        <f>IF(AND(OR(T4=0,T4=""),M5=0),IF(M6=0,"",'Drilling Spec'!$C$30),O5)</f>
        <v/>
      </c>
      <c r="U5" s="15">
        <f>E5*'Drilling Spec'!$C$22 + L5*'Drilling Spec'!$C$23</f>
        <v>0</v>
      </c>
      <c r="V5" s="15">
        <f t="shared" si="16"/>
        <v>0</v>
      </c>
      <c r="W5" s="15">
        <f t="shared" si="6"/>
        <v>0</v>
      </c>
      <c r="X5" s="10"/>
      <c r="Y5" s="30">
        <f>IF(W5&lt;U6,'Drilling Spec'!$C$35,0)</f>
        <v>0</v>
      </c>
      <c r="AA5" s="4">
        <f t="shared" ref="AA5:AA68" si="19">AA4+AC4+AB5</f>
        <v>4</v>
      </c>
      <c r="AB5" s="10"/>
      <c r="AC5" s="30">
        <f>IF('08-07-25-Scen7-GennyFail'!K6&gt;'08-07-25-Scen7-GennyFail'!AA5,'Drilling Spec'!$C$36,)</f>
        <v>0</v>
      </c>
      <c r="AE5" s="18" t="e">
        <f>(I5-'Drilling Spec'!$C$26)/'Drilling Spec'!$C$38</f>
        <v>#VALUE!</v>
      </c>
      <c r="AF5" s="18">
        <f t="shared" si="7"/>
        <v>0</v>
      </c>
      <c r="AG5" s="34">
        <f t="shared" si="8"/>
        <v>0</v>
      </c>
      <c r="AH5" s="10"/>
      <c r="AI5" s="26">
        <f>IF(C5="Camp Closed",AG5,IF(AG5&lt;'Drilling Spec'!$C$39,,'Drilling Spec'!$C$39))</f>
        <v>0</v>
      </c>
      <c r="AL5" s="16" t="e">
        <f t="shared" si="9"/>
        <v>#N/A</v>
      </c>
      <c r="AM5" s="16" t="e">
        <f t="shared" si="10"/>
        <v>#N/A</v>
      </c>
      <c r="AN5">
        <f>-'Drilling Spec'!$C$29</f>
        <v>-720</v>
      </c>
      <c r="AO5">
        <f>-'Drilling Spec'!$C$27</f>
        <v>-624</v>
      </c>
      <c r="AP5">
        <f>-'Drilling Spec'!$C$28</f>
        <v>-688</v>
      </c>
      <c r="AQ5" t="e">
        <f t="shared" si="11"/>
        <v>#N/A</v>
      </c>
      <c r="AR5" t="e">
        <f>IF(X5=0,NA(),-'Drilling Spec'!$C$29*0.1)</f>
        <v>#N/A</v>
      </c>
      <c r="AS5" t="e">
        <f>IF(Y5=0,NA(),-'Drilling Spec'!$C$29*0.1)</f>
        <v>#N/A</v>
      </c>
      <c r="AT5" t="e">
        <f>IF(AB5=0,NA(),-'Drilling Spec'!$C$29*0.2)</f>
        <v>#N/A</v>
      </c>
      <c r="AU5" t="e">
        <f>IF(AC5=0,NA(),-'Drilling Spec'!$C$29*0.2)</f>
        <v>#N/A</v>
      </c>
      <c r="AV5" t="e">
        <f>IF(AH5=0,NA(),-'Drilling Spec'!$C$29*0.3)</f>
        <v>#N/A</v>
      </c>
      <c r="AW5" t="e">
        <f>IF(AI5=0,NA(),-'Drilling Spec'!$C$29*0.3)</f>
        <v>#N/A</v>
      </c>
      <c r="AX5" s="29">
        <f t="shared" si="12"/>
        <v>0</v>
      </c>
      <c r="AY5" s="29">
        <f t="shared" si="13"/>
        <v>4</v>
      </c>
      <c r="AZ5" s="29">
        <f t="shared" si="17"/>
        <v>0</v>
      </c>
      <c r="BA5" s="31" t="s">
        <v>133</v>
      </c>
      <c r="BB5" s="32">
        <v>45978</v>
      </c>
      <c r="BC5" s="10">
        <v>5</v>
      </c>
      <c r="BE5" s="31" t="s">
        <v>167</v>
      </c>
      <c r="BF5" s="32">
        <v>46055</v>
      </c>
      <c r="BG5" s="10">
        <v>5</v>
      </c>
      <c r="BT5" s="39"/>
      <c r="BU5" s="39"/>
      <c r="BV5" s="39"/>
      <c r="BW5" s="39"/>
      <c r="BX5" s="39"/>
      <c r="BY5" s="39"/>
      <c r="BZ5" s="39"/>
      <c r="CA5" s="39"/>
    </row>
    <row r="6" spans="1:79" x14ac:dyDescent="0.35">
      <c r="A6" s="28">
        <f t="shared" si="18"/>
        <v>45976</v>
      </c>
      <c r="B6" t="str">
        <f t="shared" si="0"/>
        <v>Sat</v>
      </c>
      <c r="C6" s="10" t="s">
        <v>3</v>
      </c>
      <c r="D6" s="10">
        <v>12</v>
      </c>
      <c r="E6" s="4">
        <f t="shared" si="1"/>
        <v>0</v>
      </c>
      <c r="F6" s="4">
        <f t="shared" si="2"/>
        <v>0</v>
      </c>
      <c r="G6" s="4">
        <f t="shared" si="3"/>
        <v>0</v>
      </c>
      <c r="H6" s="15" t="e">
        <f>(SQRT(4*I5*I5*V*V + 'Drilling Spec'!$C$42*I5 + W*('Drilling Spec'!$C$43 + 2*l*V*(s*W + 2*V*G6/(1+e)) + 'Drilling Spec'!$C$44)) - 'Drilling Spec'!$C$45)/(2*V)</f>
        <v>#VALUE!</v>
      </c>
      <c r="I6" s="23" t="str">
        <f>IF(AND(OR(I5=0,I5=""),F6=0),IF(F7=0,"",'Drilling Spec'!$C$26),H6)</f>
        <v/>
      </c>
      <c r="J6" s="16" t="e">
        <f>MAX(0,I6-'Drilling Spec'!$C$30)</f>
        <v>#VALUE!</v>
      </c>
      <c r="K6" s="18">
        <f>IFERROR(J6/'Drilling Spec'!$C$31,0)</f>
        <v>0</v>
      </c>
      <c r="L6" s="21">
        <f t="shared" si="4"/>
        <v>0</v>
      </c>
      <c r="M6" s="4">
        <f t="shared" si="14"/>
        <v>0</v>
      </c>
      <c r="N6" s="21">
        <f t="shared" si="5"/>
        <v>0</v>
      </c>
      <c r="O6" s="18">
        <f>(SQRT(4*O5*O5*vB*vB + 'Drilling Spec'!$C$48*O5 + WB*('Drilling Spec'!$C$49 + 2*lB*vB*(sB*WB + 2*vB*N6/(1+eB)) + 'Drilling Spec'!$C$50)) - 'Drilling Spec'!$C$51)/(2*vB)</f>
        <v>0</v>
      </c>
      <c r="P6" s="18">
        <f>IFERROR(((S6-'Drilling Spec'!$C$30)/'Drilling Spec'!$C$31)*'Drilling Spec'!$C$32,0)</f>
        <v>0</v>
      </c>
      <c r="Q6" s="18">
        <f t="shared" si="15"/>
        <v>0</v>
      </c>
      <c r="R6" s="18"/>
      <c r="S6" s="26" t="str">
        <f>IF(AND(OR(T5=0,T5=""),M6=0),IF(M7=0,"",'Drilling Spec'!$C$30),O6)</f>
        <v/>
      </c>
      <c r="U6" s="15">
        <f>E6*'Drilling Spec'!$C$22 + L6*'Drilling Spec'!$C$23</f>
        <v>0</v>
      </c>
      <c r="V6" s="15">
        <f t="shared" si="16"/>
        <v>0</v>
      </c>
      <c r="W6" s="15">
        <f t="shared" si="6"/>
        <v>0</v>
      </c>
      <c r="X6" s="10"/>
      <c r="Y6" s="30">
        <f>IF(W6&lt;U7,'Drilling Spec'!$C$35,0)</f>
        <v>0</v>
      </c>
      <c r="AA6" s="4">
        <f t="shared" si="19"/>
        <v>4</v>
      </c>
      <c r="AB6" s="10"/>
      <c r="AC6" s="30">
        <f>IF('08-07-25-Scen7-GennyFail'!K7&gt;'08-07-25-Scen7-GennyFail'!AA6,'Drilling Spec'!$C$36,)</f>
        <v>0</v>
      </c>
      <c r="AE6" s="18" t="e">
        <f>(I6-'Drilling Spec'!$C$26)/'Drilling Spec'!$C$38</f>
        <v>#VALUE!</v>
      </c>
      <c r="AF6" s="18">
        <f t="shared" si="7"/>
        <v>0</v>
      </c>
      <c r="AG6" s="34">
        <f t="shared" si="8"/>
        <v>0</v>
      </c>
      <c r="AH6" s="10"/>
      <c r="AI6" s="26">
        <f>IF(C6="Camp Closed",AG6,IF(AG6&lt;'Drilling Spec'!$C$39,,'Drilling Spec'!$C$39))</f>
        <v>0</v>
      </c>
      <c r="AL6" s="16" t="e">
        <f t="shared" si="9"/>
        <v>#N/A</v>
      </c>
      <c r="AM6" s="16" t="e">
        <f t="shared" si="10"/>
        <v>#N/A</v>
      </c>
      <c r="AN6">
        <f>-'Drilling Spec'!$C$29</f>
        <v>-720</v>
      </c>
      <c r="AO6">
        <f>-'Drilling Spec'!$C$27</f>
        <v>-624</v>
      </c>
      <c r="AP6">
        <f>-'Drilling Spec'!$C$28</f>
        <v>-688</v>
      </c>
      <c r="AQ6" t="e">
        <f t="shared" si="11"/>
        <v>#N/A</v>
      </c>
      <c r="AR6" t="e">
        <f>IF(X6=0,NA(),-'Drilling Spec'!$C$29*0.1)</f>
        <v>#N/A</v>
      </c>
      <c r="AS6" t="e">
        <f>IF(Y6=0,NA(),-'Drilling Spec'!$C$29*0.1)</f>
        <v>#N/A</v>
      </c>
      <c r="AT6" t="e">
        <f>IF(AB6=0,NA(),-'Drilling Spec'!$C$29*0.2)</f>
        <v>#N/A</v>
      </c>
      <c r="AU6" t="e">
        <f>IF(AC6=0,NA(),-'Drilling Spec'!$C$29*0.2)</f>
        <v>#N/A</v>
      </c>
      <c r="AV6" t="e">
        <f>IF(AH6=0,NA(),-'Drilling Spec'!$C$29*0.3)</f>
        <v>#N/A</v>
      </c>
      <c r="AW6" t="e">
        <f>IF(AI6=0,NA(),-'Drilling Spec'!$C$29*0.3)</f>
        <v>#N/A</v>
      </c>
      <c r="AX6" s="29">
        <f t="shared" si="12"/>
        <v>0</v>
      </c>
      <c r="AY6" s="29">
        <f t="shared" si="13"/>
        <v>4</v>
      </c>
      <c r="AZ6" s="29">
        <f t="shared" si="17"/>
        <v>0</v>
      </c>
      <c r="BT6" s="45" t="s">
        <v>178</v>
      </c>
      <c r="BU6" s="45"/>
      <c r="BV6" s="45"/>
      <c r="BW6" s="45"/>
      <c r="BX6" s="45"/>
      <c r="BY6" s="45"/>
      <c r="BZ6" s="45"/>
      <c r="CA6" s="45"/>
    </row>
    <row r="7" spans="1:79" x14ac:dyDescent="0.35">
      <c r="A7" s="28">
        <f t="shared" si="18"/>
        <v>45977</v>
      </c>
      <c r="B7" t="str">
        <f t="shared" si="0"/>
        <v>Sun</v>
      </c>
      <c r="C7" s="10" t="s">
        <v>3</v>
      </c>
      <c r="D7" s="10">
        <v>12</v>
      </c>
      <c r="E7" s="4">
        <f t="shared" si="1"/>
        <v>0</v>
      </c>
      <c r="F7" s="4">
        <f t="shared" si="2"/>
        <v>0</v>
      </c>
      <c r="G7" s="4">
        <f t="shared" si="3"/>
        <v>0</v>
      </c>
      <c r="H7" s="15" t="e">
        <f>(SQRT(4*I6*I6*V*V + 'Drilling Spec'!$C$42*I6 + W*('Drilling Spec'!$C$43 + 2*l*V*(s*W + 2*V*G7/(1+e)) + 'Drilling Spec'!$C$44)) - 'Drilling Spec'!$C$45)/(2*V)</f>
        <v>#VALUE!</v>
      </c>
      <c r="I7" s="23" t="str">
        <f>IF(AND(OR(I6=0,I6=""),F7=0),IF(F8=0,"",'Drilling Spec'!$C$26),H7)</f>
        <v/>
      </c>
      <c r="J7" s="16" t="e">
        <f>MAX(0,I7-'Drilling Spec'!$C$30)</f>
        <v>#VALUE!</v>
      </c>
      <c r="K7" s="18">
        <f>IFERROR(J7/'Drilling Spec'!$C$31,0)</f>
        <v>0</v>
      </c>
      <c r="L7" s="21">
        <f t="shared" si="4"/>
        <v>0</v>
      </c>
      <c r="M7" s="4">
        <f t="shared" si="14"/>
        <v>0</v>
      </c>
      <c r="N7" s="21">
        <f t="shared" si="5"/>
        <v>0</v>
      </c>
      <c r="O7" s="18">
        <f>(SQRT(4*O6*O6*vB*vB + 'Drilling Spec'!$C$48*O6 + WB*('Drilling Spec'!$C$49 + 2*lB*vB*(sB*WB + 2*vB*N7/(1+eB)) + 'Drilling Spec'!$C$50)) - 'Drilling Spec'!$C$51)/(2*vB)</f>
        <v>0</v>
      </c>
      <c r="P7" s="18">
        <f>IFERROR(((S7-'Drilling Spec'!$C$30)/'Drilling Spec'!$C$31)*'Drilling Spec'!$C$32,0)</f>
        <v>0</v>
      </c>
      <c r="Q7" s="18">
        <f t="shared" si="15"/>
        <v>0</v>
      </c>
      <c r="R7" s="18"/>
      <c r="S7" s="26" t="str">
        <f>IF(AND(OR(T6=0,T6=""),M7=0),IF(M8=0,"",'Drilling Spec'!$C$30),O7)</f>
        <v/>
      </c>
      <c r="U7" s="15">
        <f>E7*'Drilling Spec'!$C$22 + L7*'Drilling Spec'!$C$23</f>
        <v>0</v>
      </c>
      <c r="V7" s="15">
        <f t="shared" si="16"/>
        <v>0</v>
      </c>
      <c r="W7" s="15">
        <f t="shared" si="6"/>
        <v>0</v>
      </c>
      <c r="X7" s="10"/>
      <c r="Y7" s="30">
        <f>IF(W7&lt;U8,'Drilling Spec'!$C$35,0)</f>
        <v>0</v>
      </c>
      <c r="AA7" s="4">
        <f t="shared" si="19"/>
        <v>4</v>
      </c>
      <c r="AB7" s="10"/>
      <c r="AC7" s="30">
        <f>IF('08-07-25-Scen7-GennyFail'!K8&gt;'08-07-25-Scen7-GennyFail'!AA7,'Drilling Spec'!$C$36,)</f>
        <v>0</v>
      </c>
      <c r="AE7" s="18" t="e">
        <f>(I7-'Drilling Spec'!$C$26)/'Drilling Spec'!$C$38</f>
        <v>#VALUE!</v>
      </c>
      <c r="AF7" s="18">
        <f t="shared" si="7"/>
        <v>0</v>
      </c>
      <c r="AG7" s="34">
        <f t="shared" si="8"/>
        <v>0</v>
      </c>
      <c r="AH7" s="10"/>
      <c r="AI7" s="26">
        <f>IF(C7="Camp Closed",AG7,IF(AG7&lt;'Drilling Spec'!$C$39,,'Drilling Spec'!$C$39))</f>
        <v>0</v>
      </c>
      <c r="AL7" s="16" t="e">
        <f t="shared" si="9"/>
        <v>#N/A</v>
      </c>
      <c r="AM7" s="16" t="e">
        <f t="shared" si="10"/>
        <v>#N/A</v>
      </c>
      <c r="AN7">
        <f>-'Drilling Spec'!$C$29</f>
        <v>-720</v>
      </c>
      <c r="AO7">
        <f>-'Drilling Spec'!$C$27</f>
        <v>-624</v>
      </c>
      <c r="AP7">
        <f>-'Drilling Spec'!$C$28</f>
        <v>-688</v>
      </c>
      <c r="AQ7" t="e">
        <f t="shared" si="11"/>
        <v>#N/A</v>
      </c>
      <c r="AR7" t="e">
        <f>IF(X7=0,NA(),-'Drilling Spec'!$C$29*0.1)</f>
        <v>#N/A</v>
      </c>
      <c r="AS7" t="e">
        <f>IF(Y7=0,NA(),-'Drilling Spec'!$C$29*0.1)</f>
        <v>#N/A</v>
      </c>
      <c r="AT7" t="e">
        <f>IF(AB7=0,NA(),-'Drilling Spec'!$C$29*0.2)</f>
        <v>#N/A</v>
      </c>
      <c r="AU7" t="e">
        <f>IF(AC7=0,NA(),-'Drilling Spec'!$C$29*0.2)</f>
        <v>#N/A</v>
      </c>
      <c r="AV7" t="e">
        <f>IF(AH7=0,NA(),-'Drilling Spec'!$C$29*0.3)</f>
        <v>#N/A</v>
      </c>
      <c r="AW7" t="e">
        <f>IF(AI7=0,NA(),-'Drilling Spec'!$C$29*0.3)</f>
        <v>#N/A</v>
      </c>
      <c r="AX7" s="29">
        <f t="shared" si="12"/>
        <v>0</v>
      </c>
      <c r="AY7" s="29">
        <f t="shared" si="13"/>
        <v>4</v>
      </c>
      <c r="AZ7" s="29">
        <f t="shared" si="17"/>
        <v>0</v>
      </c>
      <c r="BT7" t="s">
        <v>184</v>
      </c>
    </row>
    <row r="8" spans="1:79" x14ac:dyDescent="0.35">
      <c r="A8" s="28">
        <f t="shared" si="18"/>
        <v>45978</v>
      </c>
      <c r="B8" t="str">
        <f t="shared" si="0"/>
        <v>Mon</v>
      </c>
      <c r="C8" s="10" t="s">
        <v>7</v>
      </c>
      <c r="D8" s="10">
        <v>0</v>
      </c>
      <c r="E8" s="4">
        <f t="shared" si="1"/>
        <v>0</v>
      </c>
      <c r="F8" s="4">
        <f t="shared" si="2"/>
        <v>0</v>
      </c>
      <c r="G8" s="4">
        <f t="shared" si="3"/>
        <v>0</v>
      </c>
      <c r="H8" s="15" t="e">
        <f>(SQRT(4*I7*I7*V*V + 'Drilling Spec'!$C$42*I7 + W*('Drilling Spec'!$C$43 + 2*l*V*(s*W + 2*V*G8/(1+e)) + 'Drilling Spec'!$C$44)) - 'Drilling Spec'!$C$45)/(2*V)</f>
        <v>#VALUE!</v>
      </c>
      <c r="I8" s="23" t="str">
        <f>IF(AND(OR(I7=0,I7=""),F8=0),IF(F9=0,"",'Drilling Spec'!$C$26),H8)</f>
        <v/>
      </c>
      <c r="J8" s="16" t="e">
        <f>MAX(0,I8-'Drilling Spec'!$C$30)</f>
        <v>#VALUE!</v>
      </c>
      <c r="K8" s="18">
        <f>IFERROR(J8/'Drilling Spec'!$C$31,0)</f>
        <v>0</v>
      </c>
      <c r="L8" s="21">
        <f t="shared" si="4"/>
        <v>0</v>
      </c>
      <c r="M8" s="4">
        <f t="shared" si="14"/>
        <v>0</v>
      </c>
      <c r="N8" s="21">
        <f t="shared" si="5"/>
        <v>0</v>
      </c>
      <c r="O8" s="18">
        <f>(SQRT(4*O7*O7*vB*vB + 'Drilling Spec'!$C$48*O7 + WB*('Drilling Spec'!$C$49 + 2*lB*vB*(sB*WB + 2*vB*N8/(1+eB)) + 'Drilling Spec'!$C$50)) - 'Drilling Spec'!$C$51)/(2*vB)</f>
        <v>0</v>
      </c>
      <c r="P8" s="18">
        <f>IFERROR(((S8-'Drilling Spec'!$C$30)/'Drilling Spec'!$C$31)*'Drilling Spec'!$C$32,0)</f>
        <v>0</v>
      </c>
      <c r="Q8" s="18">
        <f t="shared" si="15"/>
        <v>0</v>
      </c>
      <c r="R8" s="18"/>
      <c r="S8" s="26" t="str">
        <f>IF(AND(OR(T7=0,T7=""),M8=0),IF(M9=0,"",'Drilling Spec'!$C$30),O8)</f>
        <v/>
      </c>
      <c r="U8" s="15">
        <f>E8*'Drilling Spec'!$C$22 + L8*'Drilling Spec'!$C$23</f>
        <v>0</v>
      </c>
      <c r="V8" s="15">
        <f t="shared" si="16"/>
        <v>0</v>
      </c>
      <c r="W8" s="15">
        <f t="shared" si="6"/>
        <v>0</v>
      </c>
      <c r="X8" s="10"/>
      <c r="Y8" s="30">
        <f>IF(W8&lt;U9,'Drilling Spec'!$C$35,0)</f>
        <v>0</v>
      </c>
      <c r="AA8" s="4">
        <f t="shared" si="19"/>
        <v>4</v>
      </c>
      <c r="AB8" s="10"/>
      <c r="AC8" s="30">
        <f>IF('08-07-25-Scen7-GennyFail'!K9&gt;'08-07-25-Scen7-GennyFail'!AA8,'Drilling Spec'!$C$36,)</f>
        <v>0</v>
      </c>
      <c r="AE8" s="18" t="e">
        <f>(I8-'Drilling Spec'!$C$26)/'Drilling Spec'!$C$38</f>
        <v>#VALUE!</v>
      </c>
      <c r="AF8" s="18">
        <f t="shared" si="7"/>
        <v>0</v>
      </c>
      <c r="AG8" s="34">
        <f t="shared" si="8"/>
        <v>0</v>
      </c>
      <c r="AH8" s="10"/>
      <c r="AI8" s="26">
        <f>IF(C8="Camp Closed",AG8,IF(AG8&lt;'Drilling Spec'!$C$39,,'Drilling Spec'!$C$39))</f>
        <v>0</v>
      </c>
      <c r="AL8" s="16" t="e">
        <f t="shared" si="9"/>
        <v>#N/A</v>
      </c>
      <c r="AM8" s="16" t="e">
        <f t="shared" si="10"/>
        <v>#N/A</v>
      </c>
      <c r="AN8">
        <f>-'Drilling Spec'!$C$29</f>
        <v>-720</v>
      </c>
      <c r="AO8">
        <f>-'Drilling Spec'!$C$27</f>
        <v>-624</v>
      </c>
      <c r="AP8">
        <f>-'Drilling Spec'!$C$28</f>
        <v>-688</v>
      </c>
      <c r="AQ8" t="e">
        <f t="shared" si="11"/>
        <v>#N/A</v>
      </c>
      <c r="AR8" t="e">
        <f>IF(X8=0,NA(),-'Drilling Spec'!$C$29*0.1)</f>
        <v>#N/A</v>
      </c>
      <c r="AS8" t="e">
        <f>IF(Y8=0,NA(),-'Drilling Spec'!$C$29*0.1)</f>
        <v>#N/A</v>
      </c>
      <c r="AT8" t="e">
        <f>IF(AB8=0,NA(),-'Drilling Spec'!$C$29*0.2)</f>
        <v>#N/A</v>
      </c>
      <c r="AU8" t="e">
        <f>IF(AC8=0,NA(),-'Drilling Spec'!$C$29*0.2)</f>
        <v>#N/A</v>
      </c>
      <c r="AV8" t="e">
        <f>IF(AH8=0,NA(),-'Drilling Spec'!$C$29*0.3)</f>
        <v>#N/A</v>
      </c>
      <c r="AW8" t="e">
        <f>IF(AI8=0,NA(),-'Drilling Spec'!$C$29*0.3)</f>
        <v>#N/A</v>
      </c>
      <c r="AX8" s="29">
        <f t="shared" si="12"/>
        <v>0</v>
      </c>
      <c r="AY8" s="29">
        <f t="shared" si="13"/>
        <v>4</v>
      </c>
      <c r="AZ8" s="29">
        <f t="shared" si="17"/>
        <v>0</v>
      </c>
      <c r="BT8" s="39" t="s">
        <v>183</v>
      </c>
      <c r="BU8" s="39"/>
      <c r="BV8" s="39"/>
      <c r="BW8" s="39"/>
      <c r="BX8" s="39"/>
      <c r="BY8" s="39"/>
      <c r="BZ8" s="39"/>
      <c r="CA8" s="39"/>
    </row>
    <row r="9" spans="1:79" x14ac:dyDescent="0.35">
      <c r="A9" s="28">
        <f t="shared" si="18"/>
        <v>45979</v>
      </c>
      <c r="B9" t="str">
        <f t="shared" si="0"/>
        <v>Tue</v>
      </c>
      <c r="C9" s="10" t="s">
        <v>4</v>
      </c>
      <c r="D9" s="10">
        <v>12</v>
      </c>
      <c r="E9" s="4">
        <f t="shared" si="1"/>
        <v>0</v>
      </c>
      <c r="F9" s="4">
        <f t="shared" si="2"/>
        <v>0</v>
      </c>
      <c r="G9" s="4">
        <f t="shared" si="3"/>
        <v>0</v>
      </c>
      <c r="H9" s="15" t="e">
        <f>(SQRT(4*I8*I8*V*V + 'Drilling Spec'!$C$42*I8 + W*('Drilling Spec'!$C$43 + 2*l*V*(s*W + 2*V*G9/(1+e)) + 'Drilling Spec'!$C$44)) - 'Drilling Spec'!$C$45)/(2*V)</f>
        <v>#VALUE!</v>
      </c>
      <c r="I9" s="23" t="str">
        <f>IF(AND(OR(I8=0,I8=""),F9=0),IF(F10=0,"",'Drilling Spec'!$C$26),H9)</f>
        <v/>
      </c>
      <c r="J9" s="16" t="e">
        <f>MAX(0,I9-'Drilling Spec'!$C$30)</f>
        <v>#VALUE!</v>
      </c>
      <c r="K9" s="18">
        <f>IFERROR(J9/'Drilling Spec'!$C$31,0)</f>
        <v>0</v>
      </c>
      <c r="L9" s="21">
        <f t="shared" si="4"/>
        <v>0</v>
      </c>
      <c r="M9" s="4">
        <f t="shared" si="14"/>
        <v>0</v>
      </c>
      <c r="N9" s="21">
        <f t="shared" si="5"/>
        <v>0</v>
      </c>
      <c r="O9" s="18">
        <f>(SQRT(4*O8*O8*vB*vB + 'Drilling Spec'!$C$48*O8 + WB*('Drilling Spec'!$C$49 + 2*lB*vB*(sB*WB + 2*vB*N9/(1+eB)) + 'Drilling Spec'!$C$50)) - 'Drilling Spec'!$C$51)/(2*vB)</f>
        <v>0</v>
      </c>
      <c r="P9" s="18">
        <f>IFERROR(((S9-'Drilling Spec'!$C$30)/'Drilling Spec'!$C$31)*'Drilling Spec'!$C$32,0)</f>
        <v>0</v>
      </c>
      <c r="Q9" s="18">
        <f t="shared" si="15"/>
        <v>0</v>
      </c>
      <c r="R9" s="18"/>
      <c r="S9" s="26" t="str">
        <f>IF(AND(OR(T8=0,T8=""),M9=0),IF(M10=0,"",'Drilling Spec'!$C$30),O9)</f>
        <v/>
      </c>
      <c r="U9" s="15">
        <f>E9*'Drilling Spec'!$C$22 + L9*'Drilling Spec'!$C$23</f>
        <v>0</v>
      </c>
      <c r="V9" s="15">
        <f t="shared" si="16"/>
        <v>0</v>
      </c>
      <c r="W9" s="15">
        <f t="shared" si="6"/>
        <v>0</v>
      </c>
      <c r="X9" s="10"/>
      <c r="Y9" s="30">
        <f>IF(W9&lt;U10,'Drilling Spec'!$C$35,0)</f>
        <v>0</v>
      </c>
      <c r="AA9" s="4">
        <f t="shared" si="19"/>
        <v>4</v>
      </c>
      <c r="AB9" s="10"/>
      <c r="AC9" s="30">
        <f>IF('08-07-25-Scen7-GennyFail'!K10&gt;'08-07-25-Scen7-GennyFail'!AA9,'Drilling Spec'!$C$36,)</f>
        <v>0</v>
      </c>
      <c r="AE9" s="18" t="e">
        <f>(I9-'Drilling Spec'!$C$26)/'Drilling Spec'!$C$38</f>
        <v>#VALUE!</v>
      </c>
      <c r="AF9" s="18">
        <f t="shared" si="7"/>
        <v>0</v>
      </c>
      <c r="AG9" s="34">
        <f t="shared" si="8"/>
        <v>0</v>
      </c>
      <c r="AH9" s="10"/>
      <c r="AI9" s="26">
        <f>IF(C9="Camp Closed",AG9,IF(AG9&lt;'Drilling Spec'!$C$39,,'Drilling Spec'!$C$39))</f>
        <v>0</v>
      </c>
      <c r="AL9" s="16" t="e">
        <f t="shared" si="9"/>
        <v>#N/A</v>
      </c>
      <c r="AM9" s="16" t="e">
        <f t="shared" si="10"/>
        <v>#N/A</v>
      </c>
      <c r="AN9">
        <f>-'Drilling Spec'!$C$29</f>
        <v>-720</v>
      </c>
      <c r="AO9">
        <f>-'Drilling Spec'!$C$27</f>
        <v>-624</v>
      </c>
      <c r="AP9">
        <f>-'Drilling Spec'!$C$28</f>
        <v>-688</v>
      </c>
      <c r="AQ9" t="e">
        <f t="shared" si="11"/>
        <v>#N/A</v>
      </c>
      <c r="AR9" t="e">
        <f>IF(X9=0,NA(),-'Drilling Spec'!$C$29*0.1)</f>
        <v>#N/A</v>
      </c>
      <c r="AS9" t="e">
        <f>IF(Y9=0,NA(),-'Drilling Spec'!$C$29*0.1)</f>
        <v>#N/A</v>
      </c>
      <c r="AT9" t="e">
        <f>IF(AB9=0,NA(),-'Drilling Spec'!$C$29*0.2)</f>
        <v>#N/A</v>
      </c>
      <c r="AU9" t="e">
        <f>IF(AC9=0,NA(),-'Drilling Spec'!$C$29*0.2)</f>
        <v>#N/A</v>
      </c>
      <c r="AV9" t="e">
        <f>IF(AH9=0,NA(),-'Drilling Spec'!$C$29*0.3)</f>
        <v>#N/A</v>
      </c>
      <c r="AW9" t="e">
        <f>IF(AI9=0,NA(),-'Drilling Spec'!$C$29*0.3)</f>
        <v>#N/A</v>
      </c>
      <c r="AX9" s="29">
        <f t="shared" si="12"/>
        <v>0</v>
      </c>
      <c r="AY9" s="29">
        <f t="shared" si="13"/>
        <v>4</v>
      </c>
      <c r="AZ9" s="29">
        <f t="shared" si="17"/>
        <v>0</v>
      </c>
      <c r="BT9" s="39"/>
      <c r="BU9" s="39"/>
      <c r="BV9" s="39"/>
      <c r="BW9" s="39"/>
      <c r="BX9" s="39"/>
      <c r="BY9" s="39"/>
      <c r="BZ9" s="39"/>
      <c r="CA9" s="39"/>
    </row>
    <row r="10" spans="1:79" x14ac:dyDescent="0.35">
      <c r="A10" s="28">
        <f t="shared" si="18"/>
        <v>45980</v>
      </c>
      <c r="B10" t="str">
        <f t="shared" si="0"/>
        <v>Wed</v>
      </c>
      <c r="C10" s="10" t="s">
        <v>4</v>
      </c>
      <c r="D10" s="10">
        <v>12</v>
      </c>
      <c r="E10" s="4">
        <f t="shared" si="1"/>
        <v>0</v>
      </c>
      <c r="F10" s="4">
        <f t="shared" si="2"/>
        <v>0</v>
      </c>
      <c r="G10" s="4">
        <f t="shared" si="3"/>
        <v>0</v>
      </c>
      <c r="H10" s="15" t="e">
        <f>(SQRT(4*I9*I9*V*V + 'Drilling Spec'!$C$42*I9 + W*('Drilling Spec'!$C$43 + 2*l*V*(s*W + 2*V*G10/(1+e)) + 'Drilling Spec'!$C$44)) - 'Drilling Spec'!$C$45)/(2*V)</f>
        <v>#VALUE!</v>
      </c>
      <c r="I10" s="23" t="str">
        <f>IF(AND(OR(I9=0,I9=""),F10=0),IF(F11=0,"",'Drilling Spec'!$C$26),H10)</f>
        <v/>
      </c>
      <c r="J10" s="16" t="e">
        <f>MAX(0,I10-'Drilling Spec'!$C$30)</f>
        <v>#VALUE!</v>
      </c>
      <c r="K10" s="18">
        <f>IFERROR(J10/'Drilling Spec'!$C$31,0)</f>
        <v>0</v>
      </c>
      <c r="L10" s="21">
        <f t="shared" si="4"/>
        <v>0</v>
      </c>
      <c r="M10" s="4">
        <f t="shared" si="14"/>
        <v>0</v>
      </c>
      <c r="N10" s="21">
        <f t="shared" si="5"/>
        <v>0</v>
      </c>
      <c r="O10" s="18">
        <f>(SQRT(4*O9*O9*vB*vB + 'Drilling Spec'!$C$48*O9 + WB*('Drilling Spec'!$C$49 + 2*lB*vB*(sB*WB + 2*vB*N10/(1+eB)) + 'Drilling Spec'!$C$50)) - 'Drilling Spec'!$C$51)/(2*vB)</f>
        <v>0</v>
      </c>
      <c r="P10" s="18">
        <f>IFERROR(((S10-'Drilling Spec'!$C$30)/'Drilling Spec'!$C$31)*'Drilling Spec'!$C$32,0)</f>
        <v>0</v>
      </c>
      <c r="Q10" s="18">
        <f t="shared" si="15"/>
        <v>0</v>
      </c>
      <c r="R10" s="18"/>
      <c r="S10" s="26" t="str">
        <f>IF(AND(OR(T9=0,T9=""),M10=0),IF(M11=0,"",'Drilling Spec'!$C$30),O10)</f>
        <v/>
      </c>
      <c r="U10" s="15">
        <f>E10*'Drilling Spec'!$C$22 + L10*'Drilling Spec'!$C$23</f>
        <v>0</v>
      </c>
      <c r="V10" s="15">
        <f t="shared" si="16"/>
        <v>0</v>
      </c>
      <c r="W10" s="15">
        <f t="shared" si="6"/>
        <v>0</v>
      </c>
      <c r="X10" s="10"/>
      <c r="Y10" s="30">
        <f>IF(W10&lt;U11,'Drilling Spec'!$C$35,0)</f>
        <v>0</v>
      </c>
      <c r="AA10" s="4">
        <f t="shared" si="19"/>
        <v>4</v>
      </c>
      <c r="AB10" s="10"/>
      <c r="AC10" s="30">
        <f>IF('08-07-25-Scen7-GennyFail'!K11&gt;'08-07-25-Scen7-GennyFail'!AA10,'Drilling Spec'!$C$36,)</f>
        <v>0</v>
      </c>
      <c r="AE10" s="18" t="e">
        <f>(I10-'Drilling Spec'!$C$26)/'Drilling Spec'!$C$38</f>
        <v>#VALUE!</v>
      </c>
      <c r="AF10" s="18">
        <f t="shared" si="7"/>
        <v>0</v>
      </c>
      <c r="AG10" s="34">
        <f t="shared" si="8"/>
        <v>0</v>
      </c>
      <c r="AH10" s="10"/>
      <c r="AI10" s="26">
        <f>IF(C10="Camp Closed",AG10,IF(AG10&lt;'Drilling Spec'!$C$39,,'Drilling Spec'!$C$39))</f>
        <v>0</v>
      </c>
      <c r="AL10" s="16" t="e">
        <f t="shared" si="9"/>
        <v>#N/A</v>
      </c>
      <c r="AM10" s="16" t="e">
        <f t="shared" si="10"/>
        <v>#N/A</v>
      </c>
      <c r="AN10">
        <f>-'Drilling Spec'!$C$29</f>
        <v>-720</v>
      </c>
      <c r="AO10">
        <f>-'Drilling Spec'!$C$27</f>
        <v>-624</v>
      </c>
      <c r="AP10">
        <f>-'Drilling Spec'!$C$28</f>
        <v>-688</v>
      </c>
      <c r="AQ10" t="e">
        <f t="shared" si="11"/>
        <v>#N/A</v>
      </c>
      <c r="AR10" t="e">
        <f>IF(X10=0,NA(),-'Drilling Spec'!$C$29*0.1)</f>
        <v>#N/A</v>
      </c>
      <c r="AS10" t="e">
        <f>IF(Y10=0,NA(),-'Drilling Spec'!$C$29*0.1)</f>
        <v>#N/A</v>
      </c>
      <c r="AT10" t="e">
        <f>IF(AB10=0,NA(),-'Drilling Spec'!$C$29*0.2)</f>
        <v>#N/A</v>
      </c>
      <c r="AU10" t="e">
        <f>IF(AC10=0,NA(),-'Drilling Spec'!$C$29*0.2)</f>
        <v>#N/A</v>
      </c>
      <c r="AV10" t="e">
        <f>IF(AH10=0,NA(),-'Drilling Spec'!$C$29*0.3)</f>
        <v>#N/A</v>
      </c>
      <c r="AW10" t="e">
        <f>IF(AI10=0,NA(),-'Drilling Spec'!$C$29*0.3)</f>
        <v>#N/A</v>
      </c>
      <c r="AX10" s="29">
        <f t="shared" si="12"/>
        <v>0</v>
      </c>
      <c r="AY10" s="29">
        <f t="shared" si="13"/>
        <v>4</v>
      </c>
      <c r="AZ10" s="29">
        <f t="shared" si="17"/>
        <v>0</v>
      </c>
      <c r="BT10" s="39"/>
      <c r="BU10" s="39"/>
      <c r="BV10" s="39"/>
      <c r="BW10" s="39"/>
      <c r="BX10" s="39"/>
      <c r="BY10" s="39"/>
      <c r="BZ10" s="39"/>
      <c r="CA10" s="39"/>
    </row>
    <row r="11" spans="1:79" x14ac:dyDescent="0.35">
      <c r="A11" s="28">
        <f t="shared" si="18"/>
        <v>45981</v>
      </c>
      <c r="B11" t="str">
        <f t="shared" si="0"/>
        <v>Thu</v>
      </c>
      <c r="C11" s="10" t="s">
        <v>4</v>
      </c>
      <c r="D11" s="10">
        <v>12</v>
      </c>
      <c r="E11" s="4">
        <f t="shared" si="1"/>
        <v>0</v>
      </c>
      <c r="F11" s="4">
        <f t="shared" si="2"/>
        <v>0</v>
      </c>
      <c r="G11" s="4">
        <f t="shared" si="3"/>
        <v>0</v>
      </c>
      <c r="H11" s="15" t="e">
        <f>(SQRT(4*I10*I10*V*V + 'Drilling Spec'!$C$42*I10 + W*('Drilling Spec'!$C$43 + 2*l*V*(s*W + 2*V*G11/(1+e)) + 'Drilling Spec'!$C$44)) - 'Drilling Spec'!$C$45)/(2*V)</f>
        <v>#VALUE!</v>
      </c>
      <c r="I11" s="23" t="str">
        <f>IF(AND(OR(I10=0,I10=""),F11=0),IF(F12=0,"",'Drilling Spec'!$C$26),H11)</f>
        <v/>
      </c>
      <c r="J11" s="16" t="e">
        <f>MAX(0,I11-'Drilling Spec'!$C$30)</f>
        <v>#VALUE!</v>
      </c>
      <c r="K11" s="18">
        <f>IFERROR(J11/'Drilling Spec'!$C$31,0)</f>
        <v>0</v>
      </c>
      <c r="L11" s="21">
        <f t="shared" si="4"/>
        <v>0</v>
      </c>
      <c r="M11" s="4">
        <f t="shared" si="14"/>
        <v>0</v>
      </c>
      <c r="N11" s="21">
        <f t="shared" si="5"/>
        <v>0</v>
      </c>
      <c r="O11" s="18">
        <f>(SQRT(4*O10*O10*vB*vB + 'Drilling Spec'!$C$48*O10 + WB*('Drilling Spec'!$C$49 + 2*lB*vB*(sB*WB + 2*vB*N11/(1+eB)) + 'Drilling Spec'!$C$50)) - 'Drilling Spec'!$C$51)/(2*vB)</f>
        <v>0</v>
      </c>
      <c r="P11" s="18">
        <f>IFERROR(((S11-'Drilling Spec'!$C$30)/'Drilling Spec'!$C$31)*'Drilling Spec'!$C$32,0)</f>
        <v>0</v>
      </c>
      <c r="Q11" s="18">
        <f t="shared" si="15"/>
        <v>0</v>
      </c>
      <c r="R11" s="18"/>
      <c r="S11" s="26" t="str">
        <f>IF(AND(OR(T10=0,T10=""),M11=0),IF(M12=0,"",'Drilling Spec'!$C$30),O11)</f>
        <v/>
      </c>
      <c r="U11" s="15">
        <f>E11*'Drilling Spec'!$C$22 + L11*'Drilling Spec'!$C$23</f>
        <v>0</v>
      </c>
      <c r="V11" s="15">
        <f t="shared" si="16"/>
        <v>0</v>
      </c>
      <c r="W11" s="15">
        <f t="shared" si="6"/>
        <v>0</v>
      </c>
      <c r="X11" s="10"/>
      <c r="Y11" s="30">
        <f>IF(W11&lt;U12,'Drilling Spec'!$C$35,0)</f>
        <v>0</v>
      </c>
      <c r="AA11" s="4">
        <f t="shared" si="19"/>
        <v>4</v>
      </c>
      <c r="AB11" s="10"/>
      <c r="AC11" s="30">
        <f>IF('08-07-25-Scen7-GennyFail'!K12&gt;'08-07-25-Scen7-GennyFail'!AA11,'Drilling Spec'!$C$36,)</f>
        <v>0</v>
      </c>
      <c r="AE11" s="18" t="e">
        <f>(I11-'Drilling Spec'!$C$26)/'Drilling Spec'!$C$38</f>
        <v>#VALUE!</v>
      </c>
      <c r="AF11" s="18">
        <f t="shared" si="7"/>
        <v>0</v>
      </c>
      <c r="AG11" s="34">
        <f t="shared" si="8"/>
        <v>0</v>
      </c>
      <c r="AH11" s="10"/>
      <c r="AI11" s="26">
        <f>IF(C11="Camp Closed",AG11,IF(AG11&lt;'Drilling Spec'!$C$39,,'Drilling Spec'!$C$39))</f>
        <v>0</v>
      </c>
      <c r="AL11" s="16" t="e">
        <f t="shared" si="9"/>
        <v>#N/A</v>
      </c>
      <c r="AM11" s="16" t="e">
        <f t="shared" si="10"/>
        <v>#N/A</v>
      </c>
      <c r="AN11">
        <f>-'Drilling Spec'!$C$29</f>
        <v>-720</v>
      </c>
      <c r="AO11">
        <f>-'Drilling Spec'!$C$27</f>
        <v>-624</v>
      </c>
      <c r="AP11">
        <f>-'Drilling Spec'!$C$28</f>
        <v>-688</v>
      </c>
      <c r="AQ11" t="e">
        <f t="shared" si="11"/>
        <v>#N/A</v>
      </c>
      <c r="AR11" t="e">
        <f>IF(X11=0,NA(),-'Drilling Spec'!$C$29*0.1)</f>
        <v>#N/A</v>
      </c>
      <c r="AS11" t="e">
        <f>IF(Y11=0,NA(),-'Drilling Spec'!$C$29*0.1)</f>
        <v>#N/A</v>
      </c>
      <c r="AT11" t="e">
        <f>IF(AB11=0,NA(),-'Drilling Spec'!$C$29*0.2)</f>
        <v>#N/A</v>
      </c>
      <c r="AU11" t="e">
        <f>IF(AC11=0,NA(),-'Drilling Spec'!$C$29*0.2)</f>
        <v>#N/A</v>
      </c>
      <c r="AV11" t="e">
        <f>IF(AH11=0,NA(),-'Drilling Spec'!$C$29*0.3)</f>
        <v>#N/A</v>
      </c>
      <c r="AW11" t="e">
        <f>IF(AI11=0,NA(),-'Drilling Spec'!$C$29*0.3)</f>
        <v>#N/A</v>
      </c>
      <c r="AX11" s="29">
        <f t="shared" si="12"/>
        <v>0</v>
      </c>
      <c r="AY11" s="29">
        <f t="shared" si="13"/>
        <v>4</v>
      </c>
      <c r="AZ11" s="29">
        <f t="shared" si="17"/>
        <v>0</v>
      </c>
      <c r="BS11" s="35"/>
      <c r="BT11" s="35"/>
      <c r="BU11" s="41" t="s">
        <v>7</v>
      </c>
      <c r="BV11" s="41"/>
      <c r="BW11" s="42" t="s">
        <v>182</v>
      </c>
      <c r="BX11" s="43"/>
      <c r="BY11" s="43"/>
      <c r="BZ11" s="43"/>
      <c r="CA11" s="43"/>
    </row>
    <row r="12" spans="1:79" x14ac:dyDescent="0.35">
      <c r="A12" s="28">
        <f t="shared" si="18"/>
        <v>45982</v>
      </c>
      <c r="B12" t="str">
        <f t="shared" si="0"/>
        <v>Fri</v>
      </c>
      <c r="C12" s="10" t="s">
        <v>4</v>
      </c>
      <c r="D12" s="10">
        <v>12</v>
      </c>
      <c r="E12" s="4">
        <f t="shared" si="1"/>
        <v>0</v>
      </c>
      <c r="F12" s="4">
        <f t="shared" si="2"/>
        <v>0</v>
      </c>
      <c r="G12" s="4">
        <f t="shared" si="3"/>
        <v>0</v>
      </c>
      <c r="H12" s="15" t="e">
        <f>(SQRT(4*I11*I11*V*V + 'Drilling Spec'!$C$42*I11 + W*('Drilling Spec'!$C$43 + 2*l*V*(s*W + 2*V*G12/(1+e)) + 'Drilling Spec'!$C$44)) - 'Drilling Spec'!$C$45)/(2*V)</f>
        <v>#VALUE!</v>
      </c>
      <c r="I12" s="23" t="str">
        <f>IF(AND(OR(I11=0,I11=""),F12=0),IF(F13=0,"",'Drilling Spec'!$C$26),H12)</f>
        <v/>
      </c>
      <c r="J12" s="16" t="e">
        <f>MAX(0,I12-'Drilling Spec'!$C$30)</f>
        <v>#VALUE!</v>
      </c>
      <c r="K12" s="18">
        <f>IFERROR(J12/'Drilling Spec'!$C$31,0)</f>
        <v>0</v>
      </c>
      <c r="L12" s="21">
        <f t="shared" si="4"/>
        <v>0</v>
      </c>
      <c r="M12" s="4">
        <f t="shared" si="14"/>
        <v>0</v>
      </c>
      <c r="N12" s="21">
        <f t="shared" si="5"/>
        <v>0</v>
      </c>
      <c r="O12" s="18">
        <f>(SQRT(4*O11*O11*vB*vB + 'Drilling Spec'!$C$48*O11 + WB*('Drilling Spec'!$C$49 + 2*lB*vB*(sB*WB + 2*vB*N12/(1+eB)) + 'Drilling Spec'!$C$50)) - 'Drilling Spec'!$C$51)/(2*vB)</f>
        <v>0</v>
      </c>
      <c r="P12" s="18">
        <f>IFERROR(((S12-'Drilling Spec'!$C$30)/'Drilling Spec'!$C$31)*'Drilling Spec'!$C$32,0)</f>
        <v>0</v>
      </c>
      <c r="Q12" s="18">
        <f t="shared" si="15"/>
        <v>0</v>
      </c>
      <c r="R12" s="18"/>
      <c r="S12" s="26" t="str">
        <f>IF(AND(OR(T11=0,T11=""),M12=0),IF(M13=0,"",'Drilling Spec'!$C$30),O12)</f>
        <v/>
      </c>
      <c r="U12" s="15">
        <f>E12*'Drilling Spec'!$C$22 + L12*'Drilling Spec'!$C$23</f>
        <v>0</v>
      </c>
      <c r="V12" s="15">
        <f t="shared" si="16"/>
        <v>0</v>
      </c>
      <c r="W12" s="15">
        <f t="shared" si="6"/>
        <v>0</v>
      </c>
      <c r="X12" s="10"/>
      <c r="Y12" s="30">
        <f>IF(W12&lt;U13,'Drilling Spec'!$C$35,0)</f>
        <v>0</v>
      </c>
      <c r="AA12" s="4">
        <f t="shared" si="19"/>
        <v>4</v>
      </c>
      <c r="AB12" s="10"/>
      <c r="AC12" s="30">
        <f>IF('08-07-25-Scen7-GennyFail'!K13&gt;'08-07-25-Scen7-GennyFail'!AA12,'Drilling Spec'!$C$36,)</f>
        <v>0</v>
      </c>
      <c r="AE12" s="18" t="e">
        <f>(I12-'Drilling Spec'!$C$26)/'Drilling Spec'!$C$38</f>
        <v>#VALUE!</v>
      </c>
      <c r="AF12" s="18">
        <f t="shared" si="7"/>
        <v>0</v>
      </c>
      <c r="AG12" s="34">
        <f t="shared" si="8"/>
        <v>0</v>
      </c>
      <c r="AH12" s="10"/>
      <c r="AI12" s="26">
        <f>IF(C12="Camp Closed",AG12,IF(AG12&lt;'Drilling Spec'!$C$39,,'Drilling Spec'!$C$39))</f>
        <v>0</v>
      </c>
      <c r="AL12" s="16" t="e">
        <f t="shared" si="9"/>
        <v>#N/A</v>
      </c>
      <c r="AM12" s="16" t="e">
        <f t="shared" si="10"/>
        <v>#N/A</v>
      </c>
      <c r="AN12">
        <f>-'Drilling Spec'!$C$29</f>
        <v>-720</v>
      </c>
      <c r="AO12">
        <f>-'Drilling Spec'!$C$27</f>
        <v>-624</v>
      </c>
      <c r="AP12">
        <f>-'Drilling Spec'!$C$28</f>
        <v>-688</v>
      </c>
      <c r="AQ12" t="e">
        <f t="shared" si="11"/>
        <v>#N/A</v>
      </c>
      <c r="AR12" t="e">
        <f>IF(X12=0,NA(),-'Drilling Spec'!$C$29*0.1)</f>
        <v>#N/A</v>
      </c>
      <c r="AS12" t="e">
        <f>IF(Y12=0,NA(),-'Drilling Spec'!$C$29*0.1)</f>
        <v>#N/A</v>
      </c>
      <c r="AT12" t="e">
        <f>IF(AB12=0,NA(),-'Drilling Spec'!$C$29*0.2)</f>
        <v>#N/A</v>
      </c>
      <c r="AU12" t="e">
        <f>IF(AC12=0,NA(),-'Drilling Spec'!$C$29*0.2)</f>
        <v>#N/A</v>
      </c>
      <c r="AV12" t="e">
        <f>IF(AH12=0,NA(),-'Drilling Spec'!$C$29*0.3)</f>
        <v>#N/A</v>
      </c>
      <c r="AW12" t="e">
        <f>IF(AI12=0,NA(),-'Drilling Spec'!$C$29*0.3)</f>
        <v>#N/A</v>
      </c>
      <c r="AX12" s="29">
        <f t="shared" si="12"/>
        <v>0</v>
      </c>
      <c r="AY12" s="29">
        <f t="shared" si="13"/>
        <v>4</v>
      </c>
      <c r="AZ12" s="29">
        <f t="shared" si="17"/>
        <v>0</v>
      </c>
      <c r="BS12" s="35"/>
      <c r="BT12" s="35"/>
      <c r="BU12" s="41" t="s">
        <v>9</v>
      </c>
      <c r="BV12" s="41"/>
      <c r="BW12" s="42" t="s">
        <v>181</v>
      </c>
      <c r="BX12" s="43"/>
      <c r="BY12" s="43"/>
      <c r="BZ12" s="43"/>
      <c r="CA12" s="43"/>
    </row>
    <row r="13" spans="1:79" x14ac:dyDescent="0.35">
      <c r="A13" s="28">
        <f t="shared" si="18"/>
        <v>45983</v>
      </c>
      <c r="B13" t="str">
        <f t="shared" si="0"/>
        <v>Sat</v>
      </c>
      <c r="C13" s="10" t="s">
        <v>4</v>
      </c>
      <c r="D13" s="10">
        <v>12</v>
      </c>
      <c r="E13" s="4">
        <f t="shared" si="1"/>
        <v>0</v>
      </c>
      <c r="F13" s="4">
        <f t="shared" si="2"/>
        <v>0</v>
      </c>
      <c r="G13" s="4">
        <f t="shared" si="3"/>
        <v>0</v>
      </c>
      <c r="H13" s="15" t="e">
        <f>(SQRT(4*I12*I12*V*V + 'Drilling Spec'!$C$42*I12 + W*('Drilling Spec'!$C$43 + 2*l*V*(s*W + 2*V*G13/(1+e)) + 'Drilling Spec'!$C$44)) - 'Drilling Spec'!$C$45)/(2*V)</f>
        <v>#VALUE!</v>
      </c>
      <c r="I13" s="23" t="str">
        <f>IF(AND(OR(I12=0,I12=""),F13=0),IF(F14=0,"",'Drilling Spec'!$C$26),H13)</f>
        <v/>
      </c>
      <c r="J13" s="16" t="e">
        <f>MAX(0,I13-'Drilling Spec'!$C$30)</f>
        <v>#VALUE!</v>
      </c>
      <c r="K13" s="18">
        <f>IFERROR(J13/'Drilling Spec'!$C$31,0)</f>
        <v>0</v>
      </c>
      <c r="L13" s="21">
        <f t="shared" si="4"/>
        <v>0</v>
      </c>
      <c r="M13" s="4">
        <f t="shared" si="14"/>
        <v>0</v>
      </c>
      <c r="N13" s="21">
        <f t="shared" si="5"/>
        <v>0</v>
      </c>
      <c r="O13" s="18">
        <f>(SQRT(4*O12*O12*vB*vB + 'Drilling Spec'!$C$48*O12 + WB*('Drilling Spec'!$C$49 + 2*lB*vB*(sB*WB + 2*vB*N13/(1+eB)) + 'Drilling Spec'!$C$50)) - 'Drilling Spec'!$C$51)/(2*vB)</f>
        <v>0</v>
      </c>
      <c r="P13" s="18">
        <f>IFERROR(((S13-'Drilling Spec'!$C$30)/'Drilling Spec'!$C$31)*'Drilling Spec'!$C$32,0)</f>
        <v>0</v>
      </c>
      <c r="Q13" s="18">
        <f t="shared" si="15"/>
        <v>0</v>
      </c>
      <c r="R13" s="18"/>
      <c r="S13" s="26" t="str">
        <f>IF(AND(OR(T12=0,T12=""),M13=0),IF(M14=0,"",'Drilling Spec'!$C$30),O13)</f>
        <v/>
      </c>
      <c r="U13" s="15">
        <f>E13*'Drilling Spec'!$C$22 + L13*'Drilling Spec'!$C$23</f>
        <v>0</v>
      </c>
      <c r="V13" s="15">
        <f t="shared" si="16"/>
        <v>0</v>
      </c>
      <c r="W13" s="15">
        <f t="shared" si="6"/>
        <v>0</v>
      </c>
      <c r="X13" s="10"/>
      <c r="Y13" s="30">
        <f>IF(W13&lt;U14,'Drilling Spec'!$C$35,0)</f>
        <v>0</v>
      </c>
      <c r="AA13" s="4">
        <f t="shared" si="19"/>
        <v>4</v>
      </c>
      <c r="AB13" s="10"/>
      <c r="AC13" s="30">
        <f>IF('08-07-25-Scen7-GennyFail'!K14&gt;'08-07-25-Scen7-GennyFail'!AA13,'Drilling Spec'!$C$36,)</f>
        <v>0</v>
      </c>
      <c r="AE13" s="18" t="e">
        <f>(I13-'Drilling Spec'!$C$26)/'Drilling Spec'!$C$38</f>
        <v>#VALUE!</v>
      </c>
      <c r="AF13" s="18">
        <f t="shared" si="7"/>
        <v>0</v>
      </c>
      <c r="AG13" s="34">
        <f t="shared" si="8"/>
        <v>0</v>
      </c>
      <c r="AH13" s="10"/>
      <c r="AI13" s="26">
        <f>IF(C13="Camp Closed",AG13,IF(AG13&lt;'Drilling Spec'!$C$39,,'Drilling Spec'!$C$39))</f>
        <v>0</v>
      </c>
      <c r="AL13" s="16" t="e">
        <f t="shared" si="9"/>
        <v>#N/A</v>
      </c>
      <c r="AM13" s="16" t="e">
        <f t="shared" si="10"/>
        <v>#N/A</v>
      </c>
      <c r="AN13">
        <f>-'Drilling Spec'!$C$29</f>
        <v>-720</v>
      </c>
      <c r="AO13">
        <f>-'Drilling Spec'!$C$27</f>
        <v>-624</v>
      </c>
      <c r="AP13">
        <f>-'Drilling Spec'!$C$28</f>
        <v>-688</v>
      </c>
      <c r="AQ13" t="e">
        <f t="shared" si="11"/>
        <v>#N/A</v>
      </c>
      <c r="AR13" t="e">
        <f>IF(X13=0,NA(),-'Drilling Spec'!$C$29*0.1)</f>
        <v>#N/A</v>
      </c>
      <c r="AS13" t="e">
        <f>IF(Y13=0,NA(),-'Drilling Spec'!$C$29*0.1)</f>
        <v>#N/A</v>
      </c>
      <c r="AT13" t="e">
        <f>IF(AB13=0,NA(),-'Drilling Spec'!$C$29*0.2)</f>
        <v>#N/A</v>
      </c>
      <c r="AU13" t="e">
        <f>IF(AC13=0,NA(),-'Drilling Spec'!$C$29*0.2)</f>
        <v>#N/A</v>
      </c>
      <c r="AV13" t="e">
        <f>IF(AH13=0,NA(),-'Drilling Spec'!$C$29*0.3)</f>
        <v>#N/A</v>
      </c>
      <c r="AW13" t="e">
        <f>IF(AI13=0,NA(),-'Drilling Spec'!$C$29*0.3)</f>
        <v>#N/A</v>
      </c>
      <c r="AX13" s="29">
        <f t="shared" si="12"/>
        <v>0</v>
      </c>
      <c r="AY13" s="29">
        <f t="shared" si="13"/>
        <v>4</v>
      </c>
      <c r="AZ13" s="29">
        <f t="shared" si="17"/>
        <v>0</v>
      </c>
      <c r="BS13" s="35"/>
      <c r="BT13" s="35"/>
      <c r="BU13" s="41" t="s">
        <v>10</v>
      </c>
      <c r="BV13" s="41"/>
      <c r="BW13" s="42" t="s">
        <v>180</v>
      </c>
      <c r="BX13" s="43"/>
      <c r="BY13" s="43"/>
      <c r="BZ13" s="43"/>
      <c r="CA13" s="43"/>
    </row>
    <row r="14" spans="1:79" x14ac:dyDescent="0.35">
      <c r="A14" s="28">
        <f t="shared" si="18"/>
        <v>45984</v>
      </c>
      <c r="B14" t="str">
        <f t="shared" si="0"/>
        <v>Sun</v>
      </c>
      <c r="C14" s="10" t="s">
        <v>4</v>
      </c>
      <c r="D14" s="10">
        <v>12</v>
      </c>
      <c r="E14" s="4">
        <f t="shared" si="1"/>
        <v>0</v>
      </c>
      <c r="F14" s="4">
        <f t="shared" si="2"/>
        <v>0</v>
      </c>
      <c r="G14" s="4">
        <f t="shared" si="3"/>
        <v>0</v>
      </c>
      <c r="H14" s="15" t="e">
        <f>(SQRT(4*I13*I13*V*V + 'Drilling Spec'!$C$42*I13 + W*('Drilling Spec'!$C$43 + 2*l*V*(s*W + 2*V*G14/(1+e)) + 'Drilling Spec'!$C$44)) - 'Drilling Spec'!$C$45)/(2*V)</f>
        <v>#VALUE!</v>
      </c>
      <c r="I14" s="23" t="str">
        <f>IF(AND(OR(I13=0,I13=""),F14=0),IF(F15=0,"",'Drilling Spec'!$C$26),H14)</f>
        <v/>
      </c>
      <c r="J14" s="16" t="e">
        <f>MAX(0,I14-'Drilling Spec'!$C$30)</f>
        <v>#VALUE!</v>
      </c>
      <c r="K14" s="18">
        <f>IFERROR(J14/'Drilling Spec'!$C$31,0)</f>
        <v>0</v>
      </c>
      <c r="L14" s="21">
        <f t="shared" si="4"/>
        <v>0</v>
      </c>
      <c r="M14" s="4">
        <f t="shared" si="14"/>
        <v>0</v>
      </c>
      <c r="N14" s="21">
        <f t="shared" si="5"/>
        <v>0</v>
      </c>
      <c r="O14" s="18">
        <f>(SQRT(4*O13*O13*vB*vB + 'Drilling Spec'!$C$48*O13 + WB*('Drilling Spec'!$C$49 + 2*lB*vB*(sB*WB + 2*vB*N14/(1+eB)) + 'Drilling Spec'!$C$50)) - 'Drilling Spec'!$C$51)/(2*vB)</f>
        <v>0</v>
      </c>
      <c r="P14" s="18">
        <f>IFERROR(((S14-'Drilling Spec'!$C$30)/'Drilling Spec'!$C$31)*'Drilling Spec'!$C$32,0)</f>
        <v>0</v>
      </c>
      <c r="Q14" s="18">
        <f t="shared" si="15"/>
        <v>0</v>
      </c>
      <c r="R14" s="18"/>
      <c r="S14" s="26" t="str">
        <f>IF(AND(OR(T13=0,T13=""),M14=0),IF(M15=0,"",'Drilling Spec'!$C$30),O14)</f>
        <v/>
      </c>
      <c r="U14" s="15">
        <f>E14*'Drilling Spec'!$C$22 + L14*'Drilling Spec'!$C$23</f>
        <v>0</v>
      </c>
      <c r="V14" s="15">
        <f t="shared" si="16"/>
        <v>0</v>
      </c>
      <c r="W14" s="15">
        <f t="shared" si="6"/>
        <v>0</v>
      </c>
      <c r="X14" s="10"/>
      <c r="Y14" s="30">
        <f>IF(W14&lt;U15,'Drilling Spec'!$C$35,0)</f>
        <v>0</v>
      </c>
      <c r="AA14" s="4">
        <f t="shared" si="19"/>
        <v>4</v>
      </c>
      <c r="AB14" s="10"/>
      <c r="AC14" s="30">
        <f>IF('08-07-25-Scen7-GennyFail'!K15&gt;'08-07-25-Scen7-GennyFail'!AA14,'Drilling Spec'!$C$36,)</f>
        <v>0</v>
      </c>
      <c r="AE14" s="18" t="e">
        <f>(I14-'Drilling Spec'!$C$26)/'Drilling Spec'!$C$38</f>
        <v>#VALUE!</v>
      </c>
      <c r="AF14" s="18">
        <f t="shared" si="7"/>
        <v>0</v>
      </c>
      <c r="AG14" s="34">
        <f t="shared" si="8"/>
        <v>0</v>
      </c>
      <c r="AH14" s="10"/>
      <c r="AI14" s="26">
        <f>IF(C14="Camp Closed",AG14,IF(AG14&lt;'Drilling Spec'!$C$39,,'Drilling Spec'!$C$39))</f>
        <v>0</v>
      </c>
      <c r="AL14" s="16" t="e">
        <f t="shared" si="9"/>
        <v>#N/A</v>
      </c>
      <c r="AM14" s="16" t="e">
        <f t="shared" si="10"/>
        <v>#N/A</v>
      </c>
      <c r="AN14">
        <f>-'Drilling Spec'!$C$29</f>
        <v>-720</v>
      </c>
      <c r="AO14">
        <f>-'Drilling Spec'!$C$27</f>
        <v>-624</v>
      </c>
      <c r="AP14">
        <f>-'Drilling Spec'!$C$28</f>
        <v>-688</v>
      </c>
      <c r="AQ14" t="e">
        <f t="shared" si="11"/>
        <v>#N/A</v>
      </c>
      <c r="AR14" t="e">
        <f>IF(X14=0,NA(),-'Drilling Spec'!$C$29*0.1)</f>
        <v>#N/A</v>
      </c>
      <c r="AS14" t="e">
        <f>IF(Y14=0,NA(),-'Drilling Spec'!$C$29*0.1)</f>
        <v>#N/A</v>
      </c>
      <c r="AT14" t="e">
        <f>IF(AB14=0,NA(),-'Drilling Spec'!$C$29*0.2)</f>
        <v>#N/A</v>
      </c>
      <c r="AU14" t="e">
        <f>IF(AC14=0,NA(),-'Drilling Spec'!$C$29*0.2)</f>
        <v>#N/A</v>
      </c>
      <c r="AV14" t="e">
        <f>IF(AH14=0,NA(),-'Drilling Spec'!$C$29*0.3)</f>
        <v>#N/A</v>
      </c>
      <c r="AW14" t="e">
        <f>IF(AI14=0,NA(),-'Drilling Spec'!$C$29*0.3)</f>
        <v>#N/A</v>
      </c>
      <c r="AX14" s="29">
        <f t="shared" si="12"/>
        <v>0</v>
      </c>
      <c r="AY14" s="29">
        <f t="shared" si="13"/>
        <v>4</v>
      </c>
      <c r="AZ14" s="29">
        <f t="shared" si="17"/>
        <v>0</v>
      </c>
      <c r="BS14" s="35"/>
      <c r="BT14" s="35"/>
      <c r="BU14" s="44" t="s">
        <v>71</v>
      </c>
      <c r="BV14" s="44"/>
      <c r="BW14" s="42" t="s">
        <v>179</v>
      </c>
      <c r="BX14" s="43"/>
      <c r="BY14" s="43"/>
      <c r="BZ14" s="43"/>
      <c r="CA14" s="43"/>
    </row>
    <row r="15" spans="1:79" x14ac:dyDescent="0.35">
      <c r="A15" s="28">
        <f t="shared" si="18"/>
        <v>45985</v>
      </c>
      <c r="B15" t="str">
        <f t="shared" si="0"/>
        <v>Mon</v>
      </c>
      <c r="C15" s="10" t="s">
        <v>4</v>
      </c>
      <c r="D15" s="10">
        <v>12</v>
      </c>
      <c r="E15" s="4">
        <f t="shared" si="1"/>
        <v>0</v>
      </c>
      <c r="F15" s="4">
        <f t="shared" si="2"/>
        <v>0</v>
      </c>
      <c r="G15" s="4">
        <f t="shared" si="3"/>
        <v>0</v>
      </c>
      <c r="H15" s="15" t="e">
        <f>(SQRT(4*I14*I14*V*V + 'Drilling Spec'!$C$42*I14 + W*('Drilling Spec'!$C$43 + 2*l*V*(s*W + 2*V*G15/(1+e)) + 'Drilling Spec'!$C$44)) - 'Drilling Spec'!$C$45)/(2*V)</f>
        <v>#VALUE!</v>
      </c>
      <c r="I15" s="23" t="str">
        <f>IF(AND(OR(I14=0,I14=""),F15=0),IF(F16=0,"",'Drilling Spec'!$C$26),H15)</f>
        <v/>
      </c>
      <c r="J15" s="16" t="e">
        <f>MAX(0,I15-'Drilling Spec'!$C$30)</f>
        <v>#VALUE!</v>
      </c>
      <c r="K15" s="18">
        <f>IFERROR(J15/'Drilling Spec'!$C$31,0)</f>
        <v>0</v>
      </c>
      <c r="L15" s="21">
        <f t="shared" si="4"/>
        <v>0</v>
      </c>
      <c r="M15" s="4">
        <f t="shared" si="14"/>
        <v>0</v>
      </c>
      <c r="N15" s="21">
        <f t="shared" si="5"/>
        <v>0</v>
      </c>
      <c r="O15" s="18">
        <f>(SQRT(4*O14*O14*vB*vB + 'Drilling Spec'!$C$48*O14 + WB*('Drilling Spec'!$C$49 + 2*lB*vB*(sB*WB + 2*vB*N15/(1+eB)) + 'Drilling Spec'!$C$50)) - 'Drilling Spec'!$C$51)/(2*vB)</f>
        <v>0</v>
      </c>
      <c r="P15" s="18">
        <f>IFERROR(((S15-'Drilling Spec'!$C$30)/'Drilling Spec'!$C$31)*'Drilling Spec'!$C$32,0)</f>
        <v>0</v>
      </c>
      <c r="Q15" s="18">
        <f t="shared" si="15"/>
        <v>0</v>
      </c>
      <c r="R15" s="18"/>
      <c r="S15" s="26" t="str">
        <f>IF(AND(OR(T14=0,T14=""),M15=0),IF(M16=0,"",'Drilling Spec'!$C$30),O15)</f>
        <v/>
      </c>
      <c r="U15" s="15">
        <f>E15*'Drilling Spec'!$C$22 + L15*'Drilling Spec'!$C$23</f>
        <v>0</v>
      </c>
      <c r="V15" s="15">
        <f t="shared" si="16"/>
        <v>0</v>
      </c>
      <c r="W15" s="15">
        <f t="shared" si="6"/>
        <v>0</v>
      </c>
      <c r="X15" s="10"/>
      <c r="Y15" s="30">
        <f>IF(W15&lt;U16,'Drilling Spec'!$C$35,0)</f>
        <v>0</v>
      </c>
      <c r="AA15" s="4">
        <f t="shared" si="19"/>
        <v>4</v>
      </c>
      <c r="AB15" s="10"/>
      <c r="AC15" s="30">
        <f>IF('08-07-25-Scen7-GennyFail'!K16&gt;'08-07-25-Scen7-GennyFail'!AA15,'Drilling Spec'!$C$36,)</f>
        <v>0</v>
      </c>
      <c r="AE15" s="18" t="e">
        <f>(I15-'Drilling Spec'!$C$26)/'Drilling Spec'!$C$38</f>
        <v>#VALUE!</v>
      </c>
      <c r="AF15" s="18">
        <f t="shared" si="7"/>
        <v>0</v>
      </c>
      <c r="AG15" s="34">
        <f t="shared" si="8"/>
        <v>0</v>
      </c>
      <c r="AH15" s="10"/>
      <c r="AI15" s="26">
        <f>IF(C15="Camp Closed",AG15,IF(AG15&lt;'Drilling Spec'!$C$39,,'Drilling Spec'!$C$39))</f>
        <v>0</v>
      </c>
      <c r="AL15" s="16" t="e">
        <f t="shared" si="9"/>
        <v>#N/A</v>
      </c>
      <c r="AM15" s="16" t="e">
        <f t="shared" si="10"/>
        <v>#N/A</v>
      </c>
      <c r="AN15">
        <f>-'Drilling Spec'!$C$29</f>
        <v>-720</v>
      </c>
      <c r="AO15">
        <f>-'Drilling Spec'!$C$27</f>
        <v>-624</v>
      </c>
      <c r="AP15">
        <f>-'Drilling Spec'!$C$28</f>
        <v>-688</v>
      </c>
      <c r="AQ15" t="e">
        <f t="shared" si="11"/>
        <v>#N/A</v>
      </c>
      <c r="AR15" t="e">
        <f>IF(X15=0,NA(),-'Drilling Spec'!$C$29*0.1)</f>
        <v>#N/A</v>
      </c>
      <c r="AS15" t="e">
        <f>IF(Y15=0,NA(),-'Drilling Spec'!$C$29*0.1)</f>
        <v>#N/A</v>
      </c>
      <c r="AT15" t="e">
        <f>IF(AB15=0,NA(),-'Drilling Spec'!$C$29*0.2)</f>
        <v>#N/A</v>
      </c>
      <c r="AU15" t="e">
        <f>IF(AC15=0,NA(),-'Drilling Spec'!$C$29*0.2)</f>
        <v>#N/A</v>
      </c>
      <c r="AV15" t="e">
        <f>IF(AH15=0,NA(),-'Drilling Spec'!$C$29*0.3)</f>
        <v>#N/A</v>
      </c>
      <c r="AW15" t="e">
        <f>IF(AI15=0,NA(),-'Drilling Spec'!$C$29*0.3)</f>
        <v>#N/A</v>
      </c>
      <c r="AX15" s="29">
        <f t="shared" si="12"/>
        <v>0</v>
      </c>
      <c r="AY15" s="29">
        <f t="shared" si="13"/>
        <v>4</v>
      </c>
      <c r="AZ15" s="29">
        <f t="shared" si="17"/>
        <v>0</v>
      </c>
      <c r="BS15" s="35"/>
      <c r="BT15" s="35"/>
      <c r="BU15" s="39" t="s">
        <v>185</v>
      </c>
      <c r="BV15" s="39"/>
      <c r="BW15" s="39"/>
      <c r="BX15" s="39"/>
      <c r="BY15" s="39"/>
      <c r="BZ15" s="39"/>
      <c r="CA15" s="39"/>
    </row>
    <row r="16" spans="1:79" x14ac:dyDescent="0.35">
      <c r="A16" s="28">
        <f t="shared" si="18"/>
        <v>45986</v>
      </c>
      <c r="B16" t="str">
        <f t="shared" si="0"/>
        <v>Tue</v>
      </c>
      <c r="C16" s="10" t="s">
        <v>7</v>
      </c>
      <c r="D16" s="10">
        <v>0</v>
      </c>
      <c r="E16" s="4">
        <f t="shared" si="1"/>
        <v>0</v>
      </c>
      <c r="F16" s="4">
        <f t="shared" si="2"/>
        <v>0</v>
      </c>
      <c r="G16" s="4">
        <f t="shared" si="3"/>
        <v>0</v>
      </c>
      <c r="H16" s="15" t="e">
        <f>(SQRT(4*I15*I15*V*V + 'Drilling Spec'!$C$42*I15 + W*('Drilling Spec'!$C$43 + 2*l*V*(s*W + 2*V*G16/(1+e)) + 'Drilling Spec'!$C$44)) - 'Drilling Spec'!$C$45)/(2*V)</f>
        <v>#VALUE!</v>
      </c>
      <c r="I16" s="23" t="str">
        <f>IF(AND(OR(I15=0,I15=""),F16=0),IF(F17=0,"",'Drilling Spec'!$C$26),H16)</f>
        <v/>
      </c>
      <c r="J16" s="16" t="e">
        <f>MAX(0,I16-'Drilling Spec'!$C$30)</f>
        <v>#VALUE!</v>
      </c>
      <c r="K16" s="18">
        <f>IFERROR(J16/'Drilling Spec'!$C$31,0)</f>
        <v>0</v>
      </c>
      <c r="L16" s="21">
        <f t="shared" si="4"/>
        <v>0</v>
      </c>
      <c r="M16" s="4">
        <f t="shared" si="14"/>
        <v>0</v>
      </c>
      <c r="N16" s="21">
        <f t="shared" si="5"/>
        <v>0</v>
      </c>
      <c r="O16" s="18">
        <f>(SQRT(4*O15*O15*vB*vB + 'Drilling Spec'!$C$48*O15 + WB*('Drilling Spec'!$C$49 + 2*lB*vB*(sB*WB + 2*vB*N16/(1+eB)) + 'Drilling Spec'!$C$50)) - 'Drilling Spec'!$C$51)/(2*vB)</f>
        <v>0</v>
      </c>
      <c r="P16" s="18">
        <f>IFERROR(((S16-'Drilling Spec'!$C$30)/'Drilling Spec'!$C$31)*'Drilling Spec'!$C$32,0)</f>
        <v>0</v>
      </c>
      <c r="Q16" s="18">
        <f t="shared" si="15"/>
        <v>0</v>
      </c>
      <c r="R16" s="18"/>
      <c r="S16" s="26" t="str">
        <f>IF(AND(OR(T15=0,T15=""),M16=0),IF(M17=0,"",'Drilling Spec'!$C$30),O16)</f>
        <v/>
      </c>
      <c r="U16" s="15">
        <f>E16*'Drilling Spec'!$C$22 + L16*'Drilling Spec'!$C$23</f>
        <v>0</v>
      </c>
      <c r="V16" s="15">
        <f t="shared" si="16"/>
        <v>0</v>
      </c>
      <c r="W16" s="15">
        <f t="shared" si="6"/>
        <v>0</v>
      </c>
      <c r="X16" s="10"/>
      <c r="Y16" s="30">
        <f>IF(W16&lt;U17,'Drilling Spec'!$C$35,0)</f>
        <v>0</v>
      </c>
      <c r="AA16" s="4">
        <f t="shared" si="19"/>
        <v>4</v>
      </c>
      <c r="AB16" s="10"/>
      <c r="AC16" s="30">
        <f>IF('08-07-25-Scen7-GennyFail'!K17&gt;'08-07-25-Scen7-GennyFail'!AA16,'Drilling Spec'!$C$36,)</f>
        <v>0</v>
      </c>
      <c r="AE16" s="18" t="e">
        <f>(I16-'Drilling Spec'!$C$26)/'Drilling Spec'!$C$38</f>
        <v>#VALUE!</v>
      </c>
      <c r="AF16" s="18">
        <f t="shared" si="7"/>
        <v>0</v>
      </c>
      <c r="AG16" s="34">
        <f t="shared" si="8"/>
        <v>0</v>
      </c>
      <c r="AH16" s="10"/>
      <c r="AI16" s="26">
        <f>IF(C16="Camp Closed",AG16,IF(AG16&lt;'Drilling Spec'!$C$39,,'Drilling Spec'!$C$39))</f>
        <v>0</v>
      </c>
      <c r="AL16" s="16" t="e">
        <f t="shared" si="9"/>
        <v>#N/A</v>
      </c>
      <c r="AM16" s="16" t="e">
        <f t="shared" si="10"/>
        <v>#N/A</v>
      </c>
      <c r="AN16">
        <f>-'Drilling Spec'!$C$29</f>
        <v>-720</v>
      </c>
      <c r="AO16">
        <f>-'Drilling Spec'!$C$27</f>
        <v>-624</v>
      </c>
      <c r="AP16">
        <f>-'Drilling Spec'!$C$28</f>
        <v>-688</v>
      </c>
      <c r="AQ16" t="e">
        <f t="shared" si="11"/>
        <v>#N/A</v>
      </c>
      <c r="AR16" t="e">
        <f>IF(X16=0,NA(),-'Drilling Spec'!$C$29*0.1)</f>
        <v>#N/A</v>
      </c>
      <c r="AS16" t="e">
        <f>IF(Y16=0,NA(),-'Drilling Spec'!$C$29*0.1)</f>
        <v>#N/A</v>
      </c>
      <c r="AT16" t="e">
        <f>IF(AB16=0,NA(),-'Drilling Spec'!$C$29*0.2)</f>
        <v>#N/A</v>
      </c>
      <c r="AU16" t="e">
        <f>IF(AC16=0,NA(),-'Drilling Spec'!$C$29*0.2)</f>
        <v>#N/A</v>
      </c>
      <c r="AV16" t="e">
        <f>IF(AH16=0,NA(),-'Drilling Spec'!$C$29*0.3)</f>
        <v>#N/A</v>
      </c>
      <c r="AW16" t="e">
        <f>IF(AI16=0,NA(),-'Drilling Spec'!$C$29*0.3)</f>
        <v>#N/A</v>
      </c>
      <c r="AX16" s="29">
        <f t="shared" si="12"/>
        <v>0</v>
      </c>
      <c r="AY16" s="29">
        <f t="shared" si="13"/>
        <v>4</v>
      </c>
      <c r="AZ16" s="29">
        <f t="shared" si="17"/>
        <v>0</v>
      </c>
      <c r="BS16" s="35"/>
      <c r="BT16" s="35"/>
      <c r="BU16" s="39"/>
      <c r="BV16" s="39"/>
      <c r="BW16" s="39"/>
      <c r="BX16" s="39"/>
      <c r="BY16" s="39"/>
      <c r="BZ16" s="39"/>
      <c r="CA16" s="39"/>
    </row>
    <row r="17" spans="1:79" x14ac:dyDescent="0.35">
      <c r="A17" s="28">
        <f t="shared" si="18"/>
        <v>45987</v>
      </c>
      <c r="B17" t="str">
        <f t="shared" si="0"/>
        <v>Wed</v>
      </c>
      <c r="C17" s="10" t="s">
        <v>195</v>
      </c>
      <c r="D17" s="10">
        <v>12</v>
      </c>
      <c r="E17" s="4">
        <f t="shared" si="1"/>
        <v>0</v>
      </c>
      <c r="F17" s="4">
        <f t="shared" si="2"/>
        <v>0</v>
      </c>
      <c r="G17" s="4">
        <f t="shared" si="3"/>
        <v>0</v>
      </c>
      <c r="H17" s="15" t="e">
        <f>(SQRT(4*I16*I16*V*V + 'Drilling Spec'!$C$42*I16 + W*('Drilling Spec'!$C$43 + 2*l*V*(s*W + 2*V*G17/(1+e)) + 'Drilling Spec'!$C$44)) - 'Drilling Spec'!$C$45)/(2*V)</f>
        <v>#VALUE!</v>
      </c>
      <c r="I17" s="23" t="str">
        <f>IF(AND(OR(I16=0,I16=""),F17=0),IF(F18=0,"",'Drilling Spec'!$C$26),H17)</f>
        <v/>
      </c>
      <c r="J17" s="16" t="e">
        <f>MAX(0,I17-'Drilling Spec'!$C$30)</f>
        <v>#VALUE!</v>
      </c>
      <c r="K17" s="18">
        <f>IFERROR(J17/'Drilling Spec'!$C$31,0)</f>
        <v>0</v>
      </c>
      <c r="L17" s="21">
        <f t="shared" si="4"/>
        <v>0</v>
      </c>
      <c r="M17" s="4">
        <f t="shared" si="14"/>
        <v>0</v>
      </c>
      <c r="N17" s="21">
        <f t="shared" si="5"/>
        <v>0</v>
      </c>
      <c r="O17" s="18">
        <f>(SQRT(4*O16*O16*vB*vB + 'Drilling Spec'!$C$48*O16 + WB*('Drilling Spec'!$C$49 + 2*lB*vB*(sB*WB + 2*vB*N17/(1+eB)) + 'Drilling Spec'!$C$50)) - 'Drilling Spec'!$C$51)/(2*vB)</f>
        <v>0</v>
      </c>
      <c r="P17" s="18">
        <f>IFERROR(((S17-'Drilling Spec'!$C$30)/'Drilling Spec'!$C$31)*'Drilling Spec'!$C$32,0)</f>
        <v>0</v>
      </c>
      <c r="Q17" s="18">
        <f t="shared" si="15"/>
        <v>0</v>
      </c>
      <c r="R17" s="18"/>
      <c r="S17" s="26" t="str">
        <f>IF(AND(OR(T16=0,T16=""),M17=0),IF(M18=0,"",'Drilling Spec'!$C$30),O17)</f>
        <v/>
      </c>
      <c r="U17" s="15">
        <f>E17*'Drilling Spec'!$C$22 + L17*'Drilling Spec'!$C$23</f>
        <v>0</v>
      </c>
      <c r="V17" s="15">
        <f t="shared" si="16"/>
        <v>0</v>
      </c>
      <c r="W17" s="15">
        <f>W16-U17+X16+Y16</f>
        <v>0</v>
      </c>
      <c r="X17" s="10"/>
      <c r="Y17" s="30">
        <f>IF(W17&lt;U18,'Drilling Spec'!$C$35,0)</f>
        <v>0</v>
      </c>
      <c r="AA17" s="4">
        <f t="shared" si="19"/>
        <v>4</v>
      </c>
      <c r="AB17" s="10"/>
      <c r="AC17" s="30">
        <f>IF('08-07-25-Scen7-GennyFail'!K18&gt;'08-07-25-Scen7-GennyFail'!AA17,'Drilling Spec'!$C$36,)</f>
        <v>0</v>
      </c>
      <c r="AE17" s="18" t="e">
        <f>(I17-'Drilling Spec'!$C$26)/'Drilling Spec'!$C$38</f>
        <v>#VALUE!</v>
      </c>
      <c r="AF17" s="18">
        <f t="shared" si="7"/>
        <v>0</v>
      </c>
      <c r="AG17" s="34">
        <f t="shared" si="8"/>
        <v>0</v>
      </c>
      <c r="AH17" s="10"/>
      <c r="AI17" s="26">
        <f>IF(C17="Camp Closed",AG17,IF(AG17&lt;'Drilling Spec'!$C$39,,'Drilling Spec'!$C$39))</f>
        <v>0</v>
      </c>
      <c r="AL17" s="16" t="e">
        <f t="shared" si="9"/>
        <v>#N/A</v>
      </c>
      <c r="AM17" s="16" t="e">
        <f t="shared" si="10"/>
        <v>#N/A</v>
      </c>
      <c r="AN17">
        <f>-'Drilling Spec'!$C$29</f>
        <v>-720</v>
      </c>
      <c r="AO17">
        <f>-'Drilling Spec'!$C$27</f>
        <v>-624</v>
      </c>
      <c r="AP17">
        <f>-'Drilling Spec'!$C$28</f>
        <v>-688</v>
      </c>
      <c r="AQ17" t="e">
        <f t="shared" si="11"/>
        <v>#N/A</v>
      </c>
      <c r="AR17" t="e">
        <f>IF(X17=0,NA(),-'Drilling Spec'!$C$29*0.1)</f>
        <v>#N/A</v>
      </c>
      <c r="AS17" t="e">
        <f>IF(Y17=0,NA(),-'Drilling Spec'!$C$29*0.1)</f>
        <v>#N/A</v>
      </c>
      <c r="AT17" t="e">
        <f>IF(AB17=0,NA(),-'Drilling Spec'!$C$29*0.2)</f>
        <v>#N/A</v>
      </c>
      <c r="AU17" t="e">
        <f>IF(AC17=0,NA(),-'Drilling Spec'!$C$29*0.2)</f>
        <v>#N/A</v>
      </c>
      <c r="AV17" t="e">
        <f>IF(AH17=0,NA(),-'Drilling Spec'!$C$29*0.3)</f>
        <v>#N/A</v>
      </c>
      <c r="AW17" t="e">
        <f>IF(AI17=0,NA(),-'Drilling Spec'!$C$29*0.3)</f>
        <v>#N/A</v>
      </c>
      <c r="AX17" s="29">
        <f t="shared" si="12"/>
        <v>0</v>
      </c>
      <c r="AY17" s="29">
        <f t="shared" si="13"/>
        <v>4</v>
      </c>
      <c r="AZ17" s="29">
        <f t="shared" si="17"/>
        <v>0</v>
      </c>
      <c r="BS17" s="35"/>
      <c r="BU17" s="38" t="s">
        <v>186</v>
      </c>
      <c r="BV17" s="38"/>
      <c r="BW17" s="38"/>
      <c r="BX17" s="38"/>
      <c r="BY17" s="38"/>
      <c r="BZ17" s="38"/>
      <c r="CA17" s="38"/>
    </row>
    <row r="18" spans="1:79" x14ac:dyDescent="0.35">
      <c r="A18" s="28">
        <f t="shared" si="18"/>
        <v>45988</v>
      </c>
      <c r="B18" t="str">
        <f t="shared" si="0"/>
        <v>Thu</v>
      </c>
      <c r="C18" s="10" t="s">
        <v>195</v>
      </c>
      <c r="D18" s="10">
        <v>12</v>
      </c>
      <c r="E18" s="4">
        <f t="shared" si="1"/>
        <v>0</v>
      </c>
      <c r="F18" s="4">
        <f t="shared" si="2"/>
        <v>0</v>
      </c>
      <c r="G18" s="4">
        <f t="shared" si="3"/>
        <v>0</v>
      </c>
      <c r="H18" s="15" t="e">
        <f>(SQRT(4*I17*I17*V*V + 'Drilling Spec'!$C$42*I17 + W*('Drilling Spec'!$C$43 + 2*l*V*(s*W + 2*V*G18/(1+e)) + 'Drilling Spec'!$C$44)) - 'Drilling Spec'!$C$45)/(2*V)</f>
        <v>#VALUE!</v>
      </c>
      <c r="I18" s="23" t="str">
        <f>IF(AND(OR(I17=0,I17=""),F18=0),IF(F19=0,"",'Drilling Spec'!$C$26),H18)</f>
        <v/>
      </c>
      <c r="J18" s="16" t="e">
        <f>MAX(0,I18-'Drilling Spec'!$C$30)</f>
        <v>#VALUE!</v>
      </c>
      <c r="K18" s="18">
        <f>IFERROR(J18/'Drilling Spec'!$C$31,0)</f>
        <v>0</v>
      </c>
      <c r="L18" s="21">
        <f t="shared" si="4"/>
        <v>0</v>
      </c>
      <c r="M18" s="4">
        <f t="shared" si="14"/>
        <v>0</v>
      </c>
      <c r="N18" s="21">
        <f t="shared" si="5"/>
        <v>0</v>
      </c>
      <c r="O18" s="18">
        <f>(SQRT(4*O17*O17*vB*vB + 'Drilling Spec'!$C$48*O17 + WB*('Drilling Spec'!$C$49 + 2*lB*vB*(sB*WB + 2*vB*N18/(1+eB)) + 'Drilling Spec'!$C$50)) - 'Drilling Spec'!$C$51)/(2*vB)</f>
        <v>0</v>
      </c>
      <c r="P18" s="18">
        <f>IFERROR(((S18-'Drilling Spec'!$C$30)/'Drilling Spec'!$C$31)*'Drilling Spec'!$C$32,0)</f>
        <v>0</v>
      </c>
      <c r="Q18" s="18">
        <f t="shared" si="15"/>
        <v>0</v>
      </c>
      <c r="R18" s="18"/>
      <c r="S18" s="26" t="str">
        <f>IF(AND(OR(T17=0,T17=""),M18=0),IF(M19=0,"",'Drilling Spec'!$C$30),O18)</f>
        <v/>
      </c>
      <c r="U18" s="15">
        <f>E18*'Drilling Spec'!$C$22 + L18*'Drilling Spec'!$C$23</f>
        <v>0</v>
      </c>
      <c r="V18" s="15">
        <f t="shared" si="16"/>
        <v>0</v>
      </c>
      <c r="W18" s="15">
        <f t="shared" si="6"/>
        <v>0</v>
      </c>
      <c r="X18" s="10"/>
      <c r="Y18" s="30">
        <f>IF(W18&lt;U19,'Drilling Spec'!$C$35,0)</f>
        <v>0</v>
      </c>
      <c r="AA18" s="4">
        <f t="shared" si="19"/>
        <v>4</v>
      </c>
      <c r="AB18" s="10"/>
      <c r="AC18" s="30">
        <f>IF('08-07-25-Scen7-GennyFail'!K19&gt;'08-07-25-Scen7-GennyFail'!AA18,'Drilling Spec'!$C$36,)</f>
        <v>0</v>
      </c>
      <c r="AE18" s="18" t="e">
        <f>(I18-'Drilling Spec'!$C$26)/'Drilling Spec'!$C$38</f>
        <v>#VALUE!</v>
      </c>
      <c r="AF18" s="18">
        <f t="shared" si="7"/>
        <v>0</v>
      </c>
      <c r="AG18" s="34">
        <f t="shared" si="8"/>
        <v>0</v>
      </c>
      <c r="AH18" s="10"/>
      <c r="AI18" s="26">
        <f>IF(C18="Camp Closed",AG18,IF(AG18&lt;'Drilling Spec'!$C$39,,'Drilling Spec'!$C$39))</f>
        <v>0</v>
      </c>
      <c r="AL18" s="16" t="e">
        <f t="shared" si="9"/>
        <v>#N/A</v>
      </c>
      <c r="AM18" s="16" t="e">
        <f t="shared" si="10"/>
        <v>#N/A</v>
      </c>
      <c r="AN18">
        <f>-'Drilling Spec'!$C$29</f>
        <v>-720</v>
      </c>
      <c r="AO18">
        <f>-'Drilling Spec'!$C$27</f>
        <v>-624</v>
      </c>
      <c r="AP18">
        <f>-'Drilling Spec'!$C$28</f>
        <v>-688</v>
      </c>
      <c r="AQ18" t="e">
        <f t="shared" si="11"/>
        <v>#N/A</v>
      </c>
      <c r="AR18" t="e">
        <f>IF(X18=0,NA(),-'Drilling Spec'!$C$29*0.1)</f>
        <v>#N/A</v>
      </c>
      <c r="AS18" t="e">
        <f>IF(Y18=0,NA(),-'Drilling Spec'!$C$29*0.1)</f>
        <v>#N/A</v>
      </c>
      <c r="AT18" t="e">
        <f>IF(AB18=0,NA(),-'Drilling Spec'!$C$29*0.2)</f>
        <v>#N/A</v>
      </c>
      <c r="AU18" t="e">
        <f>IF(AC18=0,NA(),-'Drilling Spec'!$C$29*0.2)</f>
        <v>#N/A</v>
      </c>
      <c r="AV18" t="e">
        <f>IF(AH18=0,NA(),-'Drilling Spec'!$C$29*0.3)</f>
        <v>#N/A</v>
      </c>
      <c r="AW18" t="e">
        <f>IF(AI18=0,NA(),-'Drilling Spec'!$C$29*0.3)</f>
        <v>#N/A</v>
      </c>
      <c r="AX18" s="29">
        <f t="shared" si="12"/>
        <v>0</v>
      </c>
      <c r="AY18" s="29">
        <f t="shared" si="13"/>
        <v>4</v>
      </c>
      <c r="AZ18" s="29">
        <f t="shared" si="17"/>
        <v>0</v>
      </c>
      <c r="BS18" s="35"/>
      <c r="BU18" s="38"/>
      <c r="BV18" s="38"/>
      <c r="BW18" s="38"/>
      <c r="BX18" s="38"/>
      <c r="BY18" s="38"/>
      <c r="BZ18" s="38"/>
      <c r="CA18" s="38"/>
    </row>
    <row r="19" spans="1:79" x14ac:dyDescent="0.35">
      <c r="A19" s="28">
        <f t="shared" si="18"/>
        <v>45989</v>
      </c>
      <c r="B19" t="str">
        <f t="shared" si="0"/>
        <v>Fri</v>
      </c>
      <c r="C19" s="10" t="s">
        <v>195</v>
      </c>
      <c r="D19" s="10">
        <v>12</v>
      </c>
      <c r="E19" s="4">
        <f t="shared" si="1"/>
        <v>0</v>
      </c>
      <c r="F19" s="4">
        <f t="shared" si="2"/>
        <v>0</v>
      </c>
      <c r="G19" s="4">
        <f t="shared" si="3"/>
        <v>0</v>
      </c>
      <c r="H19" s="15" t="e">
        <f>(SQRT(4*I18*I18*V*V + 'Drilling Spec'!$C$42*I18 + W*('Drilling Spec'!$C$43 + 2*l*V*(s*W + 2*V*G19/(1+e)) + 'Drilling Spec'!$C$44)) - 'Drilling Spec'!$C$45)/(2*V)</f>
        <v>#VALUE!</v>
      </c>
      <c r="I19" s="23" t="str">
        <f>IF(AND(OR(I18=0,I18=""),F19=0),IF(F20=0,"",'Drilling Spec'!$C$26),H19)</f>
        <v/>
      </c>
      <c r="J19" s="16" t="e">
        <f>MAX(0,I19-'Drilling Spec'!$C$30)</f>
        <v>#VALUE!</v>
      </c>
      <c r="K19" s="18">
        <f>IFERROR(J19/'Drilling Spec'!$C$31,0)</f>
        <v>0</v>
      </c>
      <c r="L19" s="21">
        <f t="shared" si="4"/>
        <v>0</v>
      </c>
      <c r="M19" s="4">
        <f t="shared" si="14"/>
        <v>0</v>
      </c>
      <c r="N19" s="21">
        <f t="shared" si="5"/>
        <v>0</v>
      </c>
      <c r="O19" s="18">
        <f>(SQRT(4*O18*O18*vB*vB + 'Drilling Spec'!$C$48*O18 + WB*('Drilling Spec'!$C$49 + 2*lB*vB*(sB*WB + 2*vB*N19/(1+eB)) + 'Drilling Spec'!$C$50)) - 'Drilling Spec'!$C$51)/(2*vB)</f>
        <v>0</v>
      </c>
      <c r="P19" s="18">
        <f>IFERROR(((S19-'Drilling Spec'!$C$30)/'Drilling Spec'!$C$31)*'Drilling Spec'!$C$32,0)</f>
        <v>0</v>
      </c>
      <c r="Q19" s="18">
        <f t="shared" si="15"/>
        <v>0</v>
      </c>
      <c r="R19" s="18"/>
      <c r="S19" s="26" t="str">
        <f>IF(AND(OR(T18=0,T18=""),M19=0),IF(M20=0,"",'Drilling Spec'!$C$30),O19)</f>
        <v/>
      </c>
      <c r="U19" s="15">
        <f>E19*'Drilling Spec'!$C$22 + L19*'Drilling Spec'!$C$23</f>
        <v>0</v>
      </c>
      <c r="V19" s="15">
        <f t="shared" si="16"/>
        <v>0</v>
      </c>
      <c r="W19" s="15">
        <f t="shared" si="6"/>
        <v>0</v>
      </c>
      <c r="X19" s="10"/>
      <c r="Y19" s="30">
        <f>IF(W19&lt;U20,'Drilling Spec'!$C$35,0)</f>
        <v>0</v>
      </c>
      <c r="AA19" s="4">
        <f t="shared" si="19"/>
        <v>4</v>
      </c>
      <c r="AB19" s="10"/>
      <c r="AC19" s="30">
        <f>IF('08-07-25-Scen7-GennyFail'!K20&gt;'08-07-25-Scen7-GennyFail'!AA19,'Drilling Spec'!$C$36,)</f>
        <v>0</v>
      </c>
      <c r="AE19" s="18" t="e">
        <f>(I19-'Drilling Spec'!$C$26)/'Drilling Spec'!$C$38</f>
        <v>#VALUE!</v>
      </c>
      <c r="AF19" s="18">
        <f t="shared" si="7"/>
        <v>0</v>
      </c>
      <c r="AG19" s="34">
        <f t="shared" si="8"/>
        <v>0</v>
      </c>
      <c r="AH19" s="10"/>
      <c r="AI19" s="26">
        <f>IF(C19="Camp Closed",AG19,IF(AG19&lt;'Drilling Spec'!$C$39,,'Drilling Spec'!$C$39))</f>
        <v>0</v>
      </c>
      <c r="AL19" s="16" t="e">
        <f t="shared" si="9"/>
        <v>#N/A</v>
      </c>
      <c r="AM19" s="16" t="e">
        <f t="shared" si="10"/>
        <v>#N/A</v>
      </c>
      <c r="AN19">
        <f>-'Drilling Spec'!$C$29</f>
        <v>-720</v>
      </c>
      <c r="AO19">
        <f>-'Drilling Spec'!$C$27</f>
        <v>-624</v>
      </c>
      <c r="AP19">
        <f>-'Drilling Spec'!$C$28</f>
        <v>-688</v>
      </c>
      <c r="AQ19" t="e">
        <f t="shared" si="11"/>
        <v>#N/A</v>
      </c>
      <c r="AR19" t="e">
        <f>IF(X19=0,NA(),-'Drilling Spec'!$C$29*0.1)</f>
        <v>#N/A</v>
      </c>
      <c r="AS19" t="e">
        <f>IF(Y19=0,NA(),-'Drilling Spec'!$C$29*0.1)</f>
        <v>#N/A</v>
      </c>
      <c r="AT19" t="e">
        <f>IF(AB19=0,NA(),-'Drilling Spec'!$C$29*0.2)</f>
        <v>#N/A</v>
      </c>
      <c r="AU19" t="e">
        <f>IF(AC19=0,NA(),-'Drilling Spec'!$C$29*0.2)</f>
        <v>#N/A</v>
      </c>
      <c r="AV19" t="e">
        <f>IF(AH19=0,NA(),-'Drilling Spec'!$C$29*0.3)</f>
        <v>#N/A</v>
      </c>
      <c r="AW19" t="e">
        <f>IF(AI19=0,NA(),-'Drilling Spec'!$C$29*0.3)</f>
        <v>#N/A</v>
      </c>
      <c r="AX19" s="29">
        <f t="shared" si="12"/>
        <v>0</v>
      </c>
      <c r="AY19" s="29">
        <f t="shared" si="13"/>
        <v>4</v>
      </c>
      <c r="AZ19" s="29">
        <f t="shared" si="17"/>
        <v>0</v>
      </c>
      <c r="BS19" s="35"/>
      <c r="BU19" s="40" t="s">
        <v>187</v>
      </c>
      <c r="BV19" s="40"/>
      <c r="BW19" s="40"/>
      <c r="BX19" s="40"/>
      <c r="BY19" s="40"/>
      <c r="BZ19" s="40"/>
      <c r="CA19" s="40"/>
    </row>
    <row r="20" spans="1:79" x14ac:dyDescent="0.35">
      <c r="A20" s="28">
        <f t="shared" si="18"/>
        <v>45990</v>
      </c>
      <c r="B20" t="str">
        <f t="shared" si="0"/>
        <v>Sat</v>
      </c>
      <c r="C20" s="10" t="s">
        <v>195</v>
      </c>
      <c r="D20" s="10">
        <v>12</v>
      </c>
      <c r="E20" s="4">
        <f t="shared" si="1"/>
        <v>0</v>
      </c>
      <c r="F20" s="4">
        <f t="shared" si="2"/>
        <v>0</v>
      </c>
      <c r="G20" s="4">
        <f t="shared" si="3"/>
        <v>0</v>
      </c>
      <c r="H20" s="15" t="e">
        <f>(SQRT(4*I19*I19*V*V + 'Drilling Spec'!$C$42*I19 + W*('Drilling Spec'!$C$43 + 2*l*V*(s*W + 2*V*G20/(1+e)) + 'Drilling Spec'!$C$44)) - 'Drilling Spec'!$C$45)/(2*V)</f>
        <v>#VALUE!</v>
      </c>
      <c r="I20" s="23" t="str">
        <f>IF(AND(OR(I19=0,I19=""),F20=0),IF(F21=0,"",'Drilling Spec'!$C$26),H20)</f>
        <v/>
      </c>
      <c r="J20" s="16" t="e">
        <f>MAX(0,I20-'Drilling Spec'!$C$30)</f>
        <v>#VALUE!</v>
      </c>
      <c r="K20" s="18">
        <f>IFERROR(J20/'Drilling Spec'!$C$31,0)</f>
        <v>0</v>
      </c>
      <c r="L20" s="21">
        <f t="shared" si="4"/>
        <v>0</v>
      </c>
      <c r="M20" s="4">
        <f t="shared" si="14"/>
        <v>0</v>
      </c>
      <c r="N20" s="21">
        <f t="shared" si="5"/>
        <v>0</v>
      </c>
      <c r="O20" s="18">
        <f>(SQRT(4*O19*O19*vB*vB + 'Drilling Spec'!$C$48*O19 + WB*('Drilling Spec'!$C$49 + 2*lB*vB*(sB*WB + 2*vB*N20/(1+eB)) + 'Drilling Spec'!$C$50)) - 'Drilling Spec'!$C$51)/(2*vB)</f>
        <v>0</v>
      </c>
      <c r="P20" s="18">
        <f>IFERROR(((S20-'Drilling Spec'!$C$30)/'Drilling Spec'!$C$31)*'Drilling Spec'!$C$32,0)</f>
        <v>0</v>
      </c>
      <c r="Q20" s="18">
        <f t="shared" si="15"/>
        <v>0</v>
      </c>
      <c r="R20" s="18"/>
      <c r="S20" s="26" t="str">
        <f>IF(AND(OR(T19=0,T19=""),M20=0),IF(M21=0,"",'Drilling Spec'!$C$30),O20)</f>
        <v/>
      </c>
      <c r="U20" s="15">
        <f>E20*'Drilling Spec'!$C$22 + L20*'Drilling Spec'!$C$23</f>
        <v>0</v>
      </c>
      <c r="V20" s="15">
        <f t="shared" si="16"/>
        <v>0</v>
      </c>
      <c r="W20" s="15">
        <f t="shared" si="6"/>
        <v>0</v>
      </c>
      <c r="X20" s="10"/>
      <c r="Y20" s="30">
        <f>IF(W20&lt;U21,'Drilling Spec'!$C$35,0)</f>
        <v>0</v>
      </c>
      <c r="AA20" s="4">
        <f t="shared" si="19"/>
        <v>4</v>
      </c>
      <c r="AB20" s="10"/>
      <c r="AC20" s="30">
        <f>IF('08-07-25-Scen7-GennyFail'!K21&gt;'08-07-25-Scen7-GennyFail'!AA20,'Drilling Spec'!$C$36,)</f>
        <v>0</v>
      </c>
      <c r="AE20" s="18" t="e">
        <f>(I20-'Drilling Spec'!$C$26)/'Drilling Spec'!$C$38</f>
        <v>#VALUE!</v>
      </c>
      <c r="AF20" s="18">
        <f t="shared" si="7"/>
        <v>0</v>
      </c>
      <c r="AG20" s="34">
        <f t="shared" si="8"/>
        <v>0</v>
      </c>
      <c r="AH20" s="10"/>
      <c r="AI20" s="26">
        <f>IF(C20="Camp Closed",AG20,IF(AG20&lt;'Drilling Spec'!$C$39,,'Drilling Spec'!$C$39))</f>
        <v>0</v>
      </c>
      <c r="AL20" s="16" t="e">
        <f t="shared" si="9"/>
        <v>#N/A</v>
      </c>
      <c r="AM20" s="16" t="e">
        <f t="shared" si="10"/>
        <v>#N/A</v>
      </c>
      <c r="AN20">
        <f>-'Drilling Spec'!$C$29</f>
        <v>-720</v>
      </c>
      <c r="AO20">
        <f>-'Drilling Spec'!$C$27</f>
        <v>-624</v>
      </c>
      <c r="AP20">
        <f>-'Drilling Spec'!$C$28</f>
        <v>-688</v>
      </c>
      <c r="AQ20" t="e">
        <f t="shared" si="11"/>
        <v>#N/A</v>
      </c>
      <c r="AR20" t="e">
        <f>IF(X20=0,NA(),-'Drilling Spec'!$C$29*0.1)</f>
        <v>#N/A</v>
      </c>
      <c r="AS20" t="e">
        <f>IF(Y20=0,NA(),-'Drilling Spec'!$C$29*0.1)</f>
        <v>#N/A</v>
      </c>
      <c r="AT20" t="e">
        <f>IF(AB20=0,NA(),-'Drilling Spec'!$C$29*0.2)</f>
        <v>#N/A</v>
      </c>
      <c r="AU20" t="e">
        <f>IF(AC20=0,NA(),-'Drilling Spec'!$C$29*0.2)</f>
        <v>#N/A</v>
      </c>
      <c r="AV20" t="e">
        <f>IF(AH20=0,NA(),-'Drilling Spec'!$C$29*0.3)</f>
        <v>#N/A</v>
      </c>
      <c r="AW20" t="e">
        <f>IF(AI20=0,NA(),-'Drilling Spec'!$C$29*0.3)</f>
        <v>#N/A</v>
      </c>
      <c r="AX20" s="29">
        <f t="shared" si="12"/>
        <v>0</v>
      </c>
      <c r="AY20" s="29">
        <f t="shared" si="13"/>
        <v>4</v>
      </c>
      <c r="AZ20" s="29">
        <f t="shared" si="17"/>
        <v>0</v>
      </c>
      <c r="BS20" s="35"/>
      <c r="BU20" s="40"/>
      <c r="BV20" s="40"/>
      <c r="BW20" s="40"/>
      <c r="BX20" s="40"/>
      <c r="BY20" s="40"/>
      <c r="BZ20" s="40"/>
      <c r="CA20" s="40"/>
    </row>
    <row r="21" spans="1:79" x14ac:dyDescent="0.35">
      <c r="A21" s="28">
        <f t="shared" si="18"/>
        <v>45991</v>
      </c>
      <c r="B21" t="str">
        <f t="shared" si="0"/>
        <v>Sun</v>
      </c>
      <c r="C21" s="10" t="s">
        <v>195</v>
      </c>
      <c r="D21" s="10">
        <v>12</v>
      </c>
      <c r="E21" s="4">
        <f t="shared" si="1"/>
        <v>0</v>
      </c>
      <c r="F21" s="4">
        <f t="shared" si="2"/>
        <v>0</v>
      </c>
      <c r="G21" s="4">
        <f t="shared" si="3"/>
        <v>0</v>
      </c>
      <c r="H21" s="15" t="e">
        <f>(SQRT(4*I20*I20*V*V + 'Drilling Spec'!$C$42*I20 + W*('Drilling Spec'!$C$43 + 2*l*V*(s*W + 2*V*G21/(1+e)) + 'Drilling Spec'!$C$44)) - 'Drilling Spec'!$C$45)/(2*V)</f>
        <v>#VALUE!</v>
      </c>
      <c r="I21" s="23" t="str">
        <f>IF(AND(OR(I20=0,I20=""),F21=0),IF(F22=0,"",'Drilling Spec'!$C$26),H21)</f>
        <v/>
      </c>
      <c r="J21" s="16" t="e">
        <f>MAX(0,I21-'Drilling Spec'!$C$30)</f>
        <v>#VALUE!</v>
      </c>
      <c r="K21" s="18">
        <f>IFERROR(J21/'Drilling Spec'!$C$31,0)</f>
        <v>0</v>
      </c>
      <c r="L21" s="21">
        <f t="shared" si="4"/>
        <v>0</v>
      </c>
      <c r="M21" s="4">
        <f t="shared" si="14"/>
        <v>0</v>
      </c>
      <c r="N21" s="21">
        <f t="shared" si="5"/>
        <v>0</v>
      </c>
      <c r="O21" s="18">
        <f>(SQRT(4*O20*O20*vB*vB + 'Drilling Spec'!$C$48*O20 + WB*('Drilling Spec'!$C$49 + 2*lB*vB*(sB*WB + 2*vB*N21/(1+eB)) + 'Drilling Spec'!$C$50)) - 'Drilling Spec'!$C$51)/(2*vB)</f>
        <v>0</v>
      </c>
      <c r="P21" s="18">
        <f>IFERROR(((S21-'Drilling Spec'!$C$30)/'Drilling Spec'!$C$31)*'Drilling Spec'!$C$32,0)</f>
        <v>0</v>
      </c>
      <c r="Q21" s="18">
        <f t="shared" si="15"/>
        <v>0</v>
      </c>
      <c r="R21" s="18"/>
      <c r="S21" s="26" t="str">
        <f>IF(AND(OR(T20=0,T20=""),M21=0),IF(M22=0,"",'Drilling Spec'!$C$30),O21)</f>
        <v/>
      </c>
      <c r="U21" s="15">
        <f>E21*'Drilling Spec'!$C$22 + L21*'Drilling Spec'!$C$23</f>
        <v>0</v>
      </c>
      <c r="V21" s="15">
        <f t="shared" si="16"/>
        <v>0</v>
      </c>
      <c r="W21" s="15">
        <f t="shared" si="6"/>
        <v>0</v>
      </c>
      <c r="X21" s="10"/>
      <c r="Y21" s="30">
        <f>IF(W21&lt;U22,'Drilling Spec'!$C$35,0)</f>
        <v>0</v>
      </c>
      <c r="AA21" s="4">
        <f t="shared" si="19"/>
        <v>4</v>
      </c>
      <c r="AB21" s="10"/>
      <c r="AC21" s="30">
        <f>IF('08-07-25-Scen7-GennyFail'!K22&gt;'08-07-25-Scen7-GennyFail'!AA21,'Drilling Spec'!$C$36,)</f>
        <v>0</v>
      </c>
      <c r="AE21" s="18" t="e">
        <f>(I21-'Drilling Spec'!$C$26)/'Drilling Spec'!$C$38</f>
        <v>#VALUE!</v>
      </c>
      <c r="AF21" s="18">
        <f t="shared" si="7"/>
        <v>0</v>
      </c>
      <c r="AG21" s="34">
        <f t="shared" si="8"/>
        <v>0</v>
      </c>
      <c r="AH21" s="10"/>
      <c r="AI21" s="26">
        <f>IF(C21="Camp Closed",AG21,IF(AG21&lt;'Drilling Spec'!$C$39,,'Drilling Spec'!$C$39))</f>
        <v>0</v>
      </c>
      <c r="AL21" s="16" t="e">
        <f t="shared" si="9"/>
        <v>#N/A</v>
      </c>
      <c r="AM21" s="16" t="e">
        <f t="shared" si="10"/>
        <v>#N/A</v>
      </c>
      <c r="AN21">
        <f>-'Drilling Spec'!$C$29</f>
        <v>-720</v>
      </c>
      <c r="AO21">
        <f>-'Drilling Spec'!$C$27</f>
        <v>-624</v>
      </c>
      <c r="AP21">
        <f>-'Drilling Spec'!$C$28</f>
        <v>-688</v>
      </c>
      <c r="AQ21" t="e">
        <f t="shared" si="11"/>
        <v>#N/A</v>
      </c>
      <c r="AR21" t="e">
        <f>IF(X21=0,NA(),-'Drilling Spec'!$C$29*0.1)</f>
        <v>#N/A</v>
      </c>
      <c r="AS21" t="e">
        <f>IF(Y21=0,NA(),-'Drilling Spec'!$C$29*0.1)</f>
        <v>#N/A</v>
      </c>
      <c r="AT21" t="e">
        <f>IF(AB21=0,NA(),-'Drilling Spec'!$C$29*0.2)</f>
        <v>#N/A</v>
      </c>
      <c r="AU21" t="e">
        <f>IF(AC21=0,NA(),-'Drilling Spec'!$C$29*0.2)</f>
        <v>#N/A</v>
      </c>
      <c r="AV21" t="e">
        <f>IF(AH21=0,NA(),-'Drilling Spec'!$C$29*0.3)</f>
        <v>#N/A</v>
      </c>
      <c r="AW21" t="e">
        <f>IF(AI21=0,NA(),-'Drilling Spec'!$C$29*0.3)</f>
        <v>#N/A</v>
      </c>
      <c r="AX21" s="29">
        <f t="shared" si="12"/>
        <v>0</v>
      </c>
      <c r="AY21" s="29">
        <f t="shared" si="13"/>
        <v>4</v>
      </c>
      <c r="AZ21" s="29">
        <f t="shared" si="17"/>
        <v>0</v>
      </c>
      <c r="BS21" s="35"/>
      <c r="BU21" s="40"/>
      <c r="BV21" s="40"/>
      <c r="BW21" s="40"/>
      <c r="BX21" s="40"/>
      <c r="BY21" s="40"/>
      <c r="BZ21" s="40"/>
      <c r="CA21" s="40"/>
    </row>
    <row r="22" spans="1:79" x14ac:dyDescent="0.35">
      <c r="A22" s="28">
        <f t="shared" si="18"/>
        <v>45992</v>
      </c>
      <c r="B22" t="str">
        <f t="shared" si="0"/>
        <v>Mon</v>
      </c>
      <c r="C22" s="10" t="s">
        <v>195</v>
      </c>
      <c r="D22" s="10">
        <v>12</v>
      </c>
      <c r="E22" s="4">
        <f t="shared" si="1"/>
        <v>0</v>
      </c>
      <c r="F22" s="4">
        <f t="shared" si="2"/>
        <v>0</v>
      </c>
      <c r="G22" s="4">
        <f t="shared" si="3"/>
        <v>0</v>
      </c>
      <c r="H22" s="15" t="e">
        <f>(SQRT(4*I21*I21*V*V + 'Drilling Spec'!$C$42*I21 + W*('Drilling Spec'!$C$43 + 2*l*V*(s*W + 2*V*G22/(1+e)) + 'Drilling Spec'!$C$44)) - 'Drilling Spec'!$C$45)/(2*V)</f>
        <v>#VALUE!</v>
      </c>
      <c r="I22" s="23" t="str">
        <f>IF(AND(OR(I21=0,I21=""),F22=0),IF(F23=0,"",'Drilling Spec'!$C$26),H22)</f>
        <v/>
      </c>
      <c r="J22" s="16" t="e">
        <f>MAX(0,I22-'Drilling Spec'!$C$30)</f>
        <v>#VALUE!</v>
      </c>
      <c r="K22" s="18">
        <f>IFERROR(J22/'Drilling Spec'!$C$31,0)</f>
        <v>0</v>
      </c>
      <c r="L22" s="21">
        <f t="shared" si="4"/>
        <v>0</v>
      </c>
      <c r="M22" s="4">
        <f t="shared" si="14"/>
        <v>0</v>
      </c>
      <c r="N22" s="21">
        <f t="shared" si="5"/>
        <v>0</v>
      </c>
      <c r="O22" s="18">
        <f>(SQRT(4*O21*O21*vB*vB + 'Drilling Spec'!$C$48*O21 + WB*('Drilling Spec'!$C$49 + 2*lB*vB*(sB*WB + 2*vB*N22/(1+eB)) + 'Drilling Spec'!$C$50)) - 'Drilling Spec'!$C$51)/(2*vB)</f>
        <v>0</v>
      </c>
      <c r="P22" s="18">
        <f>IFERROR(((S22-'Drilling Spec'!$C$30)/'Drilling Spec'!$C$31)*'Drilling Spec'!$C$32,0)</f>
        <v>0</v>
      </c>
      <c r="Q22" s="18">
        <f t="shared" si="15"/>
        <v>0</v>
      </c>
      <c r="R22" s="18"/>
      <c r="S22" s="26" t="str">
        <f>IF(AND(OR(T21=0,T21=""),M22=0),IF(M23=0,"",'Drilling Spec'!$C$30),O22)</f>
        <v/>
      </c>
      <c r="U22" s="15">
        <f>E22*'Drilling Spec'!$C$22 + L22*'Drilling Spec'!$C$23</f>
        <v>0</v>
      </c>
      <c r="V22" s="15">
        <f t="shared" si="16"/>
        <v>0</v>
      </c>
      <c r="W22" s="15">
        <f t="shared" si="6"/>
        <v>0</v>
      </c>
      <c r="X22" s="10"/>
      <c r="Y22" s="30">
        <f>IF(W22&lt;U23,'Drilling Spec'!$C$35,0)</f>
        <v>0</v>
      </c>
      <c r="AA22" s="4">
        <f t="shared" si="19"/>
        <v>4</v>
      </c>
      <c r="AB22" s="10"/>
      <c r="AC22" s="30">
        <f>IF('08-07-25-Scen7-GennyFail'!K23&gt;'08-07-25-Scen7-GennyFail'!AA22,'Drilling Spec'!$C$36,)</f>
        <v>0</v>
      </c>
      <c r="AE22" s="18" t="e">
        <f>(I22-'Drilling Spec'!$C$26)/'Drilling Spec'!$C$38</f>
        <v>#VALUE!</v>
      </c>
      <c r="AF22" s="18">
        <f t="shared" si="7"/>
        <v>0</v>
      </c>
      <c r="AG22" s="34">
        <f t="shared" si="8"/>
        <v>0</v>
      </c>
      <c r="AH22" s="10"/>
      <c r="AI22" s="26">
        <f>IF(C22="Camp Closed",AG22,IF(AG22&lt;'Drilling Spec'!$C$39,,'Drilling Spec'!$C$39))</f>
        <v>0</v>
      </c>
      <c r="AL22" s="16" t="e">
        <f t="shared" si="9"/>
        <v>#N/A</v>
      </c>
      <c r="AM22" s="16" t="e">
        <f t="shared" si="10"/>
        <v>#N/A</v>
      </c>
      <c r="AN22">
        <f>-'Drilling Spec'!$C$29</f>
        <v>-720</v>
      </c>
      <c r="AO22">
        <f>-'Drilling Spec'!$C$27</f>
        <v>-624</v>
      </c>
      <c r="AP22">
        <f>-'Drilling Spec'!$C$28</f>
        <v>-688</v>
      </c>
      <c r="AQ22" t="e">
        <f t="shared" si="11"/>
        <v>#N/A</v>
      </c>
      <c r="AR22" t="e">
        <f>IF(X22=0,NA(),-'Drilling Spec'!$C$29*0.1)</f>
        <v>#N/A</v>
      </c>
      <c r="AS22" t="e">
        <f>IF(Y22=0,NA(),-'Drilling Spec'!$C$29*0.1)</f>
        <v>#N/A</v>
      </c>
      <c r="AT22" t="e">
        <f>IF(AB22=0,NA(),-'Drilling Spec'!$C$29*0.2)</f>
        <v>#N/A</v>
      </c>
      <c r="AU22" t="e">
        <f>IF(AC22=0,NA(),-'Drilling Spec'!$C$29*0.2)</f>
        <v>#N/A</v>
      </c>
      <c r="AV22" t="e">
        <f>IF(AH22=0,NA(),-'Drilling Spec'!$C$29*0.3)</f>
        <v>#N/A</v>
      </c>
      <c r="AW22" t="e">
        <f>IF(AI22=0,NA(),-'Drilling Spec'!$C$29*0.3)</f>
        <v>#N/A</v>
      </c>
      <c r="AX22" s="29">
        <f t="shared" si="12"/>
        <v>0</v>
      </c>
      <c r="AY22" s="29">
        <f t="shared" si="13"/>
        <v>4</v>
      </c>
      <c r="AZ22" s="29">
        <f t="shared" si="17"/>
        <v>0</v>
      </c>
      <c r="BS22" s="35"/>
      <c r="BU22" s="40"/>
      <c r="BV22" s="40"/>
      <c r="BW22" s="40"/>
      <c r="BX22" s="40"/>
      <c r="BY22" s="40"/>
      <c r="BZ22" s="40"/>
      <c r="CA22" s="40"/>
    </row>
    <row r="23" spans="1:79" x14ac:dyDescent="0.35">
      <c r="A23" s="28">
        <f t="shared" si="18"/>
        <v>45993</v>
      </c>
      <c r="B23" t="str">
        <f t="shared" si="0"/>
        <v>Tue</v>
      </c>
      <c r="C23" s="10" t="s">
        <v>195</v>
      </c>
      <c r="D23" s="10">
        <v>12</v>
      </c>
      <c r="E23" s="4">
        <f t="shared" si="1"/>
        <v>0</v>
      </c>
      <c r="F23" s="4">
        <f t="shared" si="2"/>
        <v>0</v>
      </c>
      <c r="G23" s="4">
        <f t="shared" si="3"/>
        <v>0</v>
      </c>
      <c r="H23" s="15" t="e">
        <f>(SQRT(4*I22*I22*V*V + 'Drilling Spec'!$C$42*I22 + W*('Drilling Spec'!$C$43 + 2*l*V*(s*W + 2*V*G23/(1+e)) + 'Drilling Spec'!$C$44)) - 'Drilling Spec'!$C$45)/(2*V)</f>
        <v>#VALUE!</v>
      </c>
      <c r="I23" s="23" t="str">
        <f>IF(AND(OR(I22=0,I22=""),F23=0),IF(F24=0,"",'Drilling Spec'!$C$26),H23)</f>
        <v/>
      </c>
      <c r="J23" s="16" t="e">
        <f>MAX(0,I23-'Drilling Spec'!$C$30)</f>
        <v>#VALUE!</v>
      </c>
      <c r="K23" s="18">
        <f>IFERROR(J23/'Drilling Spec'!$C$31,0)</f>
        <v>0</v>
      </c>
      <c r="L23" s="21">
        <f t="shared" si="4"/>
        <v>0</v>
      </c>
      <c r="M23" s="4">
        <f t="shared" si="14"/>
        <v>0</v>
      </c>
      <c r="N23" s="21">
        <f t="shared" si="5"/>
        <v>0</v>
      </c>
      <c r="O23" s="18">
        <f>(SQRT(4*O22*O22*vB*vB + 'Drilling Spec'!$C$48*O22 + WB*('Drilling Spec'!$C$49 + 2*lB*vB*(sB*WB + 2*vB*N23/(1+eB)) + 'Drilling Spec'!$C$50)) - 'Drilling Spec'!$C$51)/(2*vB)</f>
        <v>0</v>
      </c>
      <c r="P23" s="18">
        <f>IFERROR(((S23-'Drilling Spec'!$C$30)/'Drilling Spec'!$C$31)*'Drilling Spec'!$C$32,0)</f>
        <v>0</v>
      </c>
      <c r="Q23" s="18">
        <f t="shared" si="15"/>
        <v>0</v>
      </c>
      <c r="R23" s="18"/>
      <c r="S23" s="26" t="str">
        <f>IF(AND(OR(T22=0,T22=""),M23=0),IF(M24=0,"",'Drilling Spec'!$C$30),O23)</f>
        <v/>
      </c>
      <c r="U23" s="15">
        <f>E23*'Drilling Spec'!$C$22 + L23*'Drilling Spec'!$C$23</f>
        <v>0</v>
      </c>
      <c r="V23" s="15">
        <f t="shared" si="16"/>
        <v>0</v>
      </c>
      <c r="W23" s="15">
        <f t="shared" si="6"/>
        <v>0</v>
      </c>
      <c r="X23" s="10"/>
      <c r="Y23" s="30">
        <f>IF(W23&lt;U24,'Drilling Spec'!$C$35,0)</f>
        <v>0</v>
      </c>
      <c r="AA23" s="4">
        <f t="shared" si="19"/>
        <v>4</v>
      </c>
      <c r="AB23" s="10"/>
      <c r="AC23" s="30">
        <f>IF('08-07-25-Scen7-GennyFail'!K24&gt;'08-07-25-Scen7-GennyFail'!AA23,'Drilling Spec'!$C$36,)</f>
        <v>0</v>
      </c>
      <c r="AE23" s="18" t="e">
        <f>(I23-'Drilling Spec'!$C$26)/'Drilling Spec'!$C$38</f>
        <v>#VALUE!</v>
      </c>
      <c r="AF23" s="18">
        <f t="shared" si="7"/>
        <v>0</v>
      </c>
      <c r="AG23" s="34">
        <f t="shared" si="8"/>
        <v>0</v>
      </c>
      <c r="AH23" s="10"/>
      <c r="AI23" s="26">
        <f>IF(C23="Camp Closed",AG23,IF(AG23&lt;'Drilling Spec'!$C$39,,'Drilling Spec'!$C$39))</f>
        <v>0</v>
      </c>
      <c r="AL23" s="16" t="e">
        <f t="shared" si="9"/>
        <v>#N/A</v>
      </c>
      <c r="AM23" s="16" t="e">
        <f t="shared" si="10"/>
        <v>#N/A</v>
      </c>
      <c r="AN23">
        <f>-'Drilling Spec'!$C$29</f>
        <v>-720</v>
      </c>
      <c r="AO23">
        <f>-'Drilling Spec'!$C$27</f>
        <v>-624</v>
      </c>
      <c r="AP23">
        <f>-'Drilling Spec'!$C$28</f>
        <v>-688</v>
      </c>
      <c r="AQ23" t="e">
        <f t="shared" si="11"/>
        <v>#N/A</v>
      </c>
      <c r="AR23" t="e">
        <f>IF(X23=0,NA(),-'Drilling Spec'!$C$29*0.1)</f>
        <v>#N/A</v>
      </c>
      <c r="AS23" t="e">
        <f>IF(Y23=0,NA(),-'Drilling Spec'!$C$29*0.1)</f>
        <v>#N/A</v>
      </c>
      <c r="AT23" t="e">
        <f>IF(AB23=0,NA(),-'Drilling Spec'!$C$29*0.2)</f>
        <v>#N/A</v>
      </c>
      <c r="AU23" t="e">
        <f>IF(AC23=0,NA(),-'Drilling Spec'!$C$29*0.2)</f>
        <v>#N/A</v>
      </c>
      <c r="AV23" t="e">
        <f>IF(AH23=0,NA(),-'Drilling Spec'!$C$29*0.3)</f>
        <v>#N/A</v>
      </c>
      <c r="AW23" t="e">
        <f>IF(AI23=0,NA(),-'Drilling Spec'!$C$29*0.3)</f>
        <v>#N/A</v>
      </c>
      <c r="AX23" s="29">
        <f t="shared" si="12"/>
        <v>0</v>
      </c>
      <c r="AY23" s="29">
        <f t="shared" si="13"/>
        <v>4</v>
      </c>
      <c r="AZ23" s="29">
        <f t="shared" si="17"/>
        <v>0</v>
      </c>
      <c r="BS23" s="35"/>
      <c r="BU23" s="40"/>
      <c r="BV23" s="40"/>
      <c r="BW23" s="40"/>
      <c r="BX23" s="40"/>
      <c r="BY23" s="40"/>
      <c r="BZ23" s="40"/>
      <c r="CA23" s="40"/>
    </row>
    <row r="24" spans="1:79" x14ac:dyDescent="0.35">
      <c r="A24" s="28">
        <f t="shared" si="18"/>
        <v>45994</v>
      </c>
      <c r="B24" t="str">
        <f t="shared" si="0"/>
        <v>Wed</v>
      </c>
      <c r="C24" s="10" t="s">
        <v>194</v>
      </c>
      <c r="D24" s="10">
        <v>12</v>
      </c>
      <c r="E24" s="4">
        <f t="shared" si="1"/>
        <v>0</v>
      </c>
      <c r="F24" s="4">
        <f t="shared" si="2"/>
        <v>0</v>
      </c>
      <c r="G24" s="4">
        <f t="shared" si="3"/>
        <v>0</v>
      </c>
      <c r="H24" s="15" t="e">
        <f>(SQRT(4*I23*I23*V*V + 'Drilling Spec'!$C$42*I23 + W*('Drilling Spec'!$C$43 + 2*l*V*(s*W + 2*V*G24/(1+e)) + 'Drilling Spec'!$C$44)) - 'Drilling Spec'!$C$45)/(2*V)</f>
        <v>#VALUE!</v>
      </c>
      <c r="I24" s="23">
        <f>IF(AND(OR(I23=0,I23=""),F24=0),IF(F25=0,"",'Drilling Spec'!$C$26),H24)</f>
        <v>70</v>
      </c>
      <c r="J24" s="16">
        <f>MAX(0,I24-'Drilling Spec'!$C$30)</f>
        <v>0</v>
      </c>
      <c r="K24" s="18">
        <f>IFERROR(J24/'Drilling Spec'!$C$31,0)</f>
        <v>0</v>
      </c>
      <c r="L24" s="21">
        <f t="shared" si="4"/>
        <v>0</v>
      </c>
      <c r="M24" s="4">
        <f t="shared" si="14"/>
        <v>0</v>
      </c>
      <c r="N24" s="21">
        <f t="shared" si="5"/>
        <v>0</v>
      </c>
      <c r="O24" s="18">
        <f>(SQRT(4*O23*O23*vB*vB + 'Drilling Spec'!$C$48*O23 + WB*('Drilling Spec'!$C$49 + 2*lB*vB*(sB*WB + 2*vB*N24/(1+eB)) + 'Drilling Spec'!$C$50)) - 'Drilling Spec'!$C$51)/(2*vB)</f>
        <v>0</v>
      </c>
      <c r="P24" s="18">
        <f>IFERROR(((S24-'Drilling Spec'!$C$30)/'Drilling Spec'!$C$31)*'Drilling Spec'!$C$32,0)</f>
        <v>0</v>
      </c>
      <c r="Q24" s="18">
        <f t="shared" si="15"/>
        <v>0</v>
      </c>
      <c r="R24" s="18"/>
      <c r="S24" s="26" t="str">
        <f>IF(AND(OR(T23=0,T23=""),M24=0),IF(M25=0,"",'Drilling Spec'!$C$30),O24)</f>
        <v/>
      </c>
      <c r="U24" s="15">
        <f>E24*'Drilling Spec'!$C$22 + L24*'Drilling Spec'!$C$23</f>
        <v>0</v>
      </c>
      <c r="V24" s="15">
        <f t="shared" si="16"/>
        <v>0</v>
      </c>
      <c r="W24" s="15">
        <f t="shared" si="6"/>
        <v>0</v>
      </c>
      <c r="X24" s="10"/>
      <c r="Y24" s="30">
        <f>IF(W24&lt;U25,'Drilling Spec'!$C$35,0)</f>
        <v>6</v>
      </c>
      <c r="AA24" s="4">
        <f t="shared" si="19"/>
        <v>4</v>
      </c>
      <c r="AB24" s="10"/>
      <c r="AC24" s="30">
        <f>IF('08-07-25-Scen7-GennyFail'!K25&gt;'08-07-25-Scen7-GennyFail'!AA24,'Drilling Spec'!$C$36,)</f>
        <v>0</v>
      </c>
      <c r="AE24" s="18">
        <f>(I24-'Drilling Spec'!$C$26)/'Drilling Spec'!$C$38</f>
        <v>0</v>
      </c>
      <c r="AF24" s="18">
        <f t="shared" si="7"/>
        <v>0</v>
      </c>
      <c r="AG24" s="34">
        <f t="shared" si="8"/>
        <v>0</v>
      </c>
      <c r="AH24" s="10"/>
      <c r="AI24" s="26">
        <f>IF(C24="Camp Closed",AG24,IF(AG24&lt;'Drilling Spec'!$C$39,,'Drilling Spec'!$C$39))</f>
        <v>0</v>
      </c>
      <c r="AL24" s="16">
        <f t="shared" si="9"/>
        <v>-70</v>
      </c>
      <c r="AM24" s="16" t="e">
        <f t="shared" si="10"/>
        <v>#N/A</v>
      </c>
      <c r="AN24">
        <f>-'Drilling Spec'!$C$29</f>
        <v>-720</v>
      </c>
      <c r="AO24">
        <f>-'Drilling Spec'!$C$27</f>
        <v>-624</v>
      </c>
      <c r="AP24">
        <f>-'Drilling Spec'!$C$28</f>
        <v>-688</v>
      </c>
      <c r="AQ24" t="e">
        <f t="shared" si="11"/>
        <v>#N/A</v>
      </c>
      <c r="AR24" t="e">
        <f>IF(X24=0,NA(),-'Drilling Spec'!$C$29*0.1)</f>
        <v>#N/A</v>
      </c>
      <c r="AS24">
        <f>IF(Y24=0,NA(),-'Drilling Spec'!$C$29*0.1)</f>
        <v>-72</v>
      </c>
      <c r="AT24" t="e">
        <f>IF(AB24=0,NA(),-'Drilling Spec'!$C$29*0.2)</f>
        <v>#N/A</v>
      </c>
      <c r="AU24" t="e">
        <f>IF(AC24=0,NA(),-'Drilling Spec'!$C$29*0.2)</f>
        <v>#N/A</v>
      </c>
      <c r="AV24" t="e">
        <f>IF(AH24=0,NA(),-'Drilling Spec'!$C$29*0.3)</f>
        <v>#N/A</v>
      </c>
      <c r="AW24" t="e">
        <f>IF(AI24=0,NA(),-'Drilling Spec'!$C$29*0.3)</f>
        <v>#N/A</v>
      </c>
      <c r="AX24" s="29">
        <f t="shared" si="12"/>
        <v>0</v>
      </c>
      <c r="AY24" s="29">
        <f t="shared" si="13"/>
        <v>4</v>
      </c>
      <c r="AZ24" s="29">
        <f t="shared" si="17"/>
        <v>0</v>
      </c>
      <c r="BS24" s="35"/>
      <c r="BU24" s="38" t="s">
        <v>190</v>
      </c>
      <c r="BV24" s="38"/>
      <c r="BW24" s="38"/>
      <c r="BX24" s="38"/>
      <c r="BY24" s="38"/>
      <c r="BZ24" s="38"/>
      <c r="CA24" s="38"/>
    </row>
    <row r="25" spans="1:79" x14ac:dyDescent="0.35">
      <c r="A25" s="28">
        <f t="shared" si="18"/>
        <v>45995</v>
      </c>
      <c r="B25" t="str">
        <f t="shared" si="0"/>
        <v>Thu</v>
      </c>
      <c r="C25" s="10" t="s">
        <v>9</v>
      </c>
      <c r="D25" s="10">
        <v>8</v>
      </c>
      <c r="E25" s="4">
        <f t="shared" si="1"/>
        <v>8</v>
      </c>
      <c r="F25" s="4">
        <f t="shared" si="2"/>
        <v>8</v>
      </c>
      <c r="G25" s="4">
        <f t="shared" si="3"/>
        <v>480</v>
      </c>
      <c r="H25" s="15">
        <f>(SQRT(4*I24*I24*V*V + 'Drilling Spec'!$C$42*I24 + W*('Drilling Spec'!$C$43 + 2*l*V*(s*W + 2*V*G25/(1+e)) + 'Drilling Spec'!$C$44)) - 'Drilling Spec'!$C$45)/(2*V)</f>
        <v>79.833321918590045</v>
      </c>
      <c r="I25" s="23">
        <f>IF(AND(OR(I24=0,I24=""),F25=0),IF(F26=0,"",'Drilling Spec'!$C$26),H25)</f>
        <v>79.833321918590045</v>
      </c>
      <c r="J25" s="16">
        <f>MAX(0,I25-'Drilling Spec'!$C$30)</f>
        <v>0</v>
      </c>
      <c r="K25" s="18">
        <f>IFERROR(J25/'Drilling Spec'!$C$31,0)</f>
        <v>0</v>
      </c>
      <c r="L25" s="21">
        <f t="shared" si="4"/>
        <v>0</v>
      </c>
      <c r="M25" s="4">
        <f t="shared" si="14"/>
        <v>0</v>
      </c>
      <c r="N25" s="21">
        <f t="shared" si="5"/>
        <v>0</v>
      </c>
      <c r="O25" s="18">
        <f>(SQRT(4*O24*O24*vB*vB + 'Drilling Spec'!$C$48*O24 + WB*('Drilling Spec'!$C$49 + 2*lB*vB*(sB*WB + 2*vB*N25/(1+eB)) + 'Drilling Spec'!$C$50)) - 'Drilling Spec'!$C$51)/(2*vB)</f>
        <v>0</v>
      </c>
      <c r="P25" s="18">
        <f>IFERROR(((S25-'Drilling Spec'!$C$30)/'Drilling Spec'!$C$31)*'Drilling Spec'!$C$32,0)</f>
        <v>0</v>
      </c>
      <c r="Q25" s="18">
        <f t="shared" si="15"/>
        <v>0</v>
      </c>
      <c r="R25" s="18"/>
      <c r="S25" s="26" t="str">
        <f>IF(AND(OR(T24=0,T24=""),M25=0),IF(M26=0,"",'Drilling Spec'!$C$30),O25)</f>
        <v/>
      </c>
      <c r="U25" s="15">
        <f>E25*'Drilling Spec'!$C$22 + L25*'Drilling Spec'!$C$23</f>
        <v>0.16032520325203253</v>
      </c>
      <c r="V25" s="15">
        <f t="shared" si="16"/>
        <v>0.16032520325203253</v>
      </c>
      <c r="W25" s="15">
        <f t="shared" si="6"/>
        <v>5.8396747967479676</v>
      </c>
      <c r="X25" s="10"/>
      <c r="Y25" s="30">
        <f>IF(W25&lt;U26,'Drilling Spec'!$C$35,0)</f>
        <v>0</v>
      </c>
      <c r="AA25" s="4">
        <f t="shared" si="19"/>
        <v>4</v>
      </c>
      <c r="AB25" s="10"/>
      <c r="AC25" s="30">
        <f>IF('08-07-25-Scen7-GennyFail'!K26&gt;'08-07-25-Scen7-GennyFail'!AA25,'Drilling Spec'!$C$36,)</f>
        <v>0</v>
      </c>
      <c r="AE25" s="18">
        <f>(I25-'Drilling Spec'!$C$26)/'Drilling Spec'!$C$38</f>
        <v>1.6388869864316742</v>
      </c>
      <c r="AF25" s="18">
        <f t="shared" si="7"/>
        <v>1.6388869864316742</v>
      </c>
      <c r="AG25" s="34">
        <f t="shared" si="8"/>
        <v>1.6388869864316742</v>
      </c>
      <c r="AH25" s="10"/>
      <c r="AI25" s="26">
        <f>IF(C25="Camp Closed",AG25,IF(AG25&lt;'Drilling Spec'!$C$39,,'Drilling Spec'!$C$39))</f>
        <v>0</v>
      </c>
      <c r="AL25" s="16">
        <f t="shared" si="9"/>
        <v>-79.833321918590045</v>
      </c>
      <c r="AM25" s="16" t="e">
        <f t="shared" si="10"/>
        <v>#N/A</v>
      </c>
      <c r="AN25">
        <f>-'Drilling Spec'!$C$29</f>
        <v>-720</v>
      </c>
      <c r="AO25">
        <f>-'Drilling Spec'!$C$27</f>
        <v>-624</v>
      </c>
      <c r="AP25">
        <f>-'Drilling Spec'!$C$28</f>
        <v>-688</v>
      </c>
      <c r="AQ25" t="e">
        <f t="shared" si="11"/>
        <v>#N/A</v>
      </c>
      <c r="AR25" t="e">
        <f>IF(X25=0,NA(),-'Drilling Spec'!$C$29*0.1)</f>
        <v>#N/A</v>
      </c>
      <c r="AS25" t="e">
        <f>IF(Y25=0,NA(),-'Drilling Spec'!$C$29*0.1)</f>
        <v>#N/A</v>
      </c>
      <c r="AT25" t="e">
        <f>IF(AB25=0,NA(),-'Drilling Spec'!$C$29*0.2)</f>
        <v>#N/A</v>
      </c>
      <c r="AU25" t="e">
        <f>IF(AC25=0,NA(),-'Drilling Spec'!$C$29*0.2)</f>
        <v>#N/A</v>
      </c>
      <c r="AV25" t="e">
        <f>IF(AH25=0,NA(),-'Drilling Spec'!$C$29*0.3)</f>
        <v>#N/A</v>
      </c>
      <c r="AW25" t="e">
        <f>IF(AI25=0,NA(),-'Drilling Spec'!$C$29*0.3)</f>
        <v>#N/A</v>
      </c>
      <c r="AX25" s="29">
        <f t="shared" si="12"/>
        <v>5.8396747967479676</v>
      </c>
      <c r="AY25" s="29">
        <f t="shared" si="13"/>
        <v>4</v>
      </c>
      <c r="AZ25" s="29">
        <f t="shared" si="17"/>
        <v>1.6388869864316742</v>
      </c>
      <c r="BS25" s="35"/>
      <c r="BU25" s="38"/>
      <c r="BV25" s="38"/>
      <c r="BW25" s="38"/>
      <c r="BX25" s="38"/>
      <c r="BY25" s="38"/>
      <c r="BZ25" s="38"/>
      <c r="CA25" s="38"/>
    </row>
    <row r="26" spans="1:79" x14ac:dyDescent="0.35">
      <c r="A26" s="28">
        <f t="shared" si="18"/>
        <v>45996</v>
      </c>
      <c r="B26" t="str">
        <f t="shared" si="0"/>
        <v>Fri</v>
      </c>
      <c r="C26" s="10" t="s">
        <v>9</v>
      </c>
      <c r="D26" s="10">
        <v>8</v>
      </c>
      <c r="E26" s="4">
        <f t="shared" si="1"/>
        <v>8</v>
      </c>
      <c r="F26" s="4">
        <f t="shared" si="2"/>
        <v>16</v>
      </c>
      <c r="G26" s="4">
        <f t="shared" si="3"/>
        <v>480</v>
      </c>
      <c r="H26" s="15">
        <f>(SQRT(4*I25*I25*V*V + 'Drilling Spec'!$C$42*I25 + W*('Drilling Spec'!$C$43 + 2*l*V*(s*W + 2*V*G26/(1+e)) + 'Drilling Spec'!$C$44)) - 'Drilling Spec'!$C$45)/(2*V)</f>
        <v>89.510213628273647</v>
      </c>
      <c r="I26" s="23">
        <f>IF(AND(OR(I25=0,I25=""),F26=0),IF(F27=0,"",'Drilling Spec'!$C$26),H26)</f>
        <v>89.510213628273647</v>
      </c>
      <c r="J26" s="16">
        <f>MAX(0,I26-'Drilling Spec'!$C$30)</f>
        <v>9.5102136282736467</v>
      </c>
      <c r="K26" s="18">
        <f>IFERROR(J26/'Drilling Spec'!$C$31,0)</f>
        <v>0.63401424188490973</v>
      </c>
      <c r="L26" s="21">
        <f t="shared" si="4"/>
        <v>0</v>
      </c>
      <c r="M26" s="4">
        <f t="shared" si="14"/>
        <v>0</v>
      </c>
      <c r="N26" s="21">
        <f t="shared" si="5"/>
        <v>0</v>
      </c>
      <c r="O26" s="18">
        <f>(SQRT(4*O25*O25*vB*vB + 'Drilling Spec'!$C$48*O25 + WB*('Drilling Spec'!$C$49 + 2*lB*vB*(sB*WB + 2*vB*N26/(1+eB)) + 'Drilling Spec'!$C$50)) - 'Drilling Spec'!$C$51)/(2*vB)</f>
        <v>0</v>
      </c>
      <c r="P26" s="18">
        <f>IFERROR(((S26-'Drilling Spec'!$C$30)/'Drilling Spec'!$C$31)*'Drilling Spec'!$C$32,0)</f>
        <v>0</v>
      </c>
      <c r="Q26" s="18">
        <f t="shared" si="15"/>
        <v>0</v>
      </c>
      <c r="R26" s="18"/>
      <c r="S26" s="26" t="str">
        <f>IF(AND(OR(T25=0,T25=""),M26=0),IF(M27=0,"",'Drilling Spec'!$C$30),O26)</f>
        <v/>
      </c>
      <c r="U26" s="15">
        <f>E26*'Drilling Spec'!$C$22 + L26*'Drilling Spec'!$C$23</f>
        <v>0.16032520325203253</v>
      </c>
      <c r="V26" s="15">
        <f t="shared" si="16"/>
        <v>0.32065040650406507</v>
      </c>
      <c r="W26" s="15">
        <f t="shared" si="6"/>
        <v>5.6793495934959353</v>
      </c>
      <c r="X26" s="10"/>
      <c r="Y26" s="30">
        <f>IF(W26&lt;U27,'Drilling Spec'!$C$35,0)</f>
        <v>0</v>
      </c>
      <c r="AA26" s="4">
        <f t="shared" si="19"/>
        <v>4</v>
      </c>
      <c r="AB26" s="10"/>
      <c r="AC26" s="30">
        <f>IF('08-07-25-Scen7-GennyFail'!K27&gt;'08-07-25-Scen7-GennyFail'!AA26,'Drilling Spec'!$C$36,)</f>
        <v>0</v>
      </c>
      <c r="AE26" s="18">
        <f>(I26-'Drilling Spec'!$C$26)/'Drilling Spec'!$C$38</f>
        <v>3.251702271378941</v>
      </c>
      <c r="AF26" s="18">
        <f t="shared" si="7"/>
        <v>1.6128152849472668</v>
      </c>
      <c r="AG26" s="34">
        <f t="shared" si="8"/>
        <v>3.251702271378941</v>
      </c>
      <c r="AH26" s="10"/>
      <c r="AI26" s="26">
        <f>IF(C26="Camp Closed",AG26,IF(AG26&lt;'Drilling Spec'!$C$39,,'Drilling Spec'!$C$39))</f>
        <v>0</v>
      </c>
      <c r="AL26" s="16">
        <f t="shared" si="9"/>
        <v>-89.510213628273647</v>
      </c>
      <c r="AM26" s="16" t="e">
        <f t="shared" si="10"/>
        <v>#N/A</v>
      </c>
      <c r="AN26">
        <f>-'Drilling Spec'!$C$29</f>
        <v>-720</v>
      </c>
      <c r="AO26">
        <f>-'Drilling Spec'!$C$27</f>
        <v>-624</v>
      </c>
      <c r="AP26">
        <f>-'Drilling Spec'!$C$28</f>
        <v>-688</v>
      </c>
      <c r="AQ26" t="e">
        <f t="shared" si="11"/>
        <v>#N/A</v>
      </c>
      <c r="AR26" t="e">
        <f>IF(X26=0,NA(),-'Drilling Spec'!$C$29*0.1)</f>
        <v>#N/A</v>
      </c>
      <c r="AS26" t="e">
        <f>IF(Y26=0,NA(),-'Drilling Spec'!$C$29*0.1)</f>
        <v>#N/A</v>
      </c>
      <c r="AT26" t="e">
        <f>IF(AB26=0,NA(),-'Drilling Spec'!$C$29*0.2)</f>
        <v>#N/A</v>
      </c>
      <c r="AU26" t="e">
        <f>IF(AC26=0,NA(),-'Drilling Spec'!$C$29*0.2)</f>
        <v>#N/A</v>
      </c>
      <c r="AV26" t="e">
        <f>IF(AH26=0,NA(),-'Drilling Spec'!$C$29*0.3)</f>
        <v>#N/A</v>
      </c>
      <c r="AW26" t="e">
        <f>IF(AI26=0,NA(),-'Drilling Spec'!$C$29*0.3)</f>
        <v>#N/A</v>
      </c>
      <c r="AX26" s="29">
        <f t="shared" si="12"/>
        <v>5.6793495934959353</v>
      </c>
      <c r="AY26" s="29">
        <f t="shared" si="13"/>
        <v>3.36598575811509</v>
      </c>
      <c r="AZ26" s="29">
        <f t="shared" si="17"/>
        <v>3.251702271378941</v>
      </c>
      <c r="BS26" s="35"/>
      <c r="BT26" s="39" t="s">
        <v>188</v>
      </c>
      <c r="BU26" s="39"/>
      <c r="BV26" s="39"/>
      <c r="BW26" s="39"/>
      <c r="BX26" s="39"/>
      <c r="BY26" s="39"/>
      <c r="BZ26" s="39"/>
      <c r="CA26" s="39"/>
    </row>
    <row r="27" spans="1:79" x14ac:dyDescent="0.35">
      <c r="A27" s="28">
        <f t="shared" si="18"/>
        <v>45997</v>
      </c>
      <c r="B27" t="str">
        <f t="shared" si="0"/>
        <v>Sat</v>
      </c>
      <c r="C27" s="10" t="s">
        <v>9</v>
      </c>
      <c r="D27" s="10">
        <v>8</v>
      </c>
      <c r="E27" s="4">
        <f t="shared" si="1"/>
        <v>8</v>
      </c>
      <c r="F27" s="4">
        <f t="shared" si="2"/>
        <v>24</v>
      </c>
      <c r="G27" s="4">
        <f t="shared" si="3"/>
        <v>480</v>
      </c>
      <c r="H27" s="15">
        <f>(SQRT(4*I26*I26*V*V + 'Drilling Spec'!$C$42*I26 + W*('Drilling Spec'!$C$43 + 2*l*V*(s*W + 2*V*G27/(1+e)) + 'Drilling Spec'!$C$44)) - 'Drilling Spec'!$C$45)/(2*V)</f>
        <v>99.037911344051594</v>
      </c>
      <c r="I27" s="23">
        <f>IF(AND(OR(I26=0,I26=""),F27=0),IF(F28=0,"",'Drilling Spec'!$C$26),H27)</f>
        <v>99.037911344051594</v>
      </c>
      <c r="J27" s="16">
        <f>MAX(0,I27-'Drilling Spec'!$C$30)</f>
        <v>19.037911344051594</v>
      </c>
      <c r="K27" s="18">
        <f>IFERROR(J27/'Drilling Spec'!$C$31,0)</f>
        <v>1.2691940896034395</v>
      </c>
      <c r="L27" s="21">
        <f t="shared" si="4"/>
        <v>0</v>
      </c>
      <c r="M27" s="4">
        <f t="shared" si="14"/>
        <v>0</v>
      </c>
      <c r="N27" s="21">
        <f t="shared" si="5"/>
        <v>0</v>
      </c>
      <c r="O27" s="18">
        <f>(SQRT(4*O26*O26*vB*vB + 'Drilling Spec'!$C$48*O26 + WB*('Drilling Spec'!$C$49 + 2*lB*vB*(sB*WB + 2*vB*N27/(1+eB)) + 'Drilling Spec'!$C$50)) - 'Drilling Spec'!$C$51)/(2*vB)</f>
        <v>0</v>
      </c>
      <c r="P27" s="18">
        <f>IFERROR(((S27-'Drilling Spec'!$C$30)/'Drilling Spec'!$C$31)*'Drilling Spec'!$C$32,0)</f>
        <v>0</v>
      </c>
      <c r="Q27" s="18">
        <f t="shared" si="15"/>
        <v>0</v>
      </c>
      <c r="R27" s="18"/>
      <c r="S27" s="26" t="str">
        <f>IF(AND(OR(T26=0,T26=""),M27=0),IF(M28=0,"",'Drilling Spec'!$C$30),O27)</f>
        <v/>
      </c>
      <c r="U27" s="15">
        <f>E27*'Drilling Spec'!$C$22 + L27*'Drilling Spec'!$C$23</f>
        <v>0.16032520325203253</v>
      </c>
      <c r="V27" s="15">
        <f t="shared" si="16"/>
        <v>0.4809756097560976</v>
      </c>
      <c r="W27" s="15">
        <f t="shared" si="6"/>
        <v>5.5190243902439029</v>
      </c>
      <c r="X27" s="10"/>
      <c r="Y27" s="30">
        <f>IF(W27&lt;U28,'Drilling Spec'!$C$35,0)</f>
        <v>0</v>
      </c>
      <c r="AA27" s="4">
        <f t="shared" si="19"/>
        <v>4</v>
      </c>
      <c r="AB27" s="10"/>
      <c r="AC27" s="30">
        <f>IF('08-07-25-Scen7-GennyFail'!K28&gt;'08-07-25-Scen7-GennyFail'!AA27,'Drilling Spec'!$C$36,)</f>
        <v>0</v>
      </c>
      <c r="AE27" s="18">
        <f>(I27-'Drilling Spec'!$C$26)/'Drilling Spec'!$C$38</f>
        <v>4.8396518906752659</v>
      </c>
      <c r="AF27" s="18">
        <f t="shared" si="7"/>
        <v>1.5879496192963249</v>
      </c>
      <c r="AG27" s="34">
        <f t="shared" si="8"/>
        <v>4.8396518906752659</v>
      </c>
      <c r="AH27" s="10"/>
      <c r="AI27" s="26">
        <f>IF(C27="Camp Closed",AG27,IF(AG27&lt;'Drilling Spec'!$C$39,,'Drilling Spec'!$C$39))</f>
        <v>0</v>
      </c>
      <c r="AL27" s="16">
        <f t="shared" si="9"/>
        <v>-99.037911344051594</v>
      </c>
      <c r="AM27" s="16" t="e">
        <f t="shared" si="10"/>
        <v>#N/A</v>
      </c>
      <c r="AN27">
        <f>-'Drilling Spec'!$C$29</f>
        <v>-720</v>
      </c>
      <c r="AO27">
        <f>-'Drilling Spec'!$C$27</f>
        <v>-624</v>
      </c>
      <c r="AP27">
        <f>-'Drilling Spec'!$C$28</f>
        <v>-688</v>
      </c>
      <c r="AQ27" t="e">
        <f t="shared" si="11"/>
        <v>#N/A</v>
      </c>
      <c r="AR27" t="e">
        <f>IF(X27=0,NA(),-'Drilling Spec'!$C$29*0.1)</f>
        <v>#N/A</v>
      </c>
      <c r="AS27" t="e">
        <f>IF(Y27=0,NA(),-'Drilling Spec'!$C$29*0.1)</f>
        <v>#N/A</v>
      </c>
      <c r="AT27" t="e">
        <f>IF(AB27=0,NA(),-'Drilling Spec'!$C$29*0.2)</f>
        <v>#N/A</v>
      </c>
      <c r="AU27" t="e">
        <f>IF(AC27=0,NA(),-'Drilling Spec'!$C$29*0.2)</f>
        <v>#N/A</v>
      </c>
      <c r="AV27" t="e">
        <f>IF(AH27=0,NA(),-'Drilling Spec'!$C$29*0.3)</f>
        <v>#N/A</v>
      </c>
      <c r="AW27" t="e">
        <f>IF(AI27=0,NA(),-'Drilling Spec'!$C$29*0.3)</f>
        <v>#N/A</v>
      </c>
      <c r="AX27" s="29">
        <f t="shared" si="12"/>
        <v>5.5190243902439029</v>
      </c>
      <c r="AY27" s="29">
        <f t="shared" si="13"/>
        <v>2.7308059103965605</v>
      </c>
      <c r="AZ27" s="29">
        <f t="shared" si="17"/>
        <v>4.8396518906752659</v>
      </c>
      <c r="BS27" s="35"/>
      <c r="BT27" s="39"/>
      <c r="BU27" s="39"/>
      <c r="BV27" s="39"/>
      <c r="BW27" s="39"/>
      <c r="BX27" s="39"/>
      <c r="BY27" s="39"/>
      <c r="BZ27" s="39"/>
      <c r="CA27" s="39"/>
    </row>
    <row r="28" spans="1:79" x14ac:dyDescent="0.35">
      <c r="A28" s="28">
        <f t="shared" si="18"/>
        <v>45998</v>
      </c>
      <c r="B28" t="str">
        <f t="shared" si="0"/>
        <v>Sun</v>
      </c>
      <c r="C28" s="10" t="s">
        <v>9</v>
      </c>
      <c r="D28" s="10">
        <v>24</v>
      </c>
      <c r="E28" s="4">
        <f t="shared" si="1"/>
        <v>24</v>
      </c>
      <c r="F28" s="4">
        <f t="shared" si="2"/>
        <v>48</v>
      </c>
      <c r="G28" s="4">
        <f t="shared" si="3"/>
        <v>1440</v>
      </c>
      <c r="H28" s="15">
        <f>(SQRT(4*I27*I27*V*V + 'Drilling Spec'!$C$42*I27 + W*('Drilling Spec'!$C$43 + 2*l*V*(s*W + 2*V*G28/(1+e)) + 'Drilling Spec'!$C$44)) - 'Drilling Spec'!$C$45)/(2*V)</f>
        <v>126.79040696937267</v>
      </c>
      <c r="I28" s="23">
        <f>IF(AND(OR(I27=0,I27=""),F28=0),IF(F29=0,"",'Drilling Spec'!$C$26),H28)</f>
        <v>126.79040696937267</v>
      </c>
      <c r="J28" s="16">
        <f>MAX(0,I28-'Drilling Spec'!$C$30)</f>
        <v>46.790406969372668</v>
      </c>
      <c r="K28" s="18">
        <f>IFERROR(J28/'Drilling Spec'!$C$31,0)</f>
        <v>3.1193604646248447</v>
      </c>
      <c r="L28" s="21">
        <f t="shared" si="4"/>
        <v>0</v>
      </c>
      <c r="M28" s="4">
        <f t="shared" si="14"/>
        <v>0</v>
      </c>
      <c r="N28" s="21">
        <f t="shared" si="5"/>
        <v>0</v>
      </c>
      <c r="O28" s="18">
        <f>(SQRT(4*O27*O27*vB*vB + 'Drilling Spec'!$C$48*O27 + WB*('Drilling Spec'!$C$49 + 2*lB*vB*(sB*WB + 2*vB*N28/(1+eB)) + 'Drilling Spec'!$C$50)) - 'Drilling Spec'!$C$51)/(2*vB)</f>
        <v>0</v>
      </c>
      <c r="P28" s="18">
        <f>IFERROR(((S28-'Drilling Spec'!$C$30)/'Drilling Spec'!$C$31)*'Drilling Spec'!$C$32,0)</f>
        <v>0</v>
      </c>
      <c r="Q28" s="18">
        <f t="shared" si="15"/>
        <v>0</v>
      </c>
      <c r="R28" s="18"/>
      <c r="S28" s="26" t="str">
        <f>IF(AND(OR(T27=0,T27=""),M28=0),IF(M29=0,"",'Drilling Spec'!$C$30),O28)</f>
        <v/>
      </c>
      <c r="U28" s="15">
        <f>E28*'Drilling Spec'!$C$22 + L28*'Drilling Spec'!$C$23</f>
        <v>0.4809756097560976</v>
      </c>
      <c r="V28" s="15">
        <f t="shared" si="16"/>
        <v>0.9619512195121952</v>
      </c>
      <c r="W28" s="15">
        <f t="shared" si="6"/>
        <v>5.0380487804878049</v>
      </c>
      <c r="X28" s="10"/>
      <c r="Y28" s="30">
        <f>IF(W28&lt;U29,'Drilling Spec'!$C$35,0)</f>
        <v>0</v>
      </c>
      <c r="AA28" s="4">
        <f t="shared" si="19"/>
        <v>4</v>
      </c>
      <c r="AB28" s="10"/>
      <c r="AC28" s="30">
        <f>IF('08-07-25-Scen7-GennyFail'!K29&gt;'08-07-25-Scen7-GennyFail'!AA28,'Drilling Spec'!$C$36,)</f>
        <v>0</v>
      </c>
      <c r="AE28" s="18">
        <f>(I28-'Drilling Spec'!$C$26)/'Drilling Spec'!$C$38</f>
        <v>9.4650678282287775</v>
      </c>
      <c r="AF28" s="18">
        <f t="shared" si="7"/>
        <v>4.6254159375535115</v>
      </c>
      <c r="AG28" s="34">
        <f t="shared" si="8"/>
        <v>9.4650678282287775</v>
      </c>
      <c r="AH28" s="10"/>
      <c r="AI28" s="26">
        <f>IF(C28="Camp Closed",AG28,IF(AG28&lt;'Drilling Spec'!$C$39,,'Drilling Spec'!$C$39))</f>
        <v>0</v>
      </c>
      <c r="AL28" s="16">
        <f t="shared" si="9"/>
        <v>-126.79040696937267</v>
      </c>
      <c r="AM28" s="16" t="e">
        <f t="shared" si="10"/>
        <v>#N/A</v>
      </c>
      <c r="AN28">
        <f>-'Drilling Spec'!$C$29</f>
        <v>-720</v>
      </c>
      <c r="AO28">
        <f>-'Drilling Spec'!$C$27</f>
        <v>-624</v>
      </c>
      <c r="AP28">
        <f>-'Drilling Spec'!$C$28</f>
        <v>-688</v>
      </c>
      <c r="AQ28" t="e">
        <f t="shared" si="11"/>
        <v>#N/A</v>
      </c>
      <c r="AR28" t="e">
        <f>IF(X28=0,NA(),-'Drilling Spec'!$C$29*0.1)</f>
        <v>#N/A</v>
      </c>
      <c r="AS28" t="e">
        <f>IF(Y28=0,NA(),-'Drilling Spec'!$C$29*0.1)</f>
        <v>#N/A</v>
      </c>
      <c r="AT28" t="e">
        <f>IF(AB28=0,NA(),-'Drilling Spec'!$C$29*0.2)</f>
        <v>#N/A</v>
      </c>
      <c r="AU28" t="e">
        <f>IF(AC28=0,NA(),-'Drilling Spec'!$C$29*0.2)</f>
        <v>#N/A</v>
      </c>
      <c r="AV28" t="e">
        <f>IF(AH28=0,NA(),-'Drilling Spec'!$C$29*0.3)</f>
        <v>#N/A</v>
      </c>
      <c r="AW28" t="e">
        <f>IF(AI28=0,NA(),-'Drilling Spec'!$C$29*0.3)</f>
        <v>#N/A</v>
      </c>
      <c r="AX28" s="29">
        <f t="shared" si="12"/>
        <v>5.0380487804878049</v>
      </c>
      <c r="AY28" s="29">
        <f t="shared" si="13"/>
        <v>0.88063953537515527</v>
      </c>
      <c r="AZ28" s="29">
        <f t="shared" si="17"/>
        <v>9.4650678282287775</v>
      </c>
      <c r="BS28" s="35"/>
      <c r="BT28" s="39"/>
      <c r="BU28" s="39"/>
      <c r="BV28" s="39"/>
      <c r="BW28" s="39"/>
      <c r="BX28" s="39"/>
      <c r="BY28" s="39"/>
      <c r="BZ28" s="39"/>
      <c r="CA28" s="39"/>
    </row>
    <row r="29" spans="1:79" x14ac:dyDescent="0.35">
      <c r="A29" s="28">
        <f t="shared" si="18"/>
        <v>45999</v>
      </c>
      <c r="B29" t="str">
        <f t="shared" si="0"/>
        <v>Mon</v>
      </c>
      <c r="C29" s="10" t="s">
        <v>7</v>
      </c>
      <c r="D29" s="10">
        <v>0</v>
      </c>
      <c r="E29" s="4">
        <f t="shared" si="1"/>
        <v>0</v>
      </c>
      <c r="F29" s="4">
        <f t="shared" si="2"/>
        <v>48</v>
      </c>
      <c r="G29" s="4">
        <f t="shared" si="3"/>
        <v>0</v>
      </c>
      <c r="H29" s="15">
        <f>(SQRT(4*I28*I28*V*V + 'Drilling Spec'!$C$42*I28 + W*('Drilling Spec'!$C$43 + 2*l*V*(s*W + 2*V*G29/(1+e)) + 'Drilling Spec'!$C$44)) - 'Drilling Spec'!$C$45)/(2*V)</f>
        <v>126.79040696937267</v>
      </c>
      <c r="I29" s="23">
        <f>IF(AND(OR(I28=0,I28=""),F29=0),IF(F30=0,"",'Drilling Spec'!$C$26),H29)</f>
        <v>126.79040696937267</v>
      </c>
      <c r="J29" s="16">
        <f>MAX(0,I29-'Drilling Spec'!$C$30)</f>
        <v>46.790406969372668</v>
      </c>
      <c r="K29" s="18">
        <f>IFERROR(J29/'Drilling Spec'!$C$31,0)</f>
        <v>3.1193604646248447</v>
      </c>
      <c r="L29" s="21">
        <f t="shared" si="4"/>
        <v>0</v>
      </c>
      <c r="M29" s="4">
        <f t="shared" si="14"/>
        <v>0</v>
      </c>
      <c r="N29" s="21">
        <f t="shared" si="5"/>
        <v>0</v>
      </c>
      <c r="O29" s="18">
        <f>(SQRT(4*O28*O28*vB*vB + 'Drilling Spec'!$C$48*O28 + WB*('Drilling Spec'!$C$49 + 2*lB*vB*(sB*WB + 2*vB*N29/(1+eB)) + 'Drilling Spec'!$C$50)) - 'Drilling Spec'!$C$51)/(2*vB)</f>
        <v>0</v>
      </c>
      <c r="P29" s="18">
        <f>IFERROR(((S29-'Drilling Spec'!$C$30)/'Drilling Spec'!$C$31)*'Drilling Spec'!$C$32,0)</f>
        <v>0</v>
      </c>
      <c r="Q29" s="18">
        <f t="shared" si="15"/>
        <v>0</v>
      </c>
      <c r="R29" s="18"/>
      <c r="S29" s="26" t="str">
        <f>IF(AND(OR(T28=0,T28=""),M29=0),IF(M30=0,"",'Drilling Spec'!$C$30),O29)</f>
        <v/>
      </c>
      <c r="U29" s="15">
        <f>E29*'Drilling Spec'!$C$22 + L29*'Drilling Spec'!$C$23</f>
        <v>0</v>
      </c>
      <c r="V29" s="15">
        <f t="shared" si="16"/>
        <v>0.9619512195121952</v>
      </c>
      <c r="W29" s="15">
        <f t="shared" si="6"/>
        <v>5.0380487804878049</v>
      </c>
      <c r="X29" s="10"/>
      <c r="Y29" s="30">
        <f>IF(W29&lt;U30,'Drilling Spec'!$C$35,0)</f>
        <v>0</v>
      </c>
      <c r="AA29" s="4">
        <f t="shared" si="19"/>
        <v>4</v>
      </c>
      <c r="AB29" s="10"/>
      <c r="AC29" s="30">
        <f>IF('08-07-25-Scen7-GennyFail'!K30&gt;'08-07-25-Scen7-GennyFail'!AA29,'Drilling Spec'!$C$36,)</f>
        <v>6</v>
      </c>
      <c r="AE29" s="18">
        <f>(I29-'Drilling Spec'!$C$26)/'Drilling Spec'!$C$38</f>
        <v>9.4650678282287775</v>
      </c>
      <c r="AF29" s="18">
        <f t="shared" si="7"/>
        <v>0</v>
      </c>
      <c r="AG29" s="34">
        <f t="shared" si="8"/>
        <v>9.4650678282287775</v>
      </c>
      <c r="AH29" s="10"/>
      <c r="AI29" s="26">
        <f>IF(C29="Camp Closed",AG29,IF(AG29&lt;'Drilling Spec'!$C$39,,'Drilling Spec'!$C$39))</f>
        <v>0</v>
      </c>
      <c r="AL29" s="16">
        <f t="shared" si="9"/>
        <v>-126.79040696937267</v>
      </c>
      <c r="AM29" s="16" t="e">
        <f t="shared" si="10"/>
        <v>#N/A</v>
      </c>
      <c r="AN29">
        <f>-'Drilling Spec'!$C$29</f>
        <v>-720</v>
      </c>
      <c r="AO29">
        <f>-'Drilling Spec'!$C$27</f>
        <v>-624</v>
      </c>
      <c r="AP29">
        <f>-'Drilling Spec'!$C$28</f>
        <v>-688</v>
      </c>
      <c r="AQ29" t="e">
        <f t="shared" si="11"/>
        <v>#N/A</v>
      </c>
      <c r="AR29" t="e">
        <f>IF(X29=0,NA(),-'Drilling Spec'!$C$29*0.1)</f>
        <v>#N/A</v>
      </c>
      <c r="AS29" t="e">
        <f>IF(Y29=0,NA(),-'Drilling Spec'!$C$29*0.1)</f>
        <v>#N/A</v>
      </c>
      <c r="AT29" t="e">
        <f>IF(AB29=0,NA(),-'Drilling Spec'!$C$29*0.2)</f>
        <v>#N/A</v>
      </c>
      <c r="AU29">
        <f>IF(AC29=0,NA(),-'Drilling Spec'!$C$29*0.2)</f>
        <v>-144</v>
      </c>
      <c r="AV29" t="e">
        <f>IF(AH29=0,NA(),-'Drilling Spec'!$C$29*0.3)</f>
        <v>#N/A</v>
      </c>
      <c r="AW29" t="e">
        <f>IF(AI29=0,NA(),-'Drilling Spec'!$C$29*0.3)</f>
        <v>#N/A</v>
      </c>
      <c r="AX29" s="29">
        <f t="shared" si="12"/>
        <v>5.0380487804878049</v>
      </c>
      <c r="AY29" s="29">
        <f t="shared" si="13"/>
        <v>0.88063953537515527</v>
      </c>
      <c r="AZ29" s="29">
        <f t="shared" si="17"/>
        <v>9.4650678282287775</v>
      </c>
      <c r="BS29" s="35"/>
      <c r="BT29" s="39"/>
      <c r="BU29" s="39"/>
      <c r="BV29" s="39"/>
      <c r="BW29" s="39"/>
      <c r="BX29" s="39"/>
      <c r="BY29" s="39"/>
      <c r="BZ29" s="39"/>
      <c r="CA29" s="39"/>
    </row>
    <row r="30" spans="1:79" x14ac:dyDescent="0.35">
      <c r="A30" s="28">
        <f t="shared" si="18"/>
        <v>46000</v>
      </c>
      <c r="B30" t="str">
        <f t="shared" si="0"/>
        <v>Tue</v>
      </c>
      <c r="C30" s="10" t="s">
        <v>9</v>
      </c>
      <c r="D30" s="10">
        <v>24</v>
      </c>
      <c r="E30" s="4">
        <f t="shared" si="1"/>
        <v>24</v>
      </c>
      <c r="F30" s="4">
        <f t="shared" si="2"/>
        <v>72</v>
      </c>
      <c r="G30" s="4">
        <f t="shared" si="3"/>
        <v>1440</v>
      </c>
      <c r="H30" s="15">
        <f>(SQRT(4*I29*I29*V*V + 'Drilling Spec'!$C$42*I29 + W*('Drilling Spec'!$C$43 + 2*l*V*(s*W + 2*V*G30/(1+e)) + 'Drilling Spec'!$C$44)) - 'Drilling Spec'!$C$45)/(2*V)</f>
        <v>153.41443656587367</v>
      </c>
      <c r="I30" s="23">
        <f>IF(AND(OR(I29=0,I29=""),F30=0),IF(F31=0,"",'Drilling Spec'!$C$26),H30)</f>
        <v>153.41443656587367</v>
      </c>
      <c r="J30" s="16">
        <f>MAX(0,I30-'Drilling Spec'!$C$30)</f>
        <v>73.414436565873672</v>
      </c>
      <c r="K30" s="18">
        <f>IFERROR(J30/'Drilling Spec'!$C$31,0)</f>
        <v>4.8942957710582444</v>
      </c>
      <c r="L30" s="21">
        <f t="shared" si="4"/>
        <v>0</v>
      </c>
      <c r="M30" s="4">
        <f t="shared" si="14"/>
        <v>0</v>
      </c>
      <c r="N30" s="21">
        <f t="shared" si="5"/>
        <v>0</v>
      </c>
      <c r="O30" s="18">
        <f>(SQRT(4*O29*O29*vB*vB + 'Drilling Spec'!$C$48*O29 + WB*('Drilling Spec'!$C$49 + 2*lB*vB*(sB*WB + 2*vB*N30/(1+eB)) + 'Drilling Spec'!$C$50)) - 'Drilling Spec'!$C$51)/(2*vB)</f>
        <v>0</v>
      </c>
      <c r="P30" s="18">
        <f>IFERROR(((S30-'Drilling Spec'!$C$30)/'Drilling Spec'!$C$31)*'Drilling Spec'!$C$32,0)</f>
        <v>0</v>
      </c>
      <c r="Q30" s="18">
        <f t="shared" si="15"/>
        <v>0</v>
      </c>
      <c r="R30" s="18"/>
      <c r="S30" s="26" t="str">
        <f>IF(AND(OR(T29=0,T29=""),M30=0),IF(M31=0,"",'Drilling Spec'!$C$30),O30)</f>
        <v/>
      </c>
      <c r="U30" s="15">
        <f>E30*'Drilling Spec'!$C$22 + L30*'Drilling Spec'!$C$23</f>
        <v>0.4809756097560976</v>
      </c>
      <c r="V30" s="15">
        <f t="shared" si="16"/>
        <v>1.4429268292682929</v>
      </c>
      <c r="W30" s="15">
        <f t="shared" si="6"/>
        <v>4.5570731707317069</v>
      </c>
      <c r="X30" s="10"/>
      <c r="Y30" s="30">
        <f>IF(W30&lt;U31,'Drilling Spec'!$C$35,0)</f>
        <v>0</v>
      </c>
      <c r="AA30" s="4">
        <f t="shared" si="19"/>
        <v>10</v>
      </c>
      <c r="AB30" s="10"/>
      <c r="AC30" s="30">
        <f>IF('08-07-25-Scen7-GennyFail'!K31&gt;'08-07-25-Scen7-GennyFail'!AA30,'Drilling Spec'!$C$36,)</f>
        <v>0</v>
      </c>
      <c r="AE30" s="18">
        <f>(I30-'Drilling Spec'!$C$26)/'Drilling Spec'!$C$38</f>
        <v>13.902406094312278</v>
      </c>
      <c r="AF30" s="18">
        <f t="shared" si="7"/>
        <v>4.4373382660835006</v>
      </c>
      <c r="AG30" s="34">
        <f t="shared" si="8"/>
        <v>13.902406094312278</v>
      </c>
      <c r="AH30" s="10"/>
      <c r="AI30" s="26">
        <f>IF(C30="Camp Closed",AG30,IF(AG30&lt;'Drilling Spec'!$C$39,,'Drilling Spec'!$C$39))</f>
        <v>0</v>
      </c>
      <c r="AL30" s="16">
        <f t="shared" si="9"/>
        <v>-153.41443656587367</v>
      </c>
      <c r="AM30" s="16" t="e">
        <f t="shared" si="10"/>
        <v>#N/A</v>
      </c>
      <c r="AN30">
        <f>-'Drilling Spec'!$C$29</f>
        <v>-720</v>
      </c>
      <c r="AO30">
        <f>-'Drilling Spec'!$C$27</f>
        <v>-624</v>
      </c>
      <c r="AP30">
        <f>-'Drilling Spec'!$C$28</f>
        <v>-688</v>
      </c>
      <c r="AQ30" t="e">
        <f t="shared" si="11"/>
        <v>#N/A</v>
      </c>
      <c r="AR30" t="e">
        <f>IF(X30=0,NA(),-'Drilling Spec'!$C$29*0.1)</f>
        <v>#N/A</v>
      </c>
      <c r="AS30" t="e">
        <f>IF(Y30=0,NA(),-'Drilling Spec'!$C$29*0.1)</f>
        <v>#N/A</v>
      </c>
      <c r="AT30" t="e">
        <f>IF(AB30=0,NA(),-'Drilling Spec'!$C$29*0.2)</f>
        <v>#N/A</v>
      </c>
      <c r="AU30" t="e">
        <f>IF(AC30=0,NA(),-'Drilling Spec'!$C$29*0.2)</f>
        <v>#N/A</v>
      </c>
      <c r="AV30" t="e">
        <f>IF(AH30=0,NA(),-'Drilling Spec'!$C$29*0.3)</f>
        <v>#N/A</v>
      </c>
      <c r="AW30" t="e">
        <f>IF(AI30=0,NA(),-'Drilling Spec'!$C$29*0.3)</f>
        <v>#N/A</v>
      </c>
      <c r="AX30" s="29">
        <f t="shared" si="12"/>
        <v>4.5570731707317069</v>
      </c>
      <c r="AY30" s="29">
        <f t="shared" si="13"/>
        <v>5.1057042289417556</v>
      </c>
      <c r="AZ30" s="29">
        <f t="shared" si="17"/>
        <v>13.902406094312278</v>
      </c>
      <c r="BS30" s="35"/>
      <c r="BT30" s="39"/>
      <c r="BU30" s="39"/>
      <c r="BV30" s="39"/>
      <c r="BW30" s="39"/>
      <c r="BX30" s="39"/>
      <c r="BY30" s="39"/>
      <c r="BZ30" s="39"/>
      <c r="CA30" s="39"/>
    </row>
    <row r="31" spans="1:79" x14ac:dyDescent="0.35">
      <c r="A31" s="28">
        <f t="shared" si="18"/>
        <v>46001</v>
      </c>
      <c r="B31" t="str">
        <f t="shared" si="0"/>
        <v>Wed</v>
      </c>
      <c r="C31" s="10" t="s">
        <v>9</v>
      </c>
      <c r="D31" s="10">
        <v>24</v>
      </c>
      <c r="E31" s="4">
        <f t="shared" si="1"/>
        <v>24</v>
      </c>
      <c r="F31" s="4">
        <f t="shared" si="2"/>
        <v>96</v>
      </c>
      <c r="G31" s="4">
        <f t="shared" si="3"/>
        <v>1440</v>
      </c>
      <c r="H31" s="15">
        <f>(SQRT(4*I30*I30*V*V + 'Drilling Spec'!$C$42*I30 + W*('Drilling Spec'!$C$43 + 2*l*V*(s*W + 2*V*G31/(1+e)) + 'Drilling Spec'!$C$44)) - 'Drilling Spec'!$C$45)/(2*V)</f>
        <v>179.03739374715821</v>
      </c>
      <c r="I31" s="23">
        <f>IF(AND(OR(I30=0,I30=""),F31=0),IF(F32=0,"",'Drilling Spec'!$C$26),H31)</f>
        <v>179.03739374715821</v>
      </c>
      <c r="J31" s="16">
        <f>MAX(0,I31-'Drilling Spec'!$C$30)</f>
        <v>99.037393747158205</v>
      </c>
      <c r="K31" s="18">
        <f>IFERROR(J31/'Drilling Spec'!$C$31,0)</f>
        <v>6.6024929164772139</v>
      </c>
      <c r="L31" s="21">
        <f t="shared" si="4"/>
        <v>0</v>
      </c>
      <c r="M31" s="4">
        <f t="shared" si="14"/>
        <v>0</v>
      </c>
      <c r="N31" s="21">
        <f t="shared" si="5"/>
        <v>0</v>
      </c>
      <c r="O31" s="18">
        <f>(SQRT(4*O30*O30*vB*vB + 'Drilling Spec'!$C$48*O30 + WB*('Drilling Spec'!$C$49 + 2*lB*vB*(sB*WB + 2*vB*N31/(1+eB)) + 'Drilling Spec'!$C$50)) - 'Drilling Spec'!$C$51)/(2*vB)</f>
        <v>0</v>
      </c>
      <c r="P31" s="18">
        <f>IFERROR(((S31-'Drilling Spec'!$C$30)/'Drilling Spec'!$C$31)*'Drilling Spec'!$C$32,0)</f>
        <v>0</v>
      </c>
      <c r="Q31" s="18">
        <f t="shared" si="15"/>
        <v>0</v>
      </c>
      <c r="R31" s="18"/>
      <c r="S31" s="26" t="str">
        <f>IF(AND(OR(T30=0,T30=""),M31=0),IF(M32=0,"",'Drilling Spec'!$C$30),O31)</f>
        <v/>
      </c>
      <c r="U31" s="15">
        <f>E31*'Drilling Spec'!$C$22 + L31*'Drilling Spec'!$C$23</f>
        <v>0.4809756097560976</v>
      </c>
      <c r="V31" s="15">
        <f t="shared" si="16"/>
        <v>1.9239024390243904</v>
      </c>
      <c r="W31" s="15">
        <f t="shared" si="6"/>
        <v>4.0760975609756089</v>
      </c>
      <c r="X31" s="10"/>
      <c r="Y31" s="30">
        <f>IF(W31&lt;U32,'Drilling Spec'!$C$35,0)</f>
        <v>0</v>
      </c>
      <c r="AA31" s="4">
        <f t="shared" si="19"/>
        <v>10</v>
      </c>
      <c r="AB31" s="10"/>
      <c r="AC31" s="30">
        <f>IF('08-07-25-Scen7-GennyFail'!K32&gt;'08-07-25-Scen7-GennyFail'!AA31,'Drilling Spec'!$C$36,)</f>
        <v>0</v>
      </c>
      <c r="AE31" s="18">
        <f>(I31-'Drilling Spec'!$C$26)/'Drilling Spec'!$C$38</f>
        <v>18.172898957859701</v>
      </c>
      <c r="AF31" s="18">
        <f t="shared" si="7"/>
        <v>4.2704928635474229</v>
      </c>
      <c r="AG31" s="34">
        <f t="shared" si="8"/>
        <v>18.172898957859701</v>
      </c>
      <c r="AH31" s="10"/>
      <c r="AI31" s="26">
        <f>IF(C31="Camp Closed",AG31,IF(AG31&lt;'Drilling Spec'!$C$39,,'Drilling Spec'!$C$39))</f>
        <v>0</v>
      </c>
      <c r="AL31" s="16">
        <f t="shared" si="9"/>
        <v>-179.03739374715821</v>
      </c>
      <c r="AM31" s="16" t="e">
        <f t="shared" si="10"/>
        <v>#N/A</v>
      </c>
      <c r="AN31">
        <f>-'Drilling Spec'!$C$29</f>
        <v>-720</v>
      </c>
      <c r="AO31">
        <f>-'Drilling Spec'!$C$27</f>
        <v>-624</v>
      </c>
      <c r="AP31">
        <f>-'Drilling Spec'!$C$28</f>
        <v>-688</v>
      </c>
      <c r="AQ31" t="e">
        <f t="shared" si="11"/>
        <v>#N/A</v>
      </c>
      <c r="AR31" t="e">
        <f>IF(X31=0,NA(),-'Drilling Spec'!$C$29*0.1)</f>
        <v>#N/A</v>
      </c>
      <c r="AS31" t="e">
        <f>IF(Y31=0,NA(),-'Drilling Spec'!$C$29*0.1)</f>
        <v>#N/A</v>
      </c>
      <c r="AT31" t="e">
        <f>IF(AB31=0,NA(),-'Drilling Spec'!$C$29*0.2)</f>
        <v>#N/A</v>
      </c>
      <c r="AU31" t="e">
        <f>IF(AC31=0,NA(),-'Drilling Spec'!$C$29*0.2)</f>
        <v>#N/A</v>
      </c>
      <c r="AV31" t="e">
        <f>IF(AH31=0,NA(),-'Drilling Spec'!$C$29*0.3)</f>
        <v>#N/A</v>
      </c>
      <c r="AW31" t="e">
        <f>IF(AI31=0,NA(),-'Drilling Spec'!$C$29*0.3)</f>
        <v>#N/A</v>
      </c>
      <c r="AX31" s="29">
        <f t="shared" si="12"/>
        <v>4.0760975609756089</v>
      </c>
      <c r="AY31" s="29">
        <f t="shared" si="13"/>
        <v>3.3975070835227861</v>
      </c>
      <c r="AZ31" s="29">
        <f t="shared" si="17"/>
        <v>18.172898957859701</v>
      </c>
      <c r="BS31" s="35"/>
      <c r="BT31" s="35"/>
      <c r="BU31" s="39" t="s">
        <v>189</v>
      </c>
      <c r="BV31" s="39"/>
      <c r="BW31" s="39"/>
      <c r="BX31" s="39"/>
      <c r="BY31" s="39"/>
      <c r="BZ31" s="39"/>
      <c r="CA31" s="39"/>
    </row>
    <row r="32" spans="1:79" x14ac:dyDescent="0.35">
      <c r="A32" s="28">
        <f t="shared" si="18"/>
        <v>46002</v>
      </c>
      <c r="B32" t="str">
        <f t="shared" si="0"/>
        <v>Thu</v>
      </c>
      <c r="C32" s="10" t="s">
        <v>9</v>
      </c>
      <c r="D32" s="10">
        <v>24</v>
      </c>
      <c r="E32" s="4">
        <f t="shared" si="1"/>
        <v>24</v>
      </c>
      <c r="F32" s="4">
        <f t="shared" si="2"/>
        <v>120</v>
      </c>
      <c r="G32" s="4">
        <f t="shared" si="3"/>
        <v>1440</v>
      </c>
      <c r="H32" s="15">
        <f>(SQRT(4*I31*I31*V*V + 'Drilling Spec'!$C$42*I31 + W*('Drilling Spec'!$C$43 + 2*l*V*(s*W + 2*V*G32/(1+e)) + 'Drilling Spec'!$C$44)) - 'Drilling Spec'!$C$45)/(2*V)</f>
        <v>203.76436685764563</v>
      </c>
      <c r="I32" s="23">
        <f>IF(AND(OR(I31=0,I31=""),F32=0),IF(F33=0,"",'Drilling Spec'!$C$26),H32)</f>
        <v>203.76436685764563</v>
      </c>
      <c r="J32" s="16">
        <f>MAX(0,I32-'Drilling Spec'!$C$30)</f>
        <v>123.76436685764563</v>
      </c>
      <c r="K32" s="18">
        <f>IFERROR(J32/'Drilling Spec'!$C$31,0)</f>
        <v>8.2509577905097089</v>
      </c>
      <c r="L32" s="21">
        <f t="shared" si="4"/>
        <v>0</v>
      </c>
      <c r="M32" s="4">
        <f t="shared" si="14"/>
        <v>0</v>
      </c>
      <c r="N32" s="21">
        <f t="shared" si="5"/>
        <v>0</v>
      </c>
      <c r="O32" s="18">
        <f>(SQRT(4*O31*O31*vB*vB + 'Drilling Spec'!$C$48*O31 + WB*('Drilling Spec'!$C$49 + 2*lB*vB*(sB*WB + 2*vB*N32/(1+eB)) + 'Drilling Spec'!$C$50)) - 'Drilling Spec'!$C$51)/(2*vB)</f>
        <v>0</v>
      </c>
      <c r="P32" s="18">
        <f>IFERROR(((S32-'Drilling Spec'!$C$30)/'Drilling Spec'!$C$31)*'Drilling Spec'!$C$32,0)</f>
        <v>0</v>
      </c>
      <c r="Q32" s="18">
        <f t="shared" si="15"/>
        <v>0</v>
      </c>
      <c r="R32" s="18"/>
      <c r="S32" s="26" t="str">
        <f>IF(AND(OR(T31=0,T31=""),M32=0),IF(M33=0,"",'Drilling Spec'!$C$30),O32)</f>
        <v/>
      </c>
      <c r="U32" s="15">
        <f>E32*'Drilling Spec'!$C$22 + L32*'Drilling Spec'!$C$23</f>
        <v>0.4809756097560976</v>
      </c>
      <c r="V32" s="15">
        <f t="shared" si="16"/>
        <v>2.4048780487804882</v>
      </c>
      <c r="W32" s="15">
        <f t="shared" si="6"/>
        <v>3.5951219512195114</v>
      </c>
      <c r="X32" s="10"/>
      <c r="Y32" s="30">
        <f>IF(W32&lt;U33,'Drilling Spec'!$C$35,0)</f>
        <v>0</v>
      </c>
      <c r="AA32" s="4">
        <f t="shared" si="19"/>
        <v>10</v>
      </c>
      <c r="AB32" s="10"/>
      <c r="AC32" s="30">
        <f>IF('08-07-25-Scen7-GennyFail'!K33&gt;'08-07-25-Scen7-GennyFail'!AA32,'Drilling Spec'!$C$36,)</f>
        <v>0</v>
      </c>
      <c r="AE32" s="18">
        <f>(I32-'Drilling Spec'!$C$26)/'Drilling Spec'!$C$38</f>
        <v>22.294061142940937</v>
      </c>
      <c r="AF32" s="18">
        <f t="shared" si="7"/>
        <v>4.1211621850812357</v>
      </c>
      <c r="AG32" s="34">
        <f t="shared" si="8"/>
        <v>22.294061142940937</v>
      </c>
      <c r="AH32" s="10"/>
      <c r="AI32" s="26">
        <f>IF(C32="Camp Closed",AG32,IF(AG32&lt;'Drilling Spec'!$C$39,,'Drilling Spec'!$C$39))</f>
        <v>20</v>
      </c>
      <c r="AL32" s="16">
        <f t="shared" si="9"/>
        <v>-203.76436685764563</v>
      </c>
      <c r="AM32" s="16" t="e">
        <f t="shared" si="10"/>
        <v>#N/A</v>
      </c>
      <c r="AN32">
        <f>-'Drilling Spec'!$C$29</f>
        <v>-720</v>
      </c>
      <c r="AO32">
        <f>-'Drilling Spec'!$C$27</f>
        <v>-624</v>
      </c>
      <c r="AP32">
        <f>-'Drilling Spec'!$C$28</f>
        <v>-688</v>
      </c>
      <c r="AQ32" t="e">
        <f t="shared" si="11"/>
        <v>#N/A</v>
      </c>
      <c r="AR32" t="e">
        <f>IF(X32=0,NA(),-'Drilling Spec'!$C$29*0.1)</f>
        <v>#N/A</v>
      </c>
      <c r="AS32" t="e">
        <f>IF(Y32=0,NA(),-'Drilling Spec'!$C$29*0.1)</f>
        <v>#N/A</v>
      </c>
      <c r="AT32" t="e">
        <f>IF(AB32=0,NA(),-'Drilling Spec'!$C$29*0.2)</f>
        <v>#N/A</v>
      </c>
      <c r="AU32" t="e">
        <f>IF(AC32=0,NA(),-'Drilling Spec'!$C$29*0.2)</f>
        <v>#N/A</v>
      </c>
      <c r="AV32" t="e">
        <f>IF(AH32=0,NA(),-'Drilling Spec'!$C$29*0.3)</f>
        <v>#N/A</v>
      </c>
      <c r="AW32">
        <f>IF(AI32=0,NA(),-'Drilling Spec'!$C$29*0.3)</f>
        <v>-216</v>
      </c>
      <c r="AX32" s="29">
        <f t="shared" si="12"/>
        <v>3.5951219512195114</v>
      </c>
      <c r="AY32" s="29">
        <f t="shared" si="13"/>
        <v>1.7490422094902911</v>
      </c>
      <c r="AZ32" s="29">
        <f t="shared" si="17"/>
        <v>22.294061142940937</v>
      </c>
      <c r="BS32" s="35"/>
      <c r="BT32" s="35"/>
      <c r="BU32" s="39"/>
      <c r="BV32" s="39"/>
      <c r="BW32" s="39"/>
      <c r="BX32" s="39"/>
      <c r="BY32" s="39"/>
      <c r="BZ32" s="39"/>
      <c r="CA32" s="39"/>
    </row>
    <row r="33" spans="1:79" x14ac:dyDescent="0.35">
      <c r="A33" s="28">
        <f t="shared" si="18"/>
        <v>46003</v>
      </c>
      <c r="B33" t="str">
        <f t="shared" si="0"/>
        <v>Fri</v>
      </c>
      <c r="C33" s="10" t="s">
        <v>9</v>
      </c>
      <c r="D33" s="10">
        <v>24</v>
      </c>
      <c r="E33" s="4">
        <f t="shared" si="1"/>
        <v>24</v>
      </c>
      <c r="F33" s="4">
        <f t="shared" si="2"/>
        <v>144</v>
      </c>
      <c r="G33" s="4">
        <f t="shared" si="3"/>
        <v>1440</v>
      </c>
      <c r="H33" s="15">
        <f>(SQRT(4*I32*I32*V*V + 'Drilling Spec'!$C$42*I32 + W*('Drilling Spec'!$C$43 + 2*l*V*(s*W + 2*V*G33/(1+e)) + 'Drilling Spec'!$C$44)) - 'Drilling Spec'!$C$45)/(2*V)</f>
        <v>227.6832514206119</v>
      </c>
      <c r="I33" s="23">
        <f>IF(AND(OR(I32=0,I32=""),F33=0),IF(F34=0,"",'Drilling Spec'!$C$26),H33)</f>
        <v>227.6832514206119</v>
      </c>
      <c r="J33" s="16">
        <f>MAX(0,I33-'Drilling Spec'!$C$30)</f>
        <v>147.6832514206119</v>
      </c>
      <c r="K33" s="18">
        <f>IFERROR(J33/'Drilling Spec'!$C$31,0)</f>
        <v>9.845550094707459</v>
      </c>
      <c r="L33" s="21">
        <f t="shared" si="4"/>
        <v>0</v>
      </c>
      <c r="M33" s="4">
        <f t="shared" si="14"/>
        <v>0</v>
      </c>
      <c r="N33" s="21">
        <f t="shared" si="5"/>
        <v>0</v>
      </c>
      <c r="O33" s="18">
        <f>(SQRT(4*O32*O32*vB*vB + 'Drilling Spec'!$C$48*O32 + WB*('Drilling Spec'!$C$49 + 2*lB*vB*(sB*WB + 2*vB*N33/(1+eB)) + 'Drilling Spec'!$C$50)) - 'Drilling Spec'!$C$51)/(2*vB)</f>
        <v>0</v>
      </c>
      <c r="P33" s="18">
        <f>IFERROR(((S33-'Drilling Spec'!$C$30)/'Drilling Spec'!$C$31)*'Drilling Spec'!$C$32,0)</f>
        <v>0</v>
      </c>
      <c r="Q33" s="18">
        <f t="shared" si="15"/>
        <v>0</v>
      </c>
      <c r="R33" s="18"/>
      <c r="S33" s="26" t="str">
        <f>IF(AND(OR(T32=0,T32=""),M33=0),IF(M34=0,"",'Drilling Spec'!$C$30),O33)</f>
        <v/>
      </c>
      <c r="U33" s="15">
        <f>E33*'Drilling Spec'!$C$22 + L33*'Drilling Spec'!$C$23</f>
        <v>0.4809756097560976</v>
      </c>
      <c r="V33" s="15">
        <f t="shared" si="16"/>
        <v>2.8858536585365857</v>
      </c>
      <c r="W33" s="15">
        <f t="shared" si="6"/>
        <v>3.1141463414634138</v>
      </c>
      <c r="X33" s="10"/>
      <c r="Y33" s="30">
        <f>IF(W33&lt;U34,'Drilling Spec'!$C$35,0)</f>
        <v>0</v>
      </c>
      <c r="AA33" s="4">
        <f t="shared" si="19"/>
        <v>10</v>
      </c>
      <c r="AB33" s="10"/>
      <c r="AC33" s="30">
        <f>IF('08-07-25-Scen7-GennyFail'!K34&gt;'08-07-25-Scen7-GennyFail'!AA33,'Drilling Spec'!$C$36,)</f>
        <v>6</v>
      </c>
      <c r="AE33" s="18">
        <f>(I33-'Drilling Spec'!$C$26)/'Drilling Spec'!$C$38</f>
        <v>26.280541903435317</v>
      </c>
      <c r="AF33" s="18">
        <f t="shared" si="7"/>
        <v>3.9864807604943806</v>
      </c>
      <c r="AG33" s="34">
        <f t="shared" si="8"/>
        <v>6.2805419034353172</v>
      </c>
      <c r="AH33" s="10"/>
      <c r="AI33" s="26">
        <f>IF(C33="Camp Closed",AG33,IF(AG33&lt;'Drilling Spec'!$C$39,,'Drilling Spec'!$C$39))</f>
        <v>0</v>
      </c>
      <c r="AL33" s="16">
        <f t="shared" si="9"/>
        <v>-227.6832514206119</v>
      </c>
      <c r="AM33" s="16" t="e">
        <f t="shared" si="10"/>
        <v>#N/A</v>
      </c>
      <c r="AN33">
        <f>-'Drilling Spec'!$C$29</f>
        <v>-720</v>
      </c>
      <c r="AO33">
        <f>-'Drilling Spec'!$C$27</f>
        <v>-624</v>
      </c>
      <c r="AP33">
        <f>-'Drilling Spec'!$C$28</f>
        <v>-688</v>
      </c>
      <c r="AQ33" t="e">
        <f t="shared" si="11"/>
        <v>#N/A</v>
      </c>
      <c r="AR33" t="e">
        <f>IF(X33=0,NA(),-'Drilling Spec'!$C$29*0.1)</f>
        <v>#N/A</v>
      </c>
      <c r="AS33" t="e">
        <f>IF(Y33=0,NA(),-'Drilling Spec'!$C$29*0.1)</f>
        <v>#N/A</v>
      </c>
      <c r="AT33" t="e">
        <f>IF(AB33=0,NA(),-'Drilling Spec'!$C$29*0.2)</f>
        <v>#N/A</v>
      </c>
      <c r="AU33">
        <f>IF(AC33=0,NA(),-'Drilling Spec'!$C$29*0.2)</f>
        <v>-144</v>
      </c>
      <c r="AV33" t="e">
        <f>IF(AH33=0,NA(),-'Drilling Spec'!$C$29*0.3)</f>
        <v>#N/A</v>
      </c>
      <c r="AW33" t="e">
        <f>IF(AI33=0,NA(),-'Drilling Spec'!$C$29*0.3)</f>
        <v>#N/A</v>
      </c>
      <c r="AX33" s="29">
        <f t="shared" si="12"/>
        <v>3.1141463414634138</v>
      </c>
      <c r="AY33" s="29">
        <f t="shared" si="13"/>
        <v>0.15444990529254099</v>
      </c>
      <c r="AZ33" s="29">
        <f t="shared" si="17"/>
        <v>6.2805419034353172</v>
      </c>
      <c r="BS33" s="35"/>
      <c r="BT33" s="35"/>
      <c r="BU33" s="38" t="s">
        <v>191</v>
      </c>
      <c r="BV33" s="38"/>
      <c r="BW33" s="38"/>
      <c r="BX33" s="38"/>
      <c r="BY33" s="38"/>
      <c r="BZ33" s="38"/>
      <c r="CA33" s="38"/>
    </row>
    <row r="34" spans="1:79" x14ac:dyDescent="0.35">
      <c r="A34" s="28">
        <f t="shared" si="18"/>
        <v>46004</v>
      </c>
      <c r="B34" t="str">
        <f t="shared" si="0"/>
        <v>Sat</v>
      </c>
      <c r="C34" s="10" t="s">
        <v>9</v>
      </c>
      <c r="D34" s="10">
        <v>24</v>
      </c>
      <c r="E34" s="4">
        <f t="shared" si="1"/>
        <v>24</v>
      </c>
      <c r="F34" s="4">
        <f t="shared" si="2"/>
        <v>168</v>
      </c>
      <c r="G34" s="4">
        <f t="shared" si="3"/>
        <v>1440</v>
      </c>
      <c r="H34" s="15">
        <f>(SQRT(4*I33*I33*V*V + 'Drilling Spec'!$C$42*I33 + W*('Drilling Spec'!$C$43 + 2*l*V*(s*W + 2*V*G34/(1+e)) + 'Drilling Spec'!$C$44)) - 'Drilling Spec'!$C$45)/(2*V)</f>
        <v>250.8684479303349</v>
      </c>
      <c r="I34" s="23">
        <f>IF(AND(OR(I33=0,I33=""),F34=0),IF(F35=0,"",'Drilling Spec'!$C$26),H34)</f>
        <v>250.8684479303349</v>
      </c>
      <c r="J34" s="16">
        <f>MAX(0,I34-'Drilling Spec'!$C$30)</f>
        <v>170.8684479303349</v>
      </c>
      <c r="K34" s="18">
        <f>IFERROR(J34/'Drilling Spec'!$C$31,0)</f>
        <v>11.391229862022326</v>
      </c>
      <c r="L34" s="21">
        <f t="shared" si="4"/>
        <v>0</v>
      </c>
      <c r="M34" s="4">
        <f t="shared" si="14"/>
        <v>0</v>
      </c>
      <c r="N34" s="21">
        <f t="shared" si="5"/>
        <v>0</v>
      </c>
      <c r="O34" s="18">
        <f>(SQRT(4*O33*O33*vB*vB + 'Drilling Spec'!$C$48*O33 + WB*('Drilling Spec'!$C$49 + 2*lB*vB*(sB*WB + 2*vB*N34/(1+eB)) + 'Drilling Spec'!$C$50)) - 'Drilling Spec'!$C$51)/(2*vB)</f>
        <v>0</v>
      </c>
      <c r="P34" s="18">
        <f>IFERROR(((S34-'Drilling Spec'!$C$30)/'Drilling Spec'!$C$31)*'Drilling Spec'!$C$32,0)</f>
        <v>0</v>
      </c>
      <c r="Q34" s="18">
        <f t="shared" si="15"/>
        <v>0</v>
      </c>
      <c r="R34" s="18"/>
      <c r="S34" s="26" t="str">
        <f>IF(AND(OR(T33=0,T33=""),M34=0),IF(M35=0,"",'Drilling Spec'!$C$30),O34)</f>
        <v/>
      </c>
      <c r="U34" s="15">
        <f>E34*'Drilling Spec'!$C$22 + L34*'Drilling Spec'!$C$23</f>
        <v>0.4809756097560976</v>
      </c>
      <c r="V34" s="15">
        <f t="shared" si="16"/>
        <v>3.3668292682926833</v>
      </c>
      <c r="W34" s="15">
        <f t="shared" si="6"/>
        <v>2.6331707317073163</v>
      </c>
      <c r="X34" s="10"/>
      <c r="Y34" s="30">
        <f>IF(W34&lt;U35,'Drilling Spec'!$C$35,0)</f>
        <v>0</v>
      </c>
      <c r="AA34" s="4">
        <f t="shared" si="19"/>
        <v>16</v>
      </c>
      <c r="AB34" s="10"/>
      <c r="AC34" s="30">
        <f>IF('08-07-25-Scen7-GennyFail'!K35&gt;'08-07-25-Scen7-GennyFail'!AA34,'Drilling Spec'!$C$36,)</f>
        <v>0</v>
      </c>
      <c r="AE34" s="18">
        <f>(I34-'Drilling Spec'!$C$26)/'Drilling Spec'!$C$38</f>
        <v>30.144741321722481</v>
      </c>
      <c r="AF34" s="18">
        <f t="shared" si="7"/>
        <v>3.8641994182871642</v>
      </c>
      <c r="AG34" s="34">
        <f t="shared" si="8"/>
        <v>10.144741321722481</v>
      </c>
      <c r="AH34" s="10"/>
      <c r="AI34" s="26">
        <f>IF(C34="Camp Closed",AG34,IF(AG34&lt;'Drilling Spec'!$C$39,,'Drilling Spec'!$C$39))</f>
        <v>0</v>
      </c>
      <c r="AL34" s="16">
        <f t="shared" si="9"/>
        <v>-250.8684479303349</v>
      </c>
      <c r="AM34" s="16" t="e">
        <f t="shared" si="10"/>
        <v>#N/A</v>
      </c>
      <c r="AN34">
        <f>-'Drilling Spec'!$C$29</f>
        <v>-720</v>
      </c>
      <c r="AO34">
        <f>-'Drilling Spec'!$C$27</f>
        <v>-624</v>
      </c>
      <c r="AP34">
        <f>-'Drilling Spec'!$C$28</f>
        <v>-688</v>
      </c>
      <c r="AQ34" t="e">
        <f t="shared" si="11"/>
        <v>#N/A</v>
      </c>
      <c r="AR34" t="e">
        <f>IF(X34=0,NA(),-'Drilling Spec'!$C$29*0.1)</f>
        <v>#N/A</v>
      </c>
      <c r="AS34" t="e">
        <f>IF(Y34=0,NA(),-'Drilling Spec'!$C$29*0.1)</f>
        <v>#N/A</v>
      </c>
      <c r="AT34" t="e">
        <f>IF(AB34=0,NA(),-'Drilling Spec'!$C$29*0.2)</f>
        <v>#N/A</v>
      </c>
      <c r="AU34" t="e">
        <f>IF(AC34=0,NA(),-'Drilling Spec'!$C$29*0.2)</f>
        <v>#N/A</v>
      </c>
      <c r="AV34" t="e">
        <f>IF(AH34=0,NA(),-'Drilling Spec'!$C$29*0.3)</f>
        <v>#N/A</v>
      </c>
      <c r="AW34" t="e">
        <f>IF(AI34=0,NA(),-'Drilling Spec'!$C$29*0.3)</f>
        <v>#N/A</v>
      </c>
      <c r="AX34" s="29">
        <f t="shared" si="12"/>
        <v>2.6331707317073163</v>
      </c>
      <c r="AY34" s="29">
        <f t="shared" si="13"/>
        <v>4.6087701379776735</v>
      </c>
      <c r="AZ34" s="29">
        <f t="shared" si="17"/>
        <v>10.144741321722481</v>
      </c>
      <c r="BS34" s="35"/>
      <c r="BT34" s="35"/>
      <c r="BU34" s="38"/>
      <c r="BV34" s="38"/>
      <c r="BW34" s="38"/>
      <c r="BX34" s="38"/>
      <c r="BY34" s="38"/>
      <c r="BZ34" s="38"/>
      <c r="CA34" s="38"/>
    </row>
    <row r="35" spans="1:79" x14ac:dyDescent="0.35">
      <c r="A35" s="28">
        <f t="shared" si="18"/>
        <v>46005</v>
      </c>
      <c r="B35" t="str">
        <f t="shared" si="0"/>
        <v>Sun</v>
      </c>
      <c r="C35" s="10" t="s">
        <v>7</v>
      </c>
      <c r="D35" s="10">
        <v>0</v>
      </c>
      <c r="E35" s="4">
        <f t="shared" si="1"/>
        <v>0</v>
      </c>
      <c r="F35" s="4">
        <f t="shared" si="2"/>
        <v>168</v>
      </c>
      <c r="G35" s="4">
        <f t="shared" si="3"/>
        <v>0</v>
      </c>
      <c r="H35" s="15">
        <f>(SQRT(4*I34*I34*V*V + 'Drilling Spec'!$C$42*I34 + W*('Drilling Spec'!$C$43 + 2*l*V*(s*W + 2*V*G35/(1+e)) + 'Drilling Spec'!$C$44)) - 'Drilling Spec'!$C$45)/(2*V)</f>
        <v>250.8684479303349</v>
      </c>
      <c r="I35" s="23">
        <f>IF(AND(OR(I34=0,I34=""),F35=0),IF(F36=0,"",'Drilling Spec'!$C$26),H35)</f>
        <v>250.8684479303349</v>
      </c>
      <c r="J35" s="16">
        <f>MAX(0,I35-'Drilling Spec'!$C$30)</f>
        <v>170.8684479303349</v>
      </c>
      <c r="K35" s="18">
        <f>IFERROR(J35/'Drilling Spec'!$C$31,0)</f>
        <v>11.391229862022326</v>
      </c>
      <c r="L35" s="21">
        <f t="shared" si="4"/>
        <v>0</v>
      </c>
      <c r="M35" s="4">
        <f t="shared" si="14"/>
        <v>0</v>
      </c>
      <c r="N35" s="21">
        <f t="shared" si="5"/>
        <v>0</v>
      </c>
      <c r="O35" s="18">
        <f>(SQRT(4*O34*O34*vB*vB + 'Drilling Spec'!$C$48*O34 + WB*('Drilling Spec'!$C$49 + 2*lB*vB*(sB*WB + 2*vB*N35/(1+eB)) + 'Drilling Spec'!$C$50)) - 'Drilling Spec'!$C$51)/(2*vB)</f>
        <v>0</v>
      </c>
      <c r="P35" s="18">
        <f>IFERROR(((S35-'Drilling Spec'!$C$30)/'Drilling Spec'!$C$31)*'Drilling Spec'!$C$32,0)</f>
        <v>0</v>
      </c>
      <c r="Q35" s="18">
        <f t="shared" si="15"/>
        <v>0</v>
      </c>
      <c r="R35" s="18"/>
      <c r="S35" s="26" t="str">
        <f>IF(AND(OR(T34=0,T34=""),M35=0),IF(M36=0,"",'Drilling Spec'!$C$30),O35)</f>
        <v/>
      </c>
      <c r="U35" s="15">
        <f>E35*'Drilling Spec'!$C$22 + L35*'Drilling Spec'!$C$23</f>
        <v>0</v>
      </c>
      <c r="V35" s="15">
        <f t="shared" si="16"/>
        <v>3.3668292682926833</v>
      </c>
      <c r="W35" s="15">
        <f t="shared" si="6"/>
        <v>2.6331707317073163</v>
      </c>
      <c r="X35" s="10"/>
      <c r="Y35" s="30">
        <f>IF(W35&lt;U36,'Drilling Spec'!$C$35,0)</f>
        <v>0</v>
      </c>
      <c r="AA35" s="4">
        <f t="shared" si="19"/>
        <v>16</v>
      </c>
      <c r="AB35" s="10"/>
      <c r="AC35" s="30">
        <f>IF('08-07-25-Scen7-GennyFail'!K36&gt;'08-07-25-Scen7-GennyFail'!AA35,'Drilling Spec'!$C$36,)</f>
        <v>0</v>
      </c>
      <c r="AE35" s="18">
        <f>(I35-'Drilling Spec'!$C$26)/'Drilling Spec'!$C$38</f>
        <v>30.144741321722481</v>
      </c>
      <c r="AF35" s="18">
        <f t="shared" si="7"/>
        <v>0</v>
      </c>
      <c r="AG35" s="34">
        <f t="shared" si="8"/>
        <v>10.144741321722481</v>
      </c>
      <c r="AH35" s="10"/>
      <c r="AI35" s="26">
        <f>IF(C35="Camp Closed",AG35,IF(AG35&lt;'Drilling Spec'!$C$39,,'Drilling Spec'!$C$39))</f>
        <v>0</v>
      </c>
      <c r="AL35" s="16">
        <f t="shared" si="9"/>
        <v>-250.8684479303349</v>
      </c>
      <c r="AM35" s="16" t="e">
        <f t="shared" si="10"/>
        <v>#N/A</v>
      </c>
      <c r="AN35">
        <f>-'Drilling Spec'!$C$29</f>
        <v>-720</v>
      </c>
      <c r="AO35">
        <f>-'Drilling Spec'!$C$27</f>
        <v>-624</v>
      </c>
      <c r="AP35">
        <f>-'Drilling Spec'!$C$28</f>
        <v>-688</v>
      </c>
      <c r="AQ35" t="e">
        <f t="shared" si="11"/>
        <v>#N/A</v>
      </c>
      <c r="AR35" t="e">
        <f>IF(X35=0,NA(),-'Drilling Spec'!$C$29*0.1)</f>
        <v>#N/A</v>
      </c>
      <c r="AS35" t="e">
        <f>IF(Y35=0,NA(),-'Drilling Spec'!$C$29*0.1)</f>
        <v>#N/A</v>
      </c>
      <c r="AT35" t="e">
        <f>IF(AB35=0,NA(),-'Drilling Spec'!$C$29*0.2)</f>
        <v>#N/A</v>
      </c>
      <c r="AU35" t="e">
        <f>IF(AC35=0,NA(),-'Drilling Spec'!$C$29*0.2)</f>
        <v>#N/A</v>
      </c>
      <c r="AV35" t="e">
        <f>IF(AH35=0,NA(),-'Drilling Spec'!$C$29*0.3)</f>
        <v>#N/A</v>
      </c>
      <c r="AW35" t="e">
        <f>IF(AI35=0,NA(),-'Drilling Spec'!$C$29*0.3)</f>
        <v>#N/A</v>
      </c>
      <c r="AX35" s="29">
        <f t="shared" si="12"/>
        <v>2.6331707317073163</v>
      </c>
      <c r="AY35" s="29">
        <f t="shared" si="13"/>
        <v>4.6087701379776735</v>
      </c>
      <c r="AZ35" s="29">
        <f t="shared" si="17"/>
        <v>10.144741321722481</v>
      </c>
      <c r="BS35" s="35"/>
      <c r="BT35" s="39" t="s">
        <v>192</v>
      </c>
      <c r="BU35" s="39"/>
      <c r="BV35" s="39"/>
      <c r="BW35" s="39"/>
      <c r="BX35" s="39"/>
      <c r="BY35" s="39"/>
      <c r="BZ35" s="39"/>
      <c r="CA35" s="39"/>
    </row>
    <row r="36" spans="1:79" x14ac:dyDescent="0.35">
      <c r="A36" s="28">
        <f t="shared" si="18"/>
        <v>46006</v>
      </c>
      <c r="B36" t="str">
        <f t="shared" si="0"/>
        <v>Mon</v>
      </c>
      <c r="C36" s="10" t="s">
        <v>9</v>
      </c>
      <c r="D36" s="10">
        <v>24</v>
      </c>
      <c r="E36" s="4">
        <f t="shared" si="1"/>
        <v>24</v>
      </c>
      <c r="F36" s="4">
        <f t="shared" si="2"/>
        <v>192</v>
      </c>
      <c r="G36" s="4">
        <f t="shared" si="3"/>
        <v>1440</v>
      </c>
      <c r="H36" s="15">
        <f>(SQRT(4*I35*I35*V*V + 'Drilling Spec'!$C$42*I35 + W*('Drilling Spec'!$C$43 + 2*l*V*(s*W + 2*V*G36/(1+e)) + 'Drilling Spec'!$C$44)) - 'Drilling Spec'!$C$45)/(2*V)</f>
        <v>273.38359589594342</v>
      </c>
      <c r="I36" s="23">
        <f>IF(AND(OR(I35=0,I35=""),F36=0),IF(F37=0,"",'Drilling Spec'!$C$26),H36)</f>
        <v>273.38359589594342</v>
      </c>
      <c r="J36" s="16">
        <f>MAX(0,I36-'Drilling Spec'!$C$30)</f>
        <v>193.38359589594342</v>
      </c>
      <c r="K36" s="18">
        <f>IFERROR(J36/'Drilling Spec'!$C$31,0)</f>
        <v>12.892239726396229</v>
      </c>
      <c r="L36" s="21">
        <f t="shared" si="4"/>
        <v>0</v>
      </c>
      <c r="M36" s="4">
        <f t="shared" si="14"/>
        <v>0</v>
      </c>
      <c r="N36" s="21">
        <f t="shared" si="5"/>
        <v>0</v>
      </c>
      <c r="O36" s="18">
        <f>(SQRT(4*O35*O35*vB*vB + 'Drilling Spec'!$C$48*O35 + WB*('Drilling Spec'!$C$49 + 2*lB*vB*(sB*WB + 2*vB*N36/(1+eB)) + 'Drilling Spec'!$C$50)) - 'Drilling Spec'!$C$51)/(2*vB)</f>
        <v>0</v>
      </c>
      <c r="P36" s="18">
        <f>IFERROR(((S36-'Drilling Spec'!$C$30)/'Drilling Spec'!$C$31)*'Drilling Spec'!$C$32,0)</f>
        <v>0</v>
      </c>
      <c r="Q36" s="18">
        <f t="shared" si="15"/>
        <v>0</v>
      </c>
      <c r="R36" s="18"/>
      <c r="S36" s="26" t="str">
        <f>IF(AND(OR(T35=0,T35=""),M36=0),IF(M37=0,"",'Drilling Spec'!$C$30),O36)</f>
        <v/>
      </c>
      <c r="U36" s="15">
        <f>E36*'Drilling Spec'!$C$22 + L36*'Drilling Spec'!$C$23</f>
        <v>0.4809756097560976</v>
      </c>
      <c r="V36" s="15">
        <f t="shared" si="16"/>
        <v>3.8478048780487808</v>
      </c>
      <c r="W36" s="15">
        <f t="shared" si="6"/>
        <v>2.1521951219512188</v>
      </c>
      <c r="X36" s="10"/>
      <c r="Y36" s="30">
        <f>IF(W36&lt;U37,'Drilling Spec'!$C$35,0)</f>
        <v>0</v>
      </c>
      <c r="AA36" s="4">
        <f t="shared" si="19"/>
        <v>16</v>
      </c>
      <c r="AB36" s="10"/>
      <c r="AC36" s="30">
        <f>IF('08-07-25-Scen7-GennyFail'!K37&gt;'08-07-25-Scen7-GennyFail'!AA36,'Drilling Spec'!$C$36,)</f>
        <v>0</v>
      </c>
      <c r="AE36" s="18">
        <f>(I36-'Drilling Spec'!$C$26)/'Drilling Spec'!$C$38</f>
        <v>33.897265982657238</v>
      </c>
      <c r="AF36" s="18">
        <f t="shared" si="7"/>
        <v>3.7525246609347569</v>
      </c>
      <c r="AG36" s="34">
        <f t="shared" si="8"/>
        <v>13.897265982657238</v>
      </c>
      <c r="AH36" s="10"/>
      <c r="AI36" s="26">
        <f>IF(C36="Camp Closed",AG36,IF(AG36&lt;'Drilling Spec'!$C$39,,'Drilling Spec'!$C$39))</f>
        <v>0</v>
      </c>
      <c r="AL36" s="16">
        <f t="shared" si="9"/>
        <v>-273.38359589594342</v>
      </c>
      <c r="AM36" s="16" t="e">
        <f t="shared" si="10"/>
        <v>#N/A</v>
      </c>
      <c r="AN36">
        <f>-'Drilling Spec'!$C$29</f>
        <v>-720</v>
      </c>
      <c r="AO36">
        <f>-'Drilling Spec'!$C$27</f>
        <v>-624</v>
      </c>
      <c r="AP36">
        <f>-'Drilling Spec'!$C$28</f>
        <v>-688</v>
      </c>
      <c r="AQ36" t="e">
        <f t="shared" si="11"/>
        <v>#N/A</v>
      </c>
      <c r="AR36" t="e">
        <f>IF(X36=0,NA(),-'Drilling Spec'!$C$29*0.1)</f>
        <v>#N/A</v>
      </c>
      <c r="AS36" t="e">
        <f>IF(Y36=0,NA(),-'Drilling Spec'!$C$29*0.1)</f>
        <v>#N/A</v>
      </c>
      <c r="AT36" t="e">
        <f>IF(AB36=0,NA(),-'Drilling Spec'!$C$29*0.2)</f>
        <v>#N/A</v>
      </c>
      <c r="AU36" t="e">
        <f>IF(AC36=0,NA(),-'Drilling Spec'!$C$29*0.2)</f>
        <v>#N/A</v>
      </c>
      <c r="AV36" t="e">
        <f>IF(AH36=0,NA(),-'Drilling Spec'!$C$29*0.3)</f>
        <v>#N/A</v>
      </c>
      <c r="AW36" t="e">
        <f>IF(AI36=0,NA(),-'Drilling Spec'!$C$29*0.3)</f>
        <v>#N/A</v>
      </c>
      <c r="AX36" s="29">
        <f t="shared" si="12"/>
        <v>2.1521951219512188</v>
      </c>
      <c r="AY36" s="29">
        <f t="shared" si="13"/>
        <v>3.1077602736037715</v>
      </c>
      <c r="AZ36" s="29">
        <f t="shared" si="17"/>
        <v>13.897265982657238</v>
      </c>
      <c r="BS36" s="35"/>
      <c r="BT36" s="39"/>
      <c r="BU36" s="39"/>
      <c r="BV36" s="39"/>
      <c r="BW36" s="39"/>
      <c r="BX36" s="39"/>
      <c r="BY36" s="39"/>
      <c r="BZ36" s="39"/>
      <c r="CA36" s="39"/>
    </row>
    <row r="37" spans="1:79" x14ac:dyDescent="0.35">
      <c r="A37" s="28">
        <f t="shared" si="18"/>
        <v>46007</v>
      </c>
      <c r="B37" t="str">
        <f t="shared" si="0"/>
        <v>Tue</v>
      </c>
      <c r="C37" s="10" t="s">
        <v>9</v>
      </c>
      <c r="D37" s="10">
        <v>24</v>
      </c>
      <c r="E37" s="4">
        <f t="shared" si="1"/>
        <v>24</v>
      </c>
      <c r="F37" s="4">
        <f t="shared" si="2"/>
        <v>216</v>
      </c>
      <c r="G37" s="4">
        <f t="shared" si="3"/>
        <v>1440</v>
      </c>
      <c r="H37" s="15">
        <f>(SQRT(4*I36*I36*V*V + 'Drilling Spec'!$C$42*I36 + W*('Drilling Spec'!$C$43 + 2*l*V*(s*W + 2*V*G37/(1+e)) + 'Drilling Spec'!$C$44)) - 'Drilling Spec'!$C$45)/(2*V)</f>
        <v>295.28363443552161</v>
      </c>
      <c r="I37" s="23">
        <f>IF(AND(OR(I36=0,I36=""),F37=0),IF(F38=0,"",'Drilling Spec'!$C$26),H37)</f>
        <v>295.28363443552161</v>
      </c>
      <c r="J37" s="16">
        <f>MAX(0,I37-'Drilling Spec'!$C$30)</f>
        <v>215.28363443552161</v>
      </c>
      <c r="K37" s="18">
        <f>IFERROR(J37/'Drilling Spec'!$C$31,0)</f>
        <v>14.352242295701441</v>
      </c>
      <c r="L37" s="21">
        <f t="shared" si="4"/>
        <v>0</v>
      </c>
      <c r="M37" s="4">
        <f t="shared" si="14"/>
        <v>0</v>
      </c>
      <c r="N37" s="21">
        <f t="shared" si="5"/>
        <v>0</v>
      </c>
      <c r="O37" s="18">
        <f>(SQRT(4*O36*O36*vB*vB + 'Drilling Spec'!$C$48*O36 + WB*('Drilling Spec'!$C$49 + 2*lB*vB*(sB*WB + 2*vB*N37/(1+eB)) + 'Drilling Spec'!$C$50)) - 'Drilling Spec'!$C$51)/(2*vB)</f>
        <v>0</v>
      </c>
      <c r="P37" s="18">
        <f>IFERROR(((S37-'Drilling Spec'!$C$30)/'Drilling Spec'!$C$31)*'Drilling Spec'!$C$32,0)</f>
        <v>0</v>
      </c>
      <c r="Q37" s="18">
        <f t="shared" si="15"/>
        <v>0</v>
      </c>
      <c r="R37" s="18"/>
      <c r="S37" s="26" t="str">
        <f>IF(AND(OR(T36=0,T36=""),M37=0),IF(M38=0,"",'Drilling Spec'!$C$30),O37)</f>
        <v/>
      </c>
      <c r="U37" s="15">
        <f>E37*'Drilling Spec'!$C$22 + L37*'Drilling Spec'!$C$23</f>
        <v>0.4809756097560976</v>
      </c>
      <c r="V37" s="15">
        <f t="shared" si="16"/>
        <v>4.3287804878048783</v>
      </c>
      <c r="W37" s="15">
        <f t="shared" si="6"/>
        <v>1.6712195121951212</v>
      </c>
      <c r="X37" s="10"/>
      <c r="Y37" s="30">
        <f>IF(W37&lt;U38,'Drilling Spec'!$C$35,0)</f>
        <v>0</v>
      </c>
      <c r="AA37" s="4">
        <f t="shared" si="19"/>
        <v>16</v>
      </c>
      <c r="AB37" s="10"/>
      <c r="AC37" s="30">
        <f>IF('08-07-25-Scen7-GennyFail'!K38&gt;'08-07-25-Scen7-GennyFail'!AA37,'Drilling Spec'!$C$36,)</f>
        <v>0</v>
      </c>
      <c r="AE37" s="18">
        <f>(I37-'Drilling Spec'!$C$26)/'Drilling Spec'!$C$38</f>
        <v>37.547272405920268</v>
      </c>
      <c r="AF37" s="18">
        <f t="shared" si="7"/>
        <v>3.6500064232630294</v>
      </c>
      <c r="AG37" s="34">
        <f t="shared" si="8"/>
        <v>17.547272405920268</v>
      </c>
      <c r="AH37" s="10"/>
      <c r="AI37" s="26">
        <f>IF(C37="Camp Closed",AG37,IF(AG37&lt;'Drilling Spec'!$C$39,,'Drilling Spec'!$C$39))</f>
        <v>0</v>
      </c>
      <c r="AL37" s="16">
        <f t="shared" si="9"/>
        <v>-295.28363443552161</v>
      </c>
      <c r="AM37" s="16" t="e">
        <f t="shared" si="10"/>
        <v>#N/A</v>
      </c>
      <c r="AN37">
        <f>-'Drilling Spec'!$C$29</f>
        <v>-720</v>
      </c>
      <c r="AO37">
        <f>-'Drilling Spec'!$C$27</f>
        <v>-624</v>
      </c>
      <c r="AP37">
        <f>-'Drilling Spec'!$C$28</f>
        <v>-688</v>
      </c>
      <c r="AQ37" t="e">
        <f t="shared" si="11"/>
        <v>#N/A</v>
      </c>
      <c r="AR37" t="e">
        <f>IF(X37=0,NA(),-'Drilling Spec'!$C$29*0.1)</f>
        <v>#N/A</v>
      </c>
      <c r="AS37" t="e">
        <f>IF(Y37=0,NA(),-'Drilling Spec'!$C$29*0.1)</f>
        <v>#N/A</v>
      </c>
      <c r="AT37" t="e">
        <f>IF(AB37=0,NA(),-'Drilling Spec'!$C$29*0.2)</f>
        <v>#N/A</v>
      </c>
      <c r="AU37" t="e">
        <f>IF(AC37=0,NA(),-'Drilling Spec'!$C$29*0.2)</f>
        <v>#N/A</v>
      </c>
      <c r="AV37" t="e">
        <f>IF(AH37=0,NA(),-'Drilling Spec'!$C$29*0.3)</f>
        <v>#N/A</v>
      </c>
      <c r="AW37" t="e">
        <f>IF(AI37=0,NA(),-'Drilling Spec'!$C$29*0.3)</f>
        <v>#N/A</v>
      </c>
      <c r="AX37" s="29">
        <f t="shared" si="12"/>
        <v>1.6712195121951212</v>
      </c>
      <c r="AY37" s="29">
        <f t="shared" si="13"/>
        <v>1.6477577042985594</v>
      </c>
      <c r="AZ37" s="29">
        <f t="shared" si="17"/>
        <v>17.547272405920268</v>
      </c>
      <c r="BS37" s="35"/>
      <c r="BT37" s="39"/>
      <c r="BU37" s="39"/>
      <c r="BV37" s="39"/>
      <c r="BW37" s="39"/>
      <c r="BX37" s="39"/>
      <c r="BY37" s="39"/>
      <c r="BZ37" s="39"/>
      <c r="CA37" s="39"/>
    </row>
    <row r="38" spans="1:79" x14ac:dyDescent="0.35">
      <c r="A38" s="28">
        <f t="shared" si="18"/>
        <v>46008</v>
      </c>
      <c r="B38" t="str">
        <f t="shared" si="0"/>
        <v>Wed</v>
      </c>
      <c r="C38" s="10" t="s">
        <v>9</v>
      </c>
      <c r="D38" s="10">
        <v>24</v>
      </c>
      <c r="E38" s="4">
        <f t="shared" si="1"/>
        <v>24</v>
      </c>
      <c r="F38" s="4">
        <f t="shared" si="2"/>
        <v>240</v>
      </c>
      <c r="G38" s="4">
        <f t="shared" si="3"/>
        <v>1440</v>
      </c>
      <c r="H38" s="15">
        <f>(SQRT(4*I37*I37*V*V + 'Drilling Spec'!$C$42*I37 + W*('Drilling Spec'!$C$43 + 2*l*V*(s*W + 2*V*G38/(1+e)) + 'Drilling Spec'!$C$44)) - 'Drilling Spec'!$C$45)/(2*V)</f>
        <v>316.6163817101509</v>
      </c>
      <c r="I38" s="23">
        <f>IF(AND(OR(I37=0,I37=""),F38=0),IF(F39=0,"",'Drilling Spec'!$C$26),H38)</f>
        <v>316.6163817101509</v>
      </c>
      <c r="J38" s="16">
        <f>MAX(0,I38-'Drilling Spec'!$C$30)</f>
        <v>236.6163817101509</v>
      </c>
      <c r="K38" s="18">
        <f>IFERROR(J38/'Drilling Spec'!$C$31,0)</f>
        <v>15.774425447343393</v>
      </c>
      <c r="L38" s="21">
        <f t="shared" si="4"/>
        <v>0</v>
      </c>
      <c r="M38" s="4">
        <f t="shared" si="14"/>
        <v>0</v>
      </c>
      <c r="N38" s="21">
        <f t="shared" si="5"/>
        <v>0</v>
      </c>
      <c r="O38" s="18">
        <f>(SQRT(4*O37*O37*vB*vB + 'Drilling Spec'!$C$48*O37 + WB*('Drilling Spec'!$C$49 + 2*lB*vB*(sB*WB + 2*vB*N38/(1+eB)) + 'Drilling Spec'!$C$50)) - 'Drilling Spec'!$C$51)/(2*vB)</f>
        <v>0</v>
      </c>
      <c r="P38" s="18">
        <f>IFERROR(((S38-'Drilling Spec'!$C$30)/'Drilling Spec'!$C$31)*'Drilling Spec'!$C$32,0)</f>
        <v>0</v>
      </c>
      <c r="Q38" s="18">
        <f t="shared" si="15"/>
        <v>0</v>
      </c>
      <c r="R38" s="18"/>
      <c r="S38" s="26" t="str">
        <f>IF(AND(OR(T37=0,T37=""),M38=0),IF(M39=0,"",'Drilling Spec'!$C$30),O38)</f>
        <v/>
      </c>
      <c r="U38" s="15">
        <f>E38*'Drilling Spec'!$C$22 + L38*'Drilling Spec'!$C$23</f>
        <v>0.4809756097560976</v>
      </c>
      <c r="V38" s="15">
        <f t="shared" si="16"/>
        <v>4.8097560975609763</v>
      </c>
      <c r="W38" s="15">
        <f t="shared" si="6"/>
        <v>1.1902439024390237</v>
      </c>
      <c r="X38" s="10"/>
      <c r="Y38" s="30">
        <f>IF(W38&lt;U39,'Drilling Spec'!$C$35,0)</f>
        <v>0</v>
      </c>
      <c r="AA38" s="4">
        <f t="shared" si="19"/>
        <v>16</v>
      </c>
      <c r="AB38" s="10"/>
      <c r="AC38" s="30">
        <f>IF('08-07-25-Scen7-GennyFail'!K39&gt;'08-07-25-Scen7-GennyFail'!AA38,'Drilling Spec'!$C$36,)</f>
        <v>6</v>
      </c>
      <c r="AE38" s="18">
        <f>(I38-'Drilling Spec'!$C$26)/'Drilling Spec'!$C$38</f>
        <v>41.102730285025153</v>
      </c>
      <c r="AF38" s="18">
        <f t="shared" si="7"/>
        <v>3.5554578791048854</v>
      </c>
      <c r="AG38" s="34">
        <f t="shared" si="8"/>
        <v>21.102730285025153</v>
      </c>
      <c r="AH38" s="10"/>
      <c r="AI38" s="26">
        <f>IF(C38="Camp Closed",AG38,IF(AG38&lt;'Drilling Spec'!$C$39,,'Drilling Spec'!$C$39))</f>
        <v>20</v>
      </c>
      <c r="AL38" s="16">
        <f t="shared" si="9"/>
        <v>-316.6163817101509</v>
      </c>
      <c r="AM38" s="16" t="e">
        <f t="shared" si="10"/>
        <v>#N/A</v>
      </c>
      <c r="AN38">
        <f>-'Drilling Spec'!$C$29</f>
        <v>-720</v>
      </c>
      <c r="AO38">
        <f>-'Drilling Spec'!$C$27</f>
        <v>-624</v>
      </c>
      <c r="AP38">
        <f>-'Drilling Spec'!$C$28</f>
        <v>-688</v>
      </c>
      <c r="AQ38" t="e">
        <f t="shared" si="11"/>
        <v>#N/A</v>
      </c>
      <c r="AR38" t="e">
        <f>IF(X38=0,NA(),-'Drilling Spec'!$C$29*0.1)</f>
        <v>#N/A</v>
      </c>
      <c r="AS38" t="e">
        <f>IF(Y38=0,NA(),-'Drilling Spec'!$C$29*0.1)</f>
        <v>#N/A</v>
      </c>
      <c r="AT38" t="e">
        <f>IF(AB38=0,NA(),-'Drilling Spec'!$C$29*0.2)</f>
        <v>#N/A</v>
      </c>
      <c r="AU38">
        <f>IF(AC38=0,NA(),-'Drilling Spec'!$C$29*0.2)</f>
        <v>-144</v>
      </c>
      <c r="AV38" t="e">
        <f>IF(AH38=0,NA(),-'Drilling Spec'!$C$29*0.3)</f>
        <v>#N/A</v>
      </c>
      <c r="AW38">
        <f>IF(AI38=0,NA(),-'Drilling Spec'!$C$29*0.3)</f>
        <v>-216</v>
      </c>
      <c r="AX38" s="29">
        <f t="shared" si="12"/>
        <v>1.1902439024390237</v>
      </c>
      <c r="AY38" s="29">
        <f t="shared" si="13"/>
        <v>0.22557455265660664</v>
      </c>
      <c r="AZ38" s="29">
        <f t="shared" si="17"/>
        <v>21.102730285025153</v>
      </c>
      <c r="BS38" s="35"/>
      <c r="BT38" s="39" t="s">
        <v>193</v>
      </c>
      <c r="BU38" s="39"/>
      <c r="BV38" s="39"/>
      <c r="BW38" s="39"/>
      <c r="BX38" s="39"/>
      <c r="BY38" s="39"/>
      <c r="BZ38" s="39"/>
      <c r="CA38" s="39"/>
    </row>
    <row r="39" spans="1:79" x14ac:dyDescent="0.35">
      <c r="A39" s="28">
        <f t="shared" si="18"/>
        <v>46009</v>
      </c>
      <c r="B39" t="str">
        <f t="shared" si="0"/>
        <v>Thu</v>
      </c>
      <c r="C39" s="10" t="s">
        <v>9</v>
      </c>
      <c r="D39" s="10">
        <v>24</v>
      </c>
      <c r="E39" s="4">
        <f t="shared" si="1"/>
        <v>24</v>
      </c>
      <c r="F39" s="4">
        <f t="shared" si="2"/>
        <v>264</v>
      </c>
      <c r="G39" s="4">
        <f t="shared" si="3"/>
        <v>1440</v>
      </c>
      <c r="H39" s="15">
        <f>(SQRT(4*I38*I38*V*V + 'Drilling Spec'!$C$42*I38 + W*('Drilling Spec'!$C$43 + 2*l*V*(s*W + 2*V*G39/(1+e)) + 'Drilling Spec'!$C$44)) - 'Drilling Spec'!$C$45)/(2*V)</f>
        <v>337.42376378429032</v>
      </c>
      <c r="I39" s="23">
        <f>IF(AND(OR(I38=0,I38=""),F39=0),IF(F40=0,"",'Drilling Spec'!$C$26),H39)</f>
        <v>337.42376378429032</v>
      </c>
      <c r="J39" s="16">
        <f>MAX(0,I39-'Drilling Spec'!$C$30)</f>
        <v>257.42376378429032</v>
      </c>
      <c r="K39" s="18">
        <f>IFERROR(J39/'Drilling Spec'!$C$31,0)</f>
        <v>17.161584252286023</v>
      </c>
      <c r="L39" s="21">
        <f t="shared" si="4"/>
        <v>0</v>
      </c>
      <c r="M39" s="4">
        <f t="shared" si="14"/>
        <v>0</v>
      </c>
      <c r="N39" s="21">
        <f t="shared" si="5"/>
        <v>0</v>
      </c>
      <c r="O39" s="18">
        <f>(SQRT(4*O38*O38*vB*vB + 'Drilling Spec'!$C$48*O38 + WB*('Drilling Spec'!$C$49 + 2*lB*vB*(sB*WB + 2*vB*N39/(1+eB)) + 'Drilling Spec'!$C$50)) - 'Drilling Spec'!$C$51)/(2*vB)</f>
        <v>0</v>
      </c>
      <c r="P39" s="18">
        <f>IFERROR(((S39-'Drilling Spec'!$C$30)/'Drilling Spec'!$C$31)*'Drilling Spec'!$C$32,0)</f>
        <v>0</v>
      </c>
      <c r="Q39" s="18">
        <f t="shared" si="15"/>
        <v>0</v>
      </c>
      <c r="R39" s="18"/>
      <c r="S39" s="26" t="str">
        <f>IF(AND(OR(T38=0,T38=""),M39=0),IF(M40=0,"",'Drilling Spec'!$C$30),O39)</f>
        <v/>
      </c>
      <c r="U39" s="15">
        <f>E39*'Drilling Spec'!$C$22 + L39*'Drilling Spec'!$C$23</f>
        <v>0.4809756097560976</v>
      </c>
      <c r="V39" s="15">
        <f t="shared" si="16"/>
        <v>5.2907317073170743</v>
      </c>
      <c r="W39" s="15">
        <f t="shared" si="6"/>
        <v>0.70926829268292613</v>
      </c>
      <c r="X39" s="10"/>
      <c r="Y39" s="30">
        <f>IF(W39&lt;U40,'Drilling Spec'!$C$35,0)</f>
        <v>0</v>
      </c>
      <c r="AA39" s="4">
        <f t="shared" si="19"/>
        <v>22</v>
      </c>
      <c r="AB39" s="10"/>
      <c r="AC39" s="30">
        <f>IF('08-07-25-Scen7-GennyFail'!K40&gt;'08-07-25-Scen7-GennyFail'!AA39,'Drilling Spec'!$C$36,)</f>
        <v>0</v>
      </c>
      <c r="AE39" s="18">
        <f>(I39-'Drilling Spec'!$C$26)/'Drilling Spec'!$C$38</f>
        <v>44.570627297381719</v>
      </c>
      <c r="AF39" s="18">
        <f t="shared" si="7"/>
        <v>3.4678970123565662</v>
      </c>
      <c r="AG39" s="34">
        <f t="shared" si="8"/>
        <v>4.5706272973817192</v>
      </c>
      <c r="AH39" s="10"/>
      <c r="AI39" s="26">
        <f>IF(C39="Camp Closed",AG39,IF(AG39&lt;'Drilling Spec'!$C$39,,'Drilling Spec'!$C$39))</f>
        <v>0</v>
      </c>
      <c r="AL39" s="16">
        <f t="shared" si="9"/>
        <v>-337.42376378429032</v>
      </c>
      <c r="AM39" s="16" t="e">
        <f t="shared" si="10"/>
        <v>#N/A</v>
      </c>
      <c r="AN39">
        <f>-'Drilling Spec'!$C$29</f>
        <v>-720</v>
      </c>
      <c r="AO39">
        <f>-'Drilling Spec'!$C$27</f>
        <v>-624</v>
      </c>
      <c r="AP39">
        <f>-'Drilling Spec'!$C$28</f>
        <v>-688</v>
      </c>
      <c r="AQ39" t="e">
        <f t="shared" si="11"/>
        <v>#N/A</v>
      </c>
      <c r="AR39" t="e">
        <f>IF(X39=0,NA(),-'Drilling Spec'!$C$29*0.1)</f>
        <v>#N/A</v>
      </c>
      <c r="AS39" t="e">
        <f>IF(Y39=0,NA(),-'Drilling Spec'!$C$29*0.1)</f>
        <v>#N/A</v>
      </c>
      <c r="AT39" t="e">
        <f>IF(AB39=0,NA(),-'Drilling Spec'!$C$29*0.2)</f>
        <v>#N/A</v>
      </c>
      <c r="AU39" t="e">
        <f>IF(AC39=0,NA(),-'Drilling Spec'!$C$29*0.2)</f>
        <v>#N/A</v>
      </c>
      <c r="AV39" t="e">
        <f>IF(AH39=0,NA(),-'Drilling Spec'!$C$29*0.3)</f>
        <v>#N/A</v>
      </c>
      <c r="AW39" t="e">
        <f>IF(AI39=0,NA(),-'Drilling Spec'!$C$29*0.3)</f>
        <v>#N/A</v>
      </c>
      <c r="AX39" s="29">
        <f t="shared" si="12"/>
        <v>0.70926829268292613</v>
      </c>
      <c r="AY39" s="29">
        <f t="shared" si="13"/>
        <v>4.8384157477139773</v>
      </c>
      <c r="AZ39" s="29">
        <f t="shared" si="17"/>
        <v>4.5706272973817192</v>
      </c>
      <c r="BS39" s="35"/>
      <c r="BT39" s="39"/>
      <c r="BU39" s="39"/>
      <c r="BV39" s="39"/>
      <c r="BW39" s="39"/>
      <c r="BX39" s="39"/>
      <c r="BY39" s="39"/>
      <c r="BZ39" s="39"/>
      <c r="CA39" s="39"/>
    </row>
    <row r="40" spans="1:79" x14ac:dyDescent="0.35">
      <c r="A40" s="28">
        <f t="shared" si="18"/>
        <v>46010</v>
      </c>
      <c r="B40" t="str">
        <f t="shared" si="0"/>
        <v>Fri</v>
      </c>
      <c r="C40" s="10" t="s">
        <v>9</v>
      </c>
      <c r="D40" s="10">
        <v>24</v>
      </c>
      <c r="E40" s="4">
        <f t="shared" si="1"/>
        <v>24</v>
      </c>
      <c r="F40" s="4">
        <f t="shared" si="2"/>
        <v>288</v>
      </c>
      <c r="G40" s="4">
        <f t="shared" si="3"/>
        <v>1440</v>
      </c>
      <c r="H40" s="15">
        <f>(SQRT(4*I39*I39*V*V + 'Drilling Spec'!$C$42*I39 + W*('Drilling Spec'!$C$43 + 2*l*V*(s*W + 2*V*G40/(1+e)) + 'Drilling Spec'!$C$44)) - 'Drilling Spec'!$C$45)/(2*V)</f>
        <v>357.74278357270839</v>
      </c>
      <c r="I40" s="23">
        <f>IF(AND(OR(I39=0,I39=""),F40=0),IF(F41=0,"",'Drilling Spec'!$C$26),H40)</f>
        <v>357.74278357270839</v>
      </c>
      <c r="J40" s="16">
        <f>MAX(0,I40-'Drilling Spec'!$C$30)</f>
        <v>277.74278357270839</v>
      </c>
      <c r="K40" s="18">
        <f>IFERROR(J40/'Drilling Spec'!$C$31,0)</f>
        <v>18.516185571513894</v>
      </c>
      <c r="L40" s="21">
        <f t="shared" si="4"/>
        <v>0</v>
      </c>
      <c r="M40" s="4">
        <f t="shared" si="14"/>
        <v>0</v>
      </c>
      <c r="N40" s="21">
        <f t="shared" si="5"/>
        <v>0</v>
      </c>
      <c r="O40" s="18">
        <f>(SQRT(4*O39*O39*vB*vB + 'Drilling Spec'!$C$48*O39 + WB*('Drilling Spec'!$C$49 + 2*lB*vB*(sB*WB + 2*vB*N40/(1+eB)) + 'Drilling Spec'!$C$50)) - 'Drilling Spec'!$C$51)/(2*vB)</f>
        <v>0</v>
      </c>
      <c r="P40" s="18">
        <f>IFERROR(((S40-'Drilling Spec'!$C$30)/'Drilling Spec'!$C$31)*'Drilling Spec'!$C$32,0)</f>
        <v>0</v>
      </c>
      <c r="Q40" s="18">
        <f t="shared" si="15"/>
        <v>0</v>
      </c>
      <c r="R40" s="18"/>
      <c r="S40" s="26" t="str">
        <f>IF(AND(OR(T39=0,T39=""),M40=0),IF(M41=0,"",'Drilling Spec'!$C$30),O40)</f>
        <v/>
      </c>
      <c r="U40" s="15">
        <f>E40*'Drilling Spec'!$C$22 + L40*'Drilling Spec'!$C$23</f>
        <v>0.4809756097560976</v>
      </c>
      <c r="V40" s="15">
        <f t="shared" si="16"/>
        <v>5.7717073170731723</v>
      </c>
      <c r="W40" s="15">
        <f t="shared" si="6"/>
        <v>0.22829268292682853</v>
      </c>
      <c r="X40" s="10"/>
      <c r="Y40" s="30">
        <f>IF(W40&lt;U41,'Drilling Spec'!$C$35,0)</f>
        <v>6</v>
      </c>
      <c r="AA40" s="4">
        <f t="shared" si="19"/>
        <v>22</v>
      </c>
      <c r="AB40" s="10"/>
      <c r="AC40" s="30">
        <f>IF('08-07-25-Scen7-GennyFail'!K41&gt;'08-07-25-Scen7-GennyFail'!AA40,'Drilling Spec'!$C$36,)</f>
        <v>0</v>
      </c>
      <c r="AE40" s="18">
        <f>(I40-'Drilling Spec'!$C$26)/'Drilling Spec'!$C$38</f>
        <v>47.957130595451396</v>
      </c>
      <c r="AF40" s="18">
        <f t="shared" si="7"/>
        <v>3.3865032980696768</v>
      </c>
      <c r="AG40" s="34">
        <f t="shared" si="8"/>
        <v>7.957130595451396</v>
      </c>
      <c r="AH40" s="10"/>
      <c r="AI40" s="26">
        <f>IF(C40="Camp Closed",AG40,IF(AG40&lt;'Drilling Spec'!$C$39,,'Drilling Spec'!$C$39))</f>
        <v>0</v>
      </c>
      <c r="AL40" s="16">
        <f t="shared" si="9"/>
        <v>-357.74278357270839</v>
      </c>
      <c r="AM40" s="16" t="e">
        <f t="shared" si="10"/>
        <v>#N/A</v>
      </c>
      <c r="AN40">
        <f>-'Drilling Spec'!$C$29</f>
        <v>-720</v>
      </c>
      <c r="AO40">
        <f>-'Drilling Spec'!$C$27</f>
        <v>-624</v>
      </c>
      <c r="AP40">
        <f>-'Drilling Spec'!$C$28</f>
        <v>-688</v>
      </c>
      <c r="AQ40" t="e">
        <f t="shared" si="11"/>
        <v>#N/A</v>
      </c>
      <c r="AR40" t="e">
        <f>IF(X40=0,NA(),-'Drilling Spec'!$C$29*0.1)</f>
        <v>#N/A</v>
      </c>
      <c r="AS40">
        <f>IF(Y40=0,NA(),-'Drilling Spec'!$C$29*0.1)</f>
        <v>-72</v>
      </c>
      <c r="AT40" t="e">
        <f>IF(AB40=0,NA(),-'Drilling Spec'!$C$29*0.2)</f>
        <v>#N/A</v>
      </c>
      <c r="AU40" t="e">
        <f>IF(AC40=0,NA(),-'Drilling Spec'!$C$29*0.2)</f>
        <v>#N/A</v>
      </c>
      <c r="AV40" t="e">
        <f>IF(AH40=0,NA(),-'Drilling Spec'!$C$29*0.3)</f>
        <v>#N/A</v>
      </c>
      <c r="AW40" t="e">
        <f>IF(AI40=0,NA(),-'Drilling Spec'!$C$29*0.3)</f>
        <v>#N/A</v>
      </c>
      <c r="AX40" s="29">
        <f t="shared" si="12"/>
        <v>0.22829268292682853</v>
      </c>
      <c r="AY40" s="29">
        <f t="shared" si="13"/>
        <v>3.4838144284861059</v>
      </c>
      <c r="AZ40" s="29">
        <f t="shared" si="17"/>
        <v>7.957130595451396</v>
      </c>
    </row>
    <row r="41" spans="1:79" x14ac:dyDescent="0.35">
      <c r="A41" s="28">
        <f t="shared" si="18"/>
        <v>46011</v>
      </c>
      <c r="B41" t="str">
        <f t="shared" si="0"/>
        <v>Sat</v>
      </c>
      <c r="C41" s="10" t="s">
        <v>9</v>
      </c>
      <c r="D41" s="10">
        <v>24</v>
      </c>
      <c r="E41" s="4">
        <f t="shared" si="1"/>
        <v>24</v>
      </c>
      <c r="F41" s="4">
        <f t="shared" si="2"/>
        <v>312</v>
      </c>
      <c r="G41" s="4">
        <f t="shared" si="3"/>
        <v>1440</v>
      </c>
      <c r="H41" s="15">
        <f>(SQRT(4*I40*I40*V*V + 'Drilling Spec'!$C$42*I40 + W*('Drilling Spec'!$C$43 + 2*l*V*(s*W + 2*V*G41/(1+e)) + 'Drilling Spec'!$C$44)) - 'Drilling Spec'!$C$45)/(2*V)</f>
        <v>377.60629406387062</v>
      </c>
      <c r="I41" s="23">
        <f>IF(AND(OR(I40=0,I40=""),F41=0),IF(F42=0,"",'Drilling Spec'!$C$26),H41)</f>
        <v>377.60629406387062</v>
      </c>
      <c r="J41" s="16">
        <f>MAX(0,I41-'Drilling Spec'!$C$30)</f>
        <v>297.60629406387062</v>
      </c>
      <c r="K41" s="18">
        <f>IFERROR(J41/'Drilling Spec'!$C$31,0)</f>
        <v>19.840419604258042</v>
      </c>
      <c r="L41" s="21">
        <f t="shared" si="4"/>
        <v>0</v>
      </c>
      <c r="M41" s="4">
        <f t="shared" si="14"/>
        <v>0</v>
      </c>
      <c r="N41" s="21">
        <f t="shared" si="5"/>
        <v>0</v>
      </c>
      <c r="O41" s="18">
        <f>(SQRT(4*O40*O40*vB*vB + 'Drilling Spec'!$C$48*O40 + WB*('Drilling Spec'!$C$49 + 2*lB*vB*(sB*WB + 2*vB*N41/(1+eB)) + 'Drilling Spec'!$C$50)) - 'Drilling Spec'!$C$51)/(2*vB)</f>
        <v>0</v>
      </c>
      <c r="P41" s="18">
        <f>IFERROR(((S41-'Drilling Spec'!$C$30)/'Drilling Spec'!$C$31)*'Drilling Spec'!$C$32,0)</f>
        <v>0</v>
      </c>
      <c r="Q41" s="18">
        <f t="shared" si="15"/>
        <v>0</v>
      </c>
      <c r="R41" s="18"/>
      <c r="S41" s="26" t="str">
        <f>IF(AND(OR(T40=0,T40=""),M41=0),IF(M42=0,"",'Drilling Spec'!$C$30),O41)</f>
        <v/>
      </c>
      <c r="U41" s="15">
        <f>E41*'Drilling Spec'!$C$22 + L41*'Drilling Spec'!$C$23</f>
        <v>0.4809756097560976</v>
      </c>
      <c r="V41" s="15">
        <f t="shared" si="16"/>
        <v>6.2526829268292703</v>
      </c>
      <c r="W41" s="15">
        <f t="shared" si="6"/>
        <v>5.7473170731707306</v>
      </c>
      <c r="X41" s="10"/>
      <c r="Y41" s="30">
        <f>IF(W41&lt;U42,'Drilling Spec'!$C$35,0)</f>
        <v>0</v>
      </c>
      <c r="AA41" s="4">
        <f t="shared" si="19"/>
        <v>22</v>
      </c>
      <c r="AB41" s="10"/>
      <c r="AC41" s="30">
        <f>IF('08-07-25-Scen7-GennyFail'!K42&gt;'08-07-25-Scen7-GennyFail'!AA41,'Drilling Spec'!$C$36,)</f>
        <v>0</v>
      </c>
      <c r="AE41" s="18">
        <f>(I41-'Drilling Spec'!$C$26)/'Drilling Spec'!$C$38</f>
        <v>51.26771567731177</v>
      </c>
      <c r="AF41" s="18">
        <f t="shared" si="7"/>
        <v>3.3105850818603741</v>
      </c>
      <c r="AG41" s="34">
        <f t="shared" si="8"/>
        <v>11.26771567731177</v>
      </c>
      <c r="AH41" s="10"/>
      <c r="AI41" s="26">
        <f>IF(C41="Camp Closed",AG41,IF(AG41&lt;'Drilling Spec'!$C$39,,'Drilling Spec'!$C$39))</f>
        <v>0</v>
      </c>
      <c r="AL41" s="16">
        <f t="shared" si="9"/>
        <v>-377.60629406387062</v>
      </c>
      <c r="AM41" s="16" t="e">
        <f t="shared" si="10"/>
        <v>#N/A</v>
      </c>
      <c r="AN41">
        <f>-'Drilling Spec'!$C$29</f>
        <v>-720</v>
      </c>
      <c r="AO41">
        <f>-'Drilling Spec'!$C$27</f>
        <v>-624</v>
      </c>
      <c r="AP41">
        <f>-'Drilling Spec'!$C$28</f>
        <v>-688</v>
      </c>
      <c r="AQ41" t="e">
        <f t="shared" si="11"/>
        <v>#N/A</v>
      </c>
      <c r="AR41" t="e">
        <f>IF(X41=0,NA(),-'Drilling Spec'!$C$29*0.1)</f>
        <v>#N/A</v>
      </c>
      <c r="AS41" t="e">
        <f>IF(Y41=0,NA(),-'Drilling Spec'!$C$29*0.1)</f>
        <v>#N/A</v>
      </c>
      <c r="AT41" t="e">
        <f>IF(AB41=0,NA(),-'Drilling Spec'!$C$29*0.2)</f>
        <v>#N/A</v>
      </c>
      <c r="AU41" t="e">
        <f>IF(AC41=0,NA(),-'Drilling Spec'!$C$29*0.2)</f>
        <v>#N/A</v>
      </c>
      <c r="AV41" t="e">
        <f>IF(AH41=0,NA(),-'Drilling Spec'!$C$29*0.3)</f>
        <v>#N/A</v>
      </c>
      <c r="AW41" t="e">
        <f>IF(AI41=0,NA(),-'Drilling Spec'!$C$29*0.3)</f>
        <v>#N/A</v>
      </c>
      <c r="AX41" s="29">
        <f t="shared" si="12"/>
        <v>5.7473170731707306</v>
      </c>
      <c r="AY41" s="29">
        <f t="shared" si="13"/>
        <v>2.1595803957419584</v>
      </c>
      <c r="AZ41" s="29">
        <f t="shared" si="17"/>
        <v>11.26771567731177</v>
      </c>
    </row>
    <row r="42" spans="1:79" x14ac:dyDescent="0.35">
      <c r="A42" s="28">
        <f t="shared" si="18"/>
        <v>46012</v>
      </c>
      <c r="B42" t="str">
        <f t="shared" si="0"/>
        <v>Sun</v>
      </c>
      <c r="C42" s="10" t="s">
        <v>7</v>
      </c>
      <c r="D42" s="10">
        <v>0</v>
      </c>
      <c r="E42" s="4">
        <f t="shared" si="1"/>
        <v>0</v>
      </c>
      <c r="F42" s="4">
        <f t="shared" si="2"/>
        <v>312</v>
      </c>
      <c r="G42" s="4">
        <f t="shared" si="3"/>
        <v>0</v>
      </c>
      <c r="H42" s="15">
        <f>(SQRT(4*I41*I41*V*V + 'Drilling Spec'!$C$42*I41 + W*('Drilling Spec'!$C$43 + 2*l*V*(s*W + 2*V*G42/(1+e)) + 'Drilling Spec'!$C$44)) - 'Drilling Spec'!$C$45)/(2*V)</f>
        <v>377.60629406387062</v>
      </c>
      <c r="I42" s="23">
        <f>IF(AND(OR(I41=0,I41=""),F42=0),IF(F43=0,"",'Drilling Spec'!$C$26),H42)</f>
        <v>377.60629406387062</v>
      </c>
      <c r="J42" s="16">
        <f>MAX(0,I42-'Drilling Spec'!$C$30)</f>
        <v>297.60629406387062</v>
      </c>
      <c r="K42" s="18">
        <f>IFERROR(J42/'Drilling Spec'!$C$31,0)</f>
        <v>19.840419604258042</v>
      </c>
      <c r="L42" s="21">
        <f t="shared" si="4"/>
        <v>0</v>
      </c>
      <c r="M42" s="4">
        <f t="shared" si="14"/>
        <v>0</v>
      </c>
      <c r="N42" s="21">
        <f t="shared" si="5"/>
        <v>0</v>
      </c>
      <c r="O42" s="18">
        <f>(SQRT(4*O41*O41*vB*vB + 'Drilling Spec'!$C$48*O41 + WB*('Drilling Spec'!$C$49 + 2*lB*vB*(sB*WB + 2*vB*N42/(1+eB)) + 'Drilling Spec'!$C$50)) - 'Drilling Spec'!$C$51)/(2*vB)</f>
        <v>0</v>
      </c>
      <c r="P42" s="18">
        <f>IFERROR(((S42-'Drilling Spec'!$C$30)/'Drilling Spec'!$C$31)*'Drilling Spec'!$C$32,0)</f>
        <v>0</v>
      </c>
      <c r="Q42" s="18">
        <f t="shared" si="15"/>
        <v>0</v>
      </c>
      <c r="R42" s="18"/>
      <c r="S42" s="26" t="str">
        <f>IF(AND(OR(T41=0,T41=""),M42=0),IF(M43=0,"",'Drilling Spec'!$C$30),O42)</f>
        <v/>
      </c>
      <c r="U42" s="15">
        <f>E42*'Drilling Spec'!$C$22 + L42*'Drilling Spec'!$C$23</f>
        <v>0</v>
      </c>
      <c r="V42" s="15">
        <f t="shared" si="16"/>
        <v>6.2526829268292703</v>
      </c>
      <c r="W42" s="15">
        <f t="shared" si="6"/>
        <v>5.7473170731707306</v>
      </c>
      <c r="X42" s="10"/>
      <c r="Y42" s="30">
        <f>IF(W42&lt;U43,'Drilling Spec'!$C$35,0)</f>
        <v>0</v>
      </c>
      <c r="AA42" s="4">
        <f t="shared" si="19"/>
        <v>22</v>
      </c>
      <c r="AB42" s="10"/>
      <c r="AC42" s="30">
        <f>IF('08-07-25-Scen7-GennyFail'!K43&gt;'08-07-25-Scen7-GennyFail'!AA42,'Drilling Spec'!$C$36,)</f>
        <v>0</v>
      </c>
      <c r="AE42" s="18">
        <f>(I42-'Drilling Spec'!$C$26)/'Drilling Spec'!$C$38</f>
        <v>51.26771567731177</v>
      </c>
      <c r="AF42" s="18">
        <f t="shared" si="7"/>
        <v>0</v>
      </c>
      <c r="AG42" s="34">
        <f t="shared" si="8"/>
        <v>11.26771567731177</v>
      </c>
      <c r="AH42" s="10"/>
      <c r="AI42" s="26">
        <f>IF(C42="Camp Closed",AG42,IF(AG42&lt;'Drilling Spec'!$C$39,,'Drilling Spec'!$C$39))</f>
        <v>0</v>
      </c>
      <c r="AL42" s="16">
        <f t="shared" si="9"/>
        <v>-377.60629406387062</v>
      </c>
      <c r="AM42" s="16" t="e">
        <f t="shared" si="10"/>
        <v>#N/A</v>
      </c>
      <c r="AN42">
        <f>-'Drilling Spec'!$C$29</f>
        <v>-720</v>
      </c>
      <c r="AO42">
        <f>-'Drilling Spec'!$C$27</f>
        <v>-624</v>
      </c>
      <c r="AP42">
        <f>-'Drilling Spec'!$C$28</f>
        <v>-688</v>
      </c>
      <c r="AQ42" t="e">
        <f t="shared" si="11"/>
        <v>#N/A</v>
      </c>
      <c r="AR42" t="e">
        <f>IF(X42=0,NA(),-'Drilling Spec'!$C$29*0.1)</f>
        <v>#N/A</v>
      </c>
      <c r="AS42" t="e">
        <f>IF(Y42=0,NA(),-'Drilling Spec'!$C$29*0.1)</f>
        <v>#N/A</v>
      </c>
      <c r="AT42" t="e">
        <f>IF(AB42=0,NA(),-'Drilling Spec'!$C$29*0.2)</f>
        <v>#N/A</v>
      </c>
      <c r="AU42" t="e">
        <f>IF(AC42=0,NA(),-'Drilling Spec'!$C$29*0.2)</f>
        <v>#N/A</v>
      </c>
      <c r="AV42" t="e">
        <f>IF(AH42=0,NA(),-'Drilling Spec'!$C$29*0.3)</f>
        <v>#N/A</v>
      </c>
      <c r="AW42" t="e">
        <f>IF(AI42=0,NA(),-'Drilling Spec'!$C$29*0.3)</f>
        <v>#N/A</v>
      </c>
      <c r="AX42" s="29">
        <f t="shared" si="12"/>
        <v>5.7473170731707306</v>
      </c>
      <c r="AY42" s="29">
        <f t="shared" si="13"/>
        <v>2.1595803957419584</v>
      </c>
      <c r="AZ42" s="29">
        <f t="shared" si="17"/>
        <v>11.26771567731177</v>
      </c>
    </row>
    <row r="43" spans="1:79" x14ac:dyDescent="0.35">
      <c r="A43" s="28">
        <f t="shared" si="18"/>
        <v>46013</v>
      </c>
      <c r="B43" t="str">
        <f t="shared" si="0"/>
        <v>Mon</v>
      </c>
      <c r="C43" s="10" t="s">
        <v>9</v>
      </c>
      <c r="D43" s="10">
        <v>24</v>
      </c>
      <c r="E43" s="4">
        <f t="shared" si="1"/>
        <v>24</v>
      </c>
      <c r="F43" s="4">
        <f t="shared" si="2"/>
        <v>336</v>
      </c>
      <c r="G43" s="4">
        <f t="shared" si="3"/>
        <v>1440</v>
      </c>
      <c r="H43" s="15">
        <f>(SQRT(4*I42*I42*V*V + 'Drilling Spec'!$C$42*I42 + W*('Drilling Spec'!$C$43 + 2*l*V*(s*W + 2*V*G43/(1+e)) + 'Drilling Spec'!$C$44)) - 'Drilling Spec'!$C$45)/(2*V)</f>
        <v>397.04362207560342</v>
      </c>
      <c r="I43" s="23">
        <f>IF(AND(OR(I42=0,I42=""),F43=0),IF(F44=0,"",'Drilling Spec'!$C$26),H43)</f>
        <v>397.04362207560342</v>
      </c>
      <c r="J43" s="16">
        <f>MAX(0,I43-'Drilling Spec'!$C$30)</f>
        <v>317.04362207560342</v>
      </c>
      <c r="K43" s="18">
        <f>IFERROR(J43/'Drilling Spec'!$C$31,0)</f>
        <v>21.136241471706896</v>
      </c>
      <c r="L43" s="21">
        <f t="shared" si="4"/>
        <v>0</v>
      </c>
      <c r="M43" s="4">
        <f t="shared" si="14"/>
        <v>0</v>
      </c>
      <c r="N43" s="21">
        <f t="shared" si="5"/>
        <v>0</v>
      </c>
      <c r="O43" s="18">
        <f>(SQRT(4*O42*O42*vB*vB + 'Drilling Spec'!$C$48*O42 + WB*('Drilling Spec'!$C$49 + 2*lB*vB*(sB*WB + 2*vB*N43/(1+eB)) + 'Drilling Spec'!$C$50)) - 'Drilling Spec'!$C$51)/(2*vB)</f>
        <v>0</v>
      </c>
      <c r="P43" s="18">
        <f>IFERROR(((S43-'Drilling Spec'!$C$30)/'Drilling Spec'!$C$31)*'Drilling Spec'!$C$32,0)</f>
        <v>0</v>
      </c>
      <c r="Q43" s="18">
        <f t="shared" si="15"/>
        <v>0</v>
      </c>
      <c r="R43" s="18"/>
      <c r="S43" s="26" t="str">
        <f>IF(AND(OR(T42=0,T42=""),M43=0),IF(M44=0,"",'Drilling Spec'!$C$30),O43)</f>
        <v/>
      </c>
      <c r="U43" s="15">
        <f>E43*'Drilling Spec'!$C$22 + L43*'Drilling Spec'!$C$23</f>
        <v>0.4809756097560976</v>
      </c>
      <c r="V43" s="15">
        <f t="shared" si="16"/>
        <v>6.7336585365853683</v>
      </c>
      <c r="W43" s="15">
        <f t="shared" si="6"/>
        <v>5.2663414634146326</v>
      </c>
      <c r="X43" s="10"/>
      <c r="Y43" s="30">
        <f>IF(W43&lt;U44,'Drilling Spec'!$C$35,0)</f>
        <v>0</v>
      </c>
      <c r="AA43" s="4">
        <f t="shared" si="19"/>
        <v>22</v>
      </c>
      <c r="AB43" s="10"/>
      <c r="AC43" s="30">
        <f>IF('08-07-25-Scen7-GennyFail'!K44&gt;'08-07-25-Scen7-GennyFail'!AA43,'Drilling Spec'!$C$36,)</f>
        <v>6</v>
      </c>
      <c r="AE43" s="18">
        <f>(I43-'Drilling Spec'!$C$26)/'Drilling Spec'!$C$38</f>
        <v>54.507270345933904</v>
      </c>
      <c r="AF43" s="18">
        <f t="shared" si="7"/>
        <v>3.2395546686221337</v>
      </c>
      <c r="AG43" s="34">
        <f t="shared" si="8"/>
        <v>14.507270345933904</v>
      </c>
      <c r="AH43" s="10"/>
      <c r="AI43" s="26">
        <f>IF(C43="Camp Closed",AG43,IF(AG43&lt;'Drilling Spec'!$C$39,,'Drilling Spec'!$C$39))</f>
        <v>0</v>
      </c>
      <c r="AL43" s="16">
        <f t="shared" si="9"/>
        <v>-397.04362207560342</v>
      </c>
      <c r="AM43" s="16" t="e">
        <f t="shared" si="10"/>
        <v>#N/A</v>
      </c>
      <c r="AN43">
        <f>-'Drilling Spec'!$C$29</f>
        <v>-720</v>
      </c>
      <c r="AO43">
        <f>-'Drilling Spec'!$C$27</f>
        <v>-624</v>
      </c>
      <c r="AP43">
        <f>-'Drilling Spec'!$C$28</f>
        <v>-688</v>
      </c>
      <c r="AQ43" t="e">
        <f t="shared" si="11"/>
        <v>#N/A</v>
      </c>
      <c r="AR43" t="e">
        <f>IF(X43=0,NA(),-'Drilling Spec'!$C$29*0.1)</f>
        <v>#N/A</v>
      </c>
      <c r="AS43" t="e">
        <f>IF(Y43=0,NA(),-'Drilling Spec'!$C$29*0.1)</f>
        <v>#N/A</v>
      </c>
      <c r="AT43" t="e">
        <f>IF(AB43=0,NA(),-'Drilling Spec'!$C$29*0.2)</f>
        <v>#N/A</v>
      </c>
      <c r="AU43">
        <f>IF(AC43=0,NA(),-'Drilling Spec'!$C$29*0.2)</f>
        <v>-144</v>
      </c>
      <c r="AV43" t="e">
        <f>IF(AH43=0,NA(),-'Drilling Spec'!$C$29*0.3)</f>
        <v>#N/A</v>
      </c>
      <c r="AW43" t="e">
        <f>IF(AI43=0,NA(),-'Drilling Spec'!$C$29*0.3)</f>
        <v>#N/A</v>
      </c>
      <c r="AX43" s="29">
        <f t="shared" si="12"/>
        <v>5.2663414634146326</v>
      </c>
      <c r="AY43" s="29">
        <f t="shared" si="13"/>
        <v>0.86375852829310418</v>
      </c>
      <c r="AZ43" s="29">
        <f t="shared" si="17"/>
        <v>14.507270345933904</v>
      </c>
    </row>
    <row r="44" spans="1:79" x14ac:dyDescent="0.35">
      <c r="A44" s="28">
        <f t="shared" si="18"/>
        <v>46014</v>
      </c>
      <c r="B44" t="str">
        <f t="shared" si="0"/>
        <v>Tue</v>
      </c>
      <c r="C44" s="10" t="s">
        <v>9</v>
      </c>
      <c r="D44" s="10">
        <v>24</v>
      </c>
      <c r="E44" s="4">
        <f t="shared" si="1"/>
        <v>24</v>
      </c>
      <c r="F44" s="4">
        <f t="shared" si="2"/>
        <v>360</v>
      </c>
      <c r="G44" s="4">
        <f t="shared" si="3"/>
        <v>1440</v>
      </c>
      <c r="H44" s="15">
        <f>(SQRT(4*I43*I43*V*V + 'Drilling Spec'!$C$42*I43 + W*('Drilling Spec'!$C$43 + 2*l*V*(s*W + 2*V*G44/(1+e)) + 'Drilling Spec'!$C$44)) - 'Drilling Spec'!$C$45)/(2*V)</f>
        <v>416.08107640916654</v>
      </c>
      <c r="I44" s="23">
        <f>IF(AND(OR(I43=0,I43=""),F44=0),IF(F45=0,"",'Drilling Spec'!$C$26),H44)</f>
        <v>416.08107640916654</v>
      </c>
      <c r="J44" s="16">
        <f>MAX(0,I44-'Drilling Spec'!$C$30)</f>
        <v>336.08107640916654</v>
      </c>
      <c r="K44" s="18">
        <f>IFERROR(J44/'Drilling Spec'!$C$31,0)</f>
        <v>22.405405093944434</v>
      </c>
      <c r="L44" s="21">
        <f t="shared" si="4"/>
        <v>0</v>
      </c>
      <c r="M44" s="4">
        <f t="shared" si="14"/>
        <v>0</v>
      </c>
      <c r="N44" s="21">
        <f t="shared" si="5"/>
        <v>0</v>
      </c>
      <c r="O44" s="18">
        <f>(SQRT(4*O43*O43*vB*vB + 'Drilling Spec'!$C$48*O43 + WB*('Drilling Spec'!$C$49 + 2*lB*vB*(sB*WB + 2*vB*N44/(1+eB)) + 'Drilling Spec'!$C$50)) - 'Drilling Spec'!$C$51)/(2*vB)</f>
        <v>0</v>
      </c>
      <c r="P44" s="18">
        <f>IFERROR(((S44-'Drilling Spec'!$C$30)/'Drilling Spec'!$C$31)*'Drilling Spec'!$C$32,0)</f>
        <v>0</v>
      </c>
      <c r="Q44" s="18">
        <f t="shared" si="15"/>
        <v>0</v>
      </c>
      <c r="R44" s="18"/>
      <c r="S44" s="26" t="str">
        <f>IF(AND(OR(T43=0,T43=""),M44=0),IF(M45=0,"",'Drilling Spec'!$C$30),O44)</f>
        <v/>
      </c>
      <c r="U44" s="15">
        <f>E44*'Drilling Spec'!$C$22 + L44*'Drilling Spec'!$C$23</f>
        <v>0.4809756097560976</v>
      </c>
      <c r="V44" s="15">
        <f t="shared" si="16"/>
        <v>7.2146341463414663</v>
      </c>
      <c r="W44" s="15">
        <f t="shared" si="6"/>
        <v>4.7853658536585346</v>
      </c>
      <c r="X44" s="10"/>
      <c r="Y44" s="30">
        <f>IF(W44&lt;U45,'Drilling Spec'!$C$35,0)</f>
        <v>0</v>
      </c>
      <c r="AA44" s="4">
        <f t="shared" si="19"/>
        <v>28</v>
      </c>
      <c r="AB44" s="10"/>
      <c r="AC44" s="30">
        <f>IF('08-07-25-Scen7-GennyFail'!K45&gt;'08-07-25-Scen7-GennyFail'!AA44,'Drilling Spec'!$C$36,)</f>
        <v>0</v>
      </c>
      <c r="AE44" s="18">
        <f>(I44-'Drilling Spec'!$C$26)/'Drilling Spec'!$C$38</f>
        <v>57.680179401527759</v>
      </c>
      <c r="AF44" s="18">
        <f t="shared" si="7"/>
        <v>3.1729090555938555</v>
      </c>
      <c r="AG44" s="34">
        <f t="shared" si="8"/>
        <v>17.680179401527759</v>
      </c>
      <c r="AH44" s="10"/>
      <c r="AI44" s="26">
        <f>IF(C44="Camp Closed",AG44,IF(AG44&lt;'Drilling Spec'!$C$39,,'Drilling Spec'!$C$39))</f>
        <v>0</v>
      </c>
      <c r="AL44" s="16">
        <f t="shared" si="9"/>
        <v>-416.08107640916654</v>
      </c>
      <c r="AM44" s="16" t="e">
        <f t="shared" si="10"/>
        <v>#N/A</v>
      </c>
      <c r="AN44">
        <f>-'Drilling Spec'!$C$29</f>
        <v>-720</v>
      </c>
      <c r="AO44">
        <f>-'Drilling Spec'!$C$27</f>
        <v>-624</v>
      </c>
      <c r="AP44">
        <f>-'Drilling Spec'!$C$28</f>
        <v>-688</v>
      </c>
      <c r="AQ44" t="e">
        <f t="shared" si="11"/>
        <v>#N/A</v>
      </c>
      <c r="AR44" t="e">
        <f>IF(X44=0,NA(),-'Drilling Spec'!$C$29*0.1)</f>
        <v>#N/A</v>
      </c>
      <c r="AS44" t="e">
        <f>IF(Y44=0,NA(),-'Drilling Spec'!$C$29*0.1)</f>
        <v>#N/A</v>
      </c>
      <c r="AT44" t="e">
        <f>IF(AB44=0,NA(),-'Drilling Spec'!$C$29*0.2)</f>
        <v>#N/A</v>
      </c>
      <c r="AU44" t="e">
        <f>IF(AC44=0,NA(),-'Drilling Spec'!$C$29*0.2)</f>
        <v>#N/A</v>
      </c>
      <c r="AV44" t="e">
        <f>IF(AH44=0,NA(),-'Drilling Spec'!$C$29*0.3)</f>
        <v>#N/A</v>
      </c>
      <c r="AW44" t="e">
        <f>IF(AI44=0,NA(),-'Drilling Spec'!$C$29*0.3)</f>
        <v>#N/A</v>
      </c>
      <c r="AX44" s="29">
        <f t="shared" si="12"/>
        <v>4.7853658536585346</v>
      </c>
      <c r="AY44" s="29">
        <f t="shared" si="13"/>
        <v>5.5945949060555655</v>
      </c>
      <c r="AZ44" s="29">
        <f t="shared" si="17"/>
        <v>17.680179401527759</v>
      </c>
    </row>
    <row r="45" spans="1:79" x14ac:dyDescent="0.35">
      <c r="A45" s="28">
        <f t="shared" si="18"/>
        <v>46015</v>
      </c>
      <c r="B45" t="str">
        <f t="shared" si="0"/>
        <v>Wed</v>
      </c>
      <c r="C45" s="10" t="s">
        <v>9</v>
      </c>
      <c r="D45" s="10">
        <v>24</v>
      </c>
      <c r="E45" s="4">
        <f t="shared" si="1"/>
        <v>24</v>
      </c>
      <c r="F45" s="4">
        <f t="shared" si="2"/>
        <v>384</v>
      </c>
      <c r="G45" s="4">
        <f t="shared" si="3"/>
        <v>1440</v>
      </c>
      <c r="H45" s="15">
        <f>(SQRT(4*I44*I44*V*V + 'Drilling Spec'!$C$42*I44 + W*('Drilling Spec'!$C$43 + 2*l*V*(s*W + 2*V*G45/(1+e)) + 'Drilling Spec'!$C$44)) - 'Drilling Spec'!$C$45)/(2*V)</f>
        <v>434.74236555649424</v>
      </c>
      <c r="I45" s="23">
        <f>IF(AND(OR(I44=0,I44=""),F45=0),IF(F46=0,"",'Drilling Spec'!$C$26),H45)</f>
        <v>434.74236555649424</v>
      </c>
      <c r="J45" s="16">
        <f>MAX(0,I45-'Drilling Spec'!$C$30)</f>
        <v>354.74236555649424</v>
      </c>
      <c r="K45" s="18">
        <f>IFERROR(J45/'Drilling Spec'!$C$31,0)</f>
        <v>23.649491037099615</v>
      </c>
      <c r="L45" s="21">
        <f t="shared" si="4"/>
        <v>0</v>
      </c>
      <c r="M45" s="4">
        <f t="shared" si="14"/>
        <v>0</v>
      </c>
      <c r="N45" s="21">
        <f t="shared" si="5"/>
        <v>0</v>
      </c>
      <c r="O45" s="18">
        <f>(SQRT(4*O44*O44*vB*vB + 'Drilling Spec'!$C$48*O44 + WB*('Drilling Spec'!$C$49 + 2*lB*vB*(sB*WB + 2*vB*N45/(1+eB)) + 'Drilling Spec'!$C$50)) - 'Drilling Spec'!$C$51)/(2*vB)</f>
        <v>0</v>
      </c>
      <c r="P45" s="18">
        <f>IFERROR(((S45-'Drilling Spec'!$C$30)/'Drilling Spec'!$C$31)*'Drilling Spec'!$C$32,0)</f>
        <v>0</v>
      </c>
      <c r="Q45" s="18">
        <f t="shared" si="15"/>
        <v>0</v>
      </c>
      <c r="R45" s="18"/>
      <c r="S45" s="26" t="str">
        <f>IF(AND(OR(T44=0,T44=""),M45=0),IF(M46=0,"",'Drilling Spec'!$C$30),O45)</f>
        <v/>
      </c>
      <c r="U45" s="15">
        <f>E45*'Drilling Spec'!$C$22 + L45*'Drilling Spec'!$C$23</f>
        <v>0.4809756097560976</v>
      </c>
      <c r="V45" s="15">
        <f t="shared" si="16"/>
        <v>7.6956097560975643</v>
      </c>
      <c r="W45" s="15">
        <f t="shared" si="6"/>
        <v>4.3043902439024366</v>
      </c>
      <c r="X45" s="10"/>
      <c r="Y45" s="30">
        <f>IF(W45&lt;U46,'Drilling Spec'!$C$35,0)</f>
        <v>0</v>
      </c>
      <c r="AA45" s="4">
        <f t="shared" si="19"/>
        <v>28</v>
      </c>
      <c r="AB45" s="10"/>
      <c r="AC45" s="30">
        <f>IF('08-07-25-Scen7-GennyFail'!K46&gt;'08-07-25-Scen7-GennyFail'!AA45,'Drilling Spec'!$C$36,)</f>
        <v>0</v>
      </c>
      <c r="AE45" s="18">
        <f>(I45-'Drilling Spec'!$C$26)/'Drilling Spec'!$C$38</f>
        <v>60.790394259415706</v>
      </c>
      <c r="AF45" s="18">
        <f t="shared" si="7"/>
        <v>3.1102148578879465</v>
      </c>
      <c r="AG45" s="34">
        <f t="shared" si="8"/>
        <v>20.790394259415706</v>
      </c>
      <c r="AH45" s="10"/>
      <c r="AI45" s="26">
        <f>IF(C45="Camp Closed",AG45,IF(AG45&lt;'Drilling Spec'!$C$39,,'Drilling Spec'!$C$39))</f>
        <v>20</v>
      </c>
      <c r="AL45" s="16">
        <f t="shared" si="9"/>
        <v>-434.74236555649424</v>
      </c>
      <c r="AM45" s="16" t="e">
        <f t="shared" si="10"/>
        <v>#N/A</v>
      </c>
      <c r="AN45">
        <f>-'Drilling Spec'!$C$29</f>
        <v>-720</v>
      </c>
      <c r="AO45">
        <f>-'Drilling Spec'!$C$27</f>
        <v>-624</v>
      </c>
      <c r="AP45">
        <f>-'Drilling Spec'!$C$28</f>
        <v>-688</v>
      </c>
      <c r="AQ45" t="e">
        <f t="shared" si="11"/>
        <v>#N/A</v>
      </c>
      <c r="AR45" t="e">
        <f>IF(X45=0,NA(),-'Drilling Spec'!$C$29*0.1)</f>
        <v>#N/A</v>
      </c>
      <c r="AS45" t="e">
        <f>IF(Y45=0,NA(),-'Drilling Spec'!$C$29*0.1)</f>
        <v>#N/A</v>
      </c>
      <c r="AT45" t="e">
        <f>IF(AB45=0,NA(),-'Drilling Spec'!$C$29*0.2)</f>
        <v>#N/A</v>
      </c>
      <c r="AU45" t="e">
        <f>IF(AC45=0,NA(),-'Drilling Spec'!$C$29*0.2)</f>
        <v>#N/A</v>
      </c>
      <c r="AV45" t="e">
        <f>IF(AH45=0,NA(),-'Drilling Spec'!$C$29*0.3)</f>
        <v>#N/A</v>
      </c>
      <c r="AW45">
        <f>IF(AI45=0,NA(),-'Drilling Spec'!$C$29*0.3)</f>
        <v>-216</v>
      </c>
      <c r="AX45" s="29">
        <f t="shared" si="12"/>
        <v>4.3043902439024366</v>
      </c>
      <c r="AY45" s="29">
        <f t="shared" si="13"/>
        <v>4.3505089629003848</v>
      </c>
      <c r="AZ45" s="29">
        <f t="shared" si="17"/>
        <v>20.790394259415706</v>
      </c>
    </row>
    <row r="46" spans="1:79" x14ac:dyDescent="0.35">
      <c r="A46" s="28">
        <f t="shared" si="18"/>
        <v>46016</v>
      </c>
      <c r="B46" t="str">
        <f t="shared" si="0"/>
        <v>Thu</v>
      </c>
      <c r="C46" s="10" t="s">
        <v>7</v>
      </c>
      <c r="D46" s="10">
        <v>24</v>
      </c>
      <c r="E46" s="4">
        <f t="shared" si="1"/>
        <v>0</v>
      </c>
      <c r="F46" s="4">
        <f t="shared" si="2"/>
        <v>384</v>
      </c>
      <c r="G46" s="4">
        <f t="shared" si="3"/>
        <v>0</v>
      </c>
      <c r="H46" s="15">
        <f>(SQRT(4*I45*I45*V*V + 'Drilling Spec'!$C$42*I45 + W*('Drilling Spec'!$C$43 + 2*l*V*(s*W + 2*V*G46/(1+e)) + 'Drilling Spec'!$C$44)) - 'Drilling Spec'!$C$45)/(2*V)</f>
        <v>434.74236555649435</v>
      </c>
      <c r="I46" s="23">
        <f>IF(AND(OR(I45=0,I45=""),F46=0),IF(F47=0,"",'Drilling Spec'!$C$26),H46)</f>
        <v>434.74236555649435</v>
      </c>
      <c r="J46" s="16">
        <f>MAX(0,I46-'Drilling Spec'!$C$30)</f>
        <v>354.74236555649435</v>
      </c>
      <c r="K46" s="18">
        <f>IFERROR(J46/'Drilling Spec'!$C$31,0)</f>
        <v>23.649491037099622</v>
      </c>
      <c r="L46" s="21">
        <f t="shared" si="4"/>
        <v>0</v>
      </c>
      <c r="M46" s="4">
        <f t="shared" si="14"/>
        <v>0</v>
      </c>
      <c r="N46" s="21">
        <f t="shared" si="5"/>
        <v>0</v>
      </c>
      <c r="O46" s="18">
        <f>(SQRT(4*O45*O45*vB*vB + 'Drilling Spec'!$C$48*O45 + WB*('Drilling Spec'!$C$49 + 2*lB*vB*(sB*WB + 2*vB*N46/(1+eB)) + 'Drilling Spec'!$C$50)) - 'Drilling Spec'!$C$51)/(2*vB)</f>
        <v>0</v>
      </c>
      <c r="P46" s="18">
        <f>IFERROR(((S46-'Drilling Spec'!$C$30)/'Drilling Spec'!$C$31)*'Drilling Spec'!$C$32,0)</f>
        <v>0</v>
      </c>
      <c r="Q46" s="18">
        <f t="shared" si="15"/>
        <v>0</v>
      </c>
      <c r="R46" s="18"/>
      <c r="S46" s="26" t="str">
        <f>IF(AND(OR(T45=0,T45=""),M46=0),IF(M47=0,"",'Drilling Spec'!$C$30),O46)</f>
        <v/>
      </c>
      <c r="U46" s="15">
        <f>E46*'Drilling Spec'!$C$22 + L46*'Drilling Spec'!$C$23</f>
        <v>0</v>
      </c>
      <c r="V46" s="15">
        <f t="shared" si="16"/>
        <v>7.6956097560975643</v>
      </c>
      <c r="W46" s="15">
        <f t="shared" si="6"/>
        <v>4.3043902439024366</v>
      </c>
      <c r="X46" s="10"/>
      <c r="Y46" s="30">
        <f>IF(W46&lt;U47,'Drilling Spec'!$C$35,0)</f>
        <v>0</v>
      </c>
      <c r="AA46" s="4">
        <f t="shared" si="19"/>
        <v>28</v>
      </c>
      <c r="AB46" s="10"/>
      <c r="AC46" s="30">
        <f>IF('08-07-25-Scen7-GennyFail'!K47&gt;'08-07-25-Scen7-GennyFail'!AA46,'Drilling Spec'!$C$36,)</f>
        <v>0</v>
      </c>
      <c r="AE46" s="18">
        <f>(I46-'Drilling Spec'!$C$26)/'Drilling Spec'!$C$38</f>
        <v>60.790394259415727</v>
      </c>
      <c r="AF46" s="18">
        <f t="shared" si="7"/>
        <v>2.1316282072803006E-14</v>
      </c>
      <c r="AG46" s="34">
        <f t="shared" si="8"/>
        <v>0.79039425941572716</v>
      </c>
      <c r="AH46" s="10"/>
      <c r="AI46" s="26">
        <f>IF(C46="Camp Closed",AG46,IF(AG46&lt;'Drilling Spec'!$C$39,,'Drilling Spec'!$C$39))</f>
        <v>0</v>
      </c>
      <c r="AL46" s="16">
        <f t="shared" si="9"/>
        <v>-434.74236555649435</v>
      </c>
      <c r="AM46" s="16" t="e">
        <f t="shared" si="10"/>
        <v>#N/A</v>
      </c>
      <c r="AN46">
        <f>-'Drilling Spec'!$C$29</f>
        <v>-720</v>
      </c>
      <c r="AO46">
        <f>-'Drilling Spec'!$C$27</f>
        <v>-624</v>
      </c>
      <c r="AP46">
        <f>-'Drilling Spec'!$C$28</f>
        <v>-688</v>
      </c>
      <c r="AQ46" t="e">
        <f t="shared" si="11"/>
        <v>#N/A</v>
      </c>
      <c r="AR46" t="e">
        <f>IF(X46=0,NA(),-'Drilling Spec'!$C$29*0.1)</f>
        <v>#N/A</v>
      </c>
      <c r="AS46" t="e">
        <f>IF(Y46=0,NA(),-'Drilling Spec'!$C$29*0.1)</f>
        <v>#N/A</v>
      </c>
      <c r="AT46" t="e">
        <f>IF(AB46=0,NA(),-'Drilling Spec'!$C$29*0.2)</f>
        <v>#N/A</v>
      </c>
      <c r="AU46" t="e">
        <f>IF(AC46=0,NA(),-'Drilling Spec'!$C$29*0.2)</f>
        <v>#N/A</v>
      </c>
      <c r="AV46" t="e">
        <f>IF(AH46=0,NA(),-'Drilling Spec'!$C$29*0.3)</f>
        <v>#N/A</v>
      </c>
      <c r="AW46" t="e">
        <f>IF(AI46=0,NA(),-'Drilling Spec'!$C$29*0.3)</f>
        <v>#N/A</v>
      </c>
      <c r="AX46" s="29">
        <f t="shared" si="12"/>
        <v>4.3043902439024366</v>
      </c>
      <c r="AY46" s="29">
        <f t="shared" si="13"/>
        <v>4.3505089629003777</v>
      </c>
      <c r="AZ46" s="29">
        <f t="shared" si="17"/>
        <v>0.79039425941572716</v>
      </c>
      <c r="BA46" s="5" t="s">
        <v>110</v>
      </c>
      <c r="BB46" s="5">
        <f>COUNTIF(C3:C112,"Drilling")</f>
        <v>36</v>
      </c>
      <c r="BC46" s="5" t="s">
        <v>112</v>
      </c>
      <c r="BD46" s="5">
        <f>MAX(F3:F112)</f>
        <v>816</v>
      </c>
      <c r="BE46" s="5" t="s">
        <v>111</v>
      </c>
    </row>
    <row r="47" spans="1:79" x14ac:dyDescent="0.35">
      <c r="A47" s="28">
        <f t="shared" si="18"/>
        <v>46017</v>
      </c>
      <c r="B47" t="str">
        <f t="shared" si="0"/>
        <v>Fri</v>
      </c>
      <c r="C47" s="10" t="s">
        <v>9</v>
      </c>
      <c r="D47" s="10">
        <v>24</v>
      </c>
      <c r="E47" s="4">
        <f t="shared" si="1"/>
        <v>24</v>
      </c>
      <c r="F47" s="4">
        <f t="shared" si="2"/>
        <v>408</v>
      </c>
      <c r="G47" s="4">
        <f t="shared" si="3"/>
        <v>1440</v>
      </c>
      <c r="H47" s="15">
        <f>(SQRT(4*I46*I46*V*V + 'Drilling Spec'!$C$42*I46 + W*('Drilling Spec'!$C$43 + 2*l*V*(s*W + 2*V*G47/(1+e)) + 'Drilling Spec'!$C$44)) - 'Drilling Spec'!$C$45)/(2*V)</f>
        <v>453.04894389158022</v>
      </c>
      <c r="I47" s="23">
        <f>IF(AND(OR(I46=0,I46=""),F47=0),IF(F48=0,"",'Drilling Spec'!$C$26),H47)</f>
        <v>453.04894389158022</v>
      </c>
      <c r="J47" s="16">
        <f>MAX(0,I47-'Drilling Spec'!$C$30)</f>
        <v>373.04894389158022</v>
      </c>
      <c r="K47" s="18">
        <f>IFERROR(J47/'Drilling Spec'!$C$31,0)</f>
        <v>24.869929592772014</v>
      </c>
      <c r="L47" s="21">
        <f t="shared" si="4"/>
        <v>0</v>
      </c>
      <c r="M47" s="4">
        <f t="shared" si="14"/>
        <v>0</v>
      </c>
      <c r="N47" s="21">
        <f t="shared" si="5"/>
        <v>0</v>
      </c>
      <c r="O47" s="18">
        <f>(SQRT(4*O46*O46*vB*vB + 'Drilling Spec'!$C$48*O46 + WB*('Drilling Spec'!$C$49 + 2*lB*vB*(sB*WB + 2*vB*N47/(1+eB)) + 'Drilling Spec'!$C$50)) - 'Drilling Spec'!$C$51)/(2*vB)</f>
        <v>0</v>
      </c>
      <c r="P47" s="18">
        <f>IFERROR(((S47-'Drilling Spec'!$C$30)/'Drilling Spec'!$C$31)*'Drilling Spec'!$C$32,0)</f>
        <v>0</v>
      </c>
      <c r="Q47" s="18">
        <f t="shared" si="15"/>
        <v>0</v>
      </c>
      <c r="R47" s="18"/>
      <c r="S47" s="26" t="str">
        <f>IF(AND(OR(T46=0,T46=""),M47=0),IF(M48=0,"",'Drilling Spec'!$C$30),O47)</f>
        <v/>
      </c>
      <c r="U47" s="15">
        <f>E47*'Drilling Spec'!$C$22 + L47*'Drilling Spec'!$C$23</f>
        <v>0.4809756097560976</v>
      </c>
      <c r="V47" s="15">
        <f t="shared" si="16"/>
        <v>8.1765853658536614</v>
      </c>
      <c r="W47" s="15">
        <f t="shared" si="6"/>
        <v>3.8234146341463391</v>
      </c>
      <c r="X47" s="10"/>
      <c r="Y47" s="30">
        <f>IF(W47&lt;U48,'Drilling Spec'!$C$35,0)</f>
        <v>0</v>
      </c>
      <c r="AA47" s="4">
        <f t="shared" si="19"/>
        <v>28</v>
      </c>
      <c r="AB47" s="10"/>
      <c r="AC47" s="30">
        <f>IF('08-07-25-Scen7-GennyFail'!K48&gt;'08-07-25-Scen7-GennyFail'!AA47,'Drilling Spec'!$C$36,)</f>
        <v>0</v>
      </c>
      <c r="AE47" s="18">
        <f>(I47-'Drilling Spec'!$C$26)/'Drilling Spec'!$C$38</f>
        <v>63.841490648596704</v>
      </c>
      <c r="AF47" s="18">
        <f t="shared" si="7"/>
        <v>3.0510963891809766</v>
      </c>
      <c r="AG47" s="34">
        <f t="shared" si="8"/>
        <v>3.8414906485967037</v>
      </c>
      <c r="AH47" s="10"/>
      <c r="AI47" s="26">
        <f>IF(C47="Camp Closed",AG47,IF(AG47&lt;'Drilling Spec'!$C$39,,'Drilling Spec'!$C$39))</f>
        <v>0</v>
      </c>
      <c r="AL47" s="16">
        <f t="shared" si="9"/>
        <v>-453.04894389158022</v>
      </c>
      <c r="AM47" s="16" t="e">
        <f t="shared" si="10"/>
        <v>#N/A</v>
      </c>
      <c r="AN47">
        <f>-'Drilling Spec'!$C$29</f>
        <v>-720</v>
      </c>
      <c r="AO47">
        <f>-'Drilling Spec'!$C$27</f>
        <v>-624</v>
      </c>
      <c r="AP47">
        <f>-'Drilling Spec'!$C$28</f>
        <v>-688</v>
      </c>
      <c r="AQ47" t="e">
        <f t="shared" si="11"/>
        <v>#N/A</v>
      </c>
      <c r="AR47" t="e">
        <f>IF(X47=0,NA(),-'Drilling Spec'!$C$29*0.1)</f>
        <v>#N/A</v>
      </c>
      <c r="AS47" t="e">
        <f>IF(Y47=0,NA(),-'Drilling Spec'!$C$29*0.1)</f>
        <v>#N/A</v>
      </c>
      <c r="AT47" t="e">
        <f>IF(AB47=0,NA(),-'Drilling Spec'!$C$29*0.2)</f>
        <v>#N/A</v>
      </c>
      <c r="AU47" t="e">
        <f>IF(AC47=0,NA(),-'Drilling Spec'!$C$29*0.2)</f>
        <v>#N/A</v>
      </c>
      <c r="AV47" t="e">
        <f>IF(AH47=0,NA(),-'Drilling Spec'!$C$29*0.3)</f>
        <v>#N/A</v>
      </c>
      <c r="AW47" t="e">
        <f>IF(AI47=0,NA(),-'Drilling Spec'!$C$29*0.3)</f>
        <v>#N/A</v>
      </c>
      <c r="AX47" s="29">
        <f t="shared" si="12"/>
        <v>3.8234146341463391</v>
      </c>
      <c r="AY47" s="29">
        <f t="shared" si="13"/>
        <v>3.1300704072279864</v>
      </c>
      <c r="AZ47" s="29">
        <f t="shared" si="17"/>
        <v>3.8414906485967037</v>
      </c>
      <c r="BA47" s="5" t="s">
        <v>109</v>
      </c>
      <c r="BB47" s="5">
        <f>COUNTIF(C3:C112,"Bailing")</f>
        <v>6</v>
      </c>
      <c r="BC47" s="5" t="s">
        <v>112</v>
      </c>
      <c r="BD47" s="5">
        <f>MAX(M3:M112)</f>
        <v>132</v>
      </c>
      <c r="BE47" s="5" t="s">
        <v>111</v>
      </c>
    </row>
    <row r="48" spans="1:79" x14ac:dyDescent="0.35">
      <c r="A48" s="28">
        <f t="shared" si="18"/>
        <v>46018</v>
      </c>
      <c r="B48" t="str">
        <f t="shared" si="0"/>
        <v>Sat</v>
      </c>
      <c r="C48" s="10" t="s">
        <v>9</v>
      </c>
      <c r="D48" s="10">
        <v>24</v>
      </c>
      <c r="E48" s="4">
        <f t="shared" si="1"/>
        <v>24</v>
      </c>
      <c r="F48" s="4">
        <f t="shared" si="2"/>
        <v>432</v>
      </c>
      <c r="G48" s="4">
        <f t="shared" si="3"/>
        <v>1440</v>
      </c>
      <c r="H48" s="15">
        <f>(SQRT(4*I47*I47*V*V + 'Drilling Spec'!$C$42*I47 + W*('Drilling Spec'!$C$43 + 2*l*V*(s*W + 2*V*G48/(1+e)) + 'Drilling Spec'!$C$44)) - 'Drilling Spec'!$C$45)/(2*V)</f>
        <v>471.02030076512392</v>
      </c>
      <c r="I48" s="23">
        <f>IF(AND(OR(I47=0,I47=""),F48=0),IF(F49=0,"",'Drilling Spec'!$C$26),H48)</f>
        <v>471.02030076512392</v>
      </c>
      <c r="J48" s="16">
        <f>MAX(0,I48-'Drilling Spec'!$C$30)</f>
        <v>391.02030076512392</v>
      </c>
      <c r="K48" s="18">
        <f>IFERROR(J48/'Drilling Spec'!$C$31,0)</f>
        <v>26.068020051008261</v>
      </c>
      <c r="L48" s="21">
        <f t="shared" si="4"/>
        <v>0</v>
      </c>
      <c r="M48" s="4">
        <f t="shared" si="14"/>
        <v>0</v>
      </c>
      <c r="N48" s="21">
        <f t="shared" si="5"/>
        <v>0</v>
      </c>
      <c r="O48" s="18">
        <f>(SQRT(4*O47*O47*vB*vB + 'Drilling Spec'!$C$48*O47 + WB*('Drilling Spec'!$C$49 + 2*lB*vB*(sB*WB + 2*vB*N48/(1+eB)) + 'Drilling Spec'!$C$50)) - 'Drilling Spec'!$C$51)/(2*vB)</f>
        <v>0</v>
      </c>
      <c r="P48" s="18">
        <f>IFERROR(((S48-'Drilling Spec'!$C$30)/'Drilling Spec'!$C$31)*'Drilling Spec'!$C$32,0)</f>
        <v>0</v>
      </c>
      <c r="Q48" s="18">
        <f t="shared" si="15"/>
        <v>0</v>
      </c>
      <c r="R48" s="18"/>
      <c r="S48" s="26" t="str">
        <f>IF(AND(OR(T47=0,T47=""),M48=0),IF(M49=0,"",'Drilling Spec'!$C$30),O48)</f>
        <v/>
      </c>
      <c r="U48" s="15">
        <f>E48*'Drilling Spec'!$C$22 + L48*'Drilling Spec'!$C$23</f>
        <v>0.4809756097560976</v>
      </c>
      <c r="V48" s="15">
        <f t="shared" si="16"/>
        <v>8.6575609756097585</v>
      </c>
      <c r="W48" s="15">
        <f t="shared" si="6"/>
        <v>3.3424390243902415</v>
      </c>
      <c r="X48" s="10"/>
      <c r="Y48" s="30">
        <f>IF(W48&lt;U49,'Drilling Spec'!$C$35,0)</f>
        <v>0</v>
      </c>
      <c r="AA48" s="4">
        <f t="shared" si="19"/>
        <v>28</v>
      </c>
      <c r="AB48" s="10"/>
      <c r="AC48" s="30">
        <f>IF('08-07-25-Scen7-GennyFail'!K49&gt;'08-07-25-Scen7-GennyFail'!AA48,'Drilling Spec'!$C$36,)</f>
        <v>0</v>
      </c>
      <c r="AE48" s="18">
        <f>(I48-'Drilling Spec'!$C$26)/'Drilling Spec'!$C$38</f>
        <v>66.836716794187325</v>
      </c>
      <c r="AF48" s="18">
        <f t="shared" si="7"/>
        <v>2.9952261455906211</v>
      </c>
      <c r="AG48" s="34">
        <f t="shared" si="8"/>
        <v>6.8367167941873248</v>
      </c>
      <c r="AH48" s="10"/>
      <c r="AI48" s="26">
        <f>IF(C48="Camp Closed",AG48,IF(AG48&lt;'Drilling Spec'!$C$39,,'Drilling Spec'!$C$39))</f>
        <v>0</v>
      </c>
      <c r="AL48" s="16">
        <f t="shared" si="9"/>
        <v>-471.02030076512392</v>
      </c>
      <c r="AM48" s="16" t="e">
        <f t="shared" si="10"/>
        <v>#N/A</v>
      </c>
      <c r="AN48">
        <f>-'Drilling Spec'!$C$29</f>
        <v>-720</v>
      </c>
      <c r="AO48">
        <f>-'Drilling Spec'!$C$27</f>
        <v>-624</v>
      </c>
      <c r="AP48">
        <f>-'Drilling Spec'!$C$28</f>
        <v>-688</v>
      </c>
      <c r="AQ48" t="e">
        <f t="shared" si="11"/>
        <v>#N/A</v>
      </c>
      <c r="AR48" t="e">
        <f>IF(X48=0,NA(),-'Drilling Spec'!$C$29*0.1)</f>
        <v>#N/A</v>
      </c>
      <c r="AS48" t="e">
        <f>IF(Y48=0,NA(),-'Drilling Spec'!$C$29*0.1)</f>
        <v>#N/A</v>
      </c>
      <c r="AT48" t="e">
        <f>IF(AB48=0,NA(),-'Drilling Spec'!$C$29*0.2)</f>
        <v>#N/A</v>
      </c>
      <c r="AU48" t="e">
        <f>IF(AC48=0,NA(),-'Drilling Spec'!$C$29*0.2)</f>
        <v>#N/A</v>
      </c>
      <c r="AV48" t="e">
        <f>IF(AH48=0,NA(),-'Drilling Spec'!$C$29*0.3)</f>
        <v>#N/A</v>
      </c>
      <c r="AW48" t="e">
        <f>IF(AI48=0,NA(),-'Drilling Spec'!$C$29*0.3)</f>
        <v>#N/A</v>
      </c>
      <c r="AX48" s="29">
        <f t="shared" si="12"/>
        <v>3.3424390243902415</v>
      </c>
      <c r="AY48" s="29">
        <f t="shared" si="13"/>
        <v>1.9319799489917386</v>
      </c>
      <c r="AZ48" s="29">
        <f t="shared" si="17"/>
        <v>6.8367167941873248</v>
      </c>
    </row>
    <row r="49" spans="1:57" x14ac:dyDescent="0.35">
      <c r="A49" s="28">
        <f t="shared" si="18"/>
        <v>46019</v>
      </c>
      <c r="B49" t="str">
        <f t="shared" si="0"/>
        <v>Sun</v>
      </c>
      <c r="C49" s="10" t="s">
        <v>9</v>
      </c>
      <c r="D49" s="10">
        <v>24</v>
      </c>
      <c r="E49" s="4">
        <f t="shared" si="1"/>
        <v>24</v>
      </c>
      <c r="F49" s="4">
        <f t="shared" si="2"/>
        <v>456</v>
      </c>
      <c r="G49" s="4">
        <f t="shared" si="3"/>
        <v>1440</v>
      </c>
      <c r="H49" s="15">
        <f>(SQRT(4*I48*I48*V*V + 'Drilling Spec'!$C$42*I48 + W*('Drilling Spec'!$C$43 + 2*l*V*(s*W + 2*V*G49/(1+e)) + 'Drilling Spec'!$C$44)) - 'Drilling Spec'!$C$45)/(2*V)</f>
        <v>488.67420360675374</v>
      </c>
      <c r="I49" s="23">
        <f>IF(AND(OR(I48=0,I48=""),F49=0),IF(F50=0,"",'Drilling Spec'!$C$26),H49)</f>
        <v>488.67420360675374</v>
      </c>
      <c r="J49" s="16">
        <f>MAX(0,I49-'Drilling Spec'!$C$30)</f>
        <v>408.67420360675374</v>
      </c>
      <c r="K49" s="18">
        <f>IFERROR(J49/'Drilling Spec'!$C$31,0)</f>
        <v>27.244946907116915</v>
      </c>
      <c r="L49" s="21">
        <f t="shared" si="4"/>
        <v>0</v>
      </c>
      <c r="M49" s="4">
        <f t="shared" si="14"/>
        <v>0</v>
      </c>
      <c r="N49" s="21">
        <f t="shared" si="5"/>
        <v>0</v>
      </c>
      <c r="O49" s="18">
        <f>(SQRT(4*O48*O48*vB*vB + 'Drilling Spec'!$C$48*O48 + WB*('Drilling Spec'!$C$49 + 2*lB*vB*(sB*WB + 2*vB*N49/(1+eB)) + 'Drilling Spec'!$C$50)) - 'Drilling Spec'!$C$51)/(2*vB)</f>
        <v>0</v>
      </c>
      <c r="P49" s="18">
        <f>IFERROR(((S49-'Drilling Spec'!$C$30)/'Drilling Spec'!$C$31)*'Drilling Spec'!$C$32,0)</f>
        <v>0</v>
      </c>
      <c r="Q49" s="18">
        <f t="shared" si="15"/>
        <v>0</v>
      </c>
      <c r="R49" s="18"/>
      <c r="S49" s="26" t="str">
        <f>IF(AND(OR(T48=0,T48=""),M49=0),IF(M50=0,"",'Drilling Spec'!$C$30),O49)</f>
        <v/>
      </c>
      <c r="U49" s="15">
        <f>E49*'Drilling Spec'!$C$22 + L49*'Drilling Spec'!$C$23</f>
        <v>0.4809756097560976</v>
      </c>
      <c r="V49" s="15">
        <f t="shared" si="16"/>
        <v>9.1385365853658556</v>
      </c>
      <c r="W49" s="15">
        <f t="shared" si="6"/>
        <v>2.861463414634144</v>
      </c>
      <c r="X49" s="10"/>
      <c r="Y49" s="30">
        <f>IF(W49&lt;U50,'Drilling Spec'!$C$35,0)</f>
        <v>0</v>
      </c>
      <c r="AA49" s="4">
        <f t="shared" si="19"/>
        <v>28</v>
      </c>
      <c r="AB49" s="10"/>
      <c r="AC49" s="30">
        <f>IF('08-07-25-Scen7-GennyFail'!K50&gt;'08-07-25-Scen7-GennyFail'!AA49,'Drilling Spec'!$C$36,)</f>
        <v>6</v>
      </c>
      <c r="AE49" s="18">
        <f>(I49-'Drilling Spec'!$C$26)/'Drilling Spec'!$C$38</f>
        <v>69.779033934458951</v>
      </c>
      <c r="AF49" s="18">
        <f t="shared" si="7"/>
        <v>2.9423171402716264</v>
      </c>
      <c r="AG49" s="34">
        <f t="shared" si="8"/>
        <v>9.7790339344589512</v>
      </c>
      <c r="AH49" s="10"/>
      <c r="AI49" s="26">
        <f>IF(C49="Camp Closed",AG49,IF(AG49&lt;'Drilling Spec'!$C$39,,'Drilling Spec'!$C$39))</f>
        <v>0</v>
      </c>
      <c r="AL49" s="16">
        <f t="shared" si="9"/>
        <v>-488.67420360675374</v>
      </c>
      <c r="AM49" s="16" t="e">
        <f t="shared" si="10"/>
        <v>#N/A</v>
      </c>
      <c r="AN49">
        <f>-'Drilling Spec'!$C$29</f>
        <v>-720</v>
      </c>
      <c r="AO49">
        <f>-'Drilling Spec'!$C$27</f>
        <v>-624</v>
      </c>
      <c r="AP49">
        <f>-'Drilling Spec'!$C$28</f>
        <v>-688</v>
      </c>
      <c r="AQ49" t="e">
        <f t="shared" si="11"/>
        <v>#N/A</v>
      </c>
      <c r="AR49" t="e">
        <f>IF(X49=0,NA(),-'Drilling Spec'!$C$29*0.1)</f>
        <v>#N/A</v>
      </c>
      <c r="AS49" t="e">
        <f>IF(Y49=0,NA(),-'Drilling Spec'!$C$29*0.1)</f>
        <v>#N/A</v>
      </c>
      <c r="AT49" t="e">
        <f>IF(AB49=0,NA(),-'Drilling Spec'!$C$29*0.2)</f>
        <v>#N/A</v>
      </c>
      <c r="AU49">
        <f>IF(AC49=0,NA(),-'Drilling Spec'!$C$29*0.2)</f>
        <v>-144</v>
      </c>
      <c r="AV49" t="e">
        <f>IF(AH49=0,NA(),-'Drilling Spec'!$C$29*0.3)</f>
        <v>#N/A</v>
      </c>
      <c r="AW49" t="e">
        <f>IF(AI49=0,NA(),-'Drilling Spec'!$C$29*0.3)</f>
        <v>#N/A</v>
      </c>
      <c r="AX49" s="29">
        <f t="shared" si="12"/>
        <v>2.861463414634144</v>
      </c>
      <c r="AY49" s="29">
        <f t="shared" si="13"/>
        <v>0.75505309288308453</v>
      </c>
      <c r="AZ49" s="29">
        <f t="shared" si="17"/>
        <v>9.7790339344589512</v>
      </c>
      <c r="BA49" s="5" t="s">
        <v>117</v>
      </c>
      <c r="BB49" s="5">
        <f>BB52-BB50</f>
        <v>68</v>
      </c>
      <c r="BC49" s="5" t="s">
        <v>112</v>
      </c>
      <c r="BD49" s="5">
        <f>SUM(D3:D112)</f>
        <v>1296</v>
      </c>
      <c r="BE49" s="5" t="s">
        <v>111</v>
      </c>
    </row>
    <row r="50" spans="1:57" x14ac:dyDescent="0.35">
      <c r="A50" s="28">
        <f t="shared" si="18"/>
        <v>46020</v>
      </c>
      <c r="B50" t="str">
        <f t="shared" si="0"/>
        <v>Mon</v>
      </c>
      <c r="C50" s="10" t="s">
        <v>9</v>
      </c>
      <c r="D50" s="10">
        <v>24</v>
      </c>
      <c r="E50" s="4">
        <f t="shared" si="1"/>
        <v>24</v>
      </c>
      <c r="F50" s="4">
        <f t="shared" si="2"/>
        <v>480</v>
      </c>
      <c r="G50" s="4">
        <f t="shared" si="3"/>
        <v>1440</v>
      </c>
      <c r="H50" s="15">
        <f>(SQRT(4*I49*I49*V*V + 'Drilling Spec'!$C$42*I49 + W*('Drilling Spec'!$C$43 + 2*l*V*(s*W + 2*V*G50/(1+e)) + 'Drilling Spec'!$C$44)) - 'Drilling Spec'!$C$45)/(2*V)</f>
        <v>506.02690367370093</v>
      </c>
      <c r="I50" s="23">
        <f>IF(AND(OR(I49=0,I49=""),F50=0),IF(F51=0,"",'Drilling Spec'!$C$26),H50)</f>
        <v>506.02690367370093</v>
      </c>
      <c r="J50" s="16">
        <f>MAX(0,I50-'Drilling Spec'!$C$30)</f>
        <v>426.02690367370093</v>
      </c>
      <c r="K50" s="18">
        <f>IFERROR(J50/'Drilling Spec'!$C$31,0)</f>
        <v>28.401793578246728</v>
      </c>
      <c r="L50" s="21">
        <f t="shared" si="4"/>
        <v>0</v>
      </c>
      <c r="M50" s="4">
        <f t="shared" si="14"/>
        <v>0</v>
      </c>
      <c r="N50" s="21">
        <f t="shared" si="5"/>
        <v>0</v>
      </c>
      <c r="O50" s="18">
        <f>(SQRT(4*O49*O49*vB*vB + 'Drilling Spec'!$C$48*O49 + WB*('Drilling Spec'!$C$49 + 2*lB*vB*(sB*WB + 2*vB*N50/(1+eB)) + 'Drilling Spec'!$C$50)) - 'Drilling Spec'!$C$51)/(2*vB)</f>
        <v>0</v>
      </c>
      <c r="P50" s="18">
        <f>IFERROR(((S50-'Drilling Spec'!$C$30)/'Drilling Spec'!$C$31)*'Drilling Spec'!$C$32,0)</f>
        <v>0</v>
      </c>
      <c r="Q50" s="18">
        <f t="shared" si="15"/>
        <v>0</v>
      </c>
      <c r="R50" s="18"/>
      <c r="S50" s="26" t="str">
        <f>IF(AND(OR(T49=0,T49=""),M50=0),IF(M51=0,"",'Drilling Spec'!$C$30),O50)</f>
        <v/>
      </c>
      <c r="U50" s="15">
        <f>E50*'Drilling Spec'!$C$22 + L50*'Drilling Spec'!$C$23</f>
        <v>0.4809756097560976</v>
      </c>
      <c r="V50" s="15">
        <f t="shared" si="16"/>
        <v>9.6195121951219527</v>
      </c>
      <c r="W50" s="15">
        <f t="shared" si="6"/>
        <v>2.3804878048780465</v>
      </c>
      <c r="X50" s="10"/>
      <c r="Y50" s="30">
        <f>IF(W50&lt;U51,'Drilling Spec'!$C$35,0)</f>
        <v>0</v>
      </c>
      <c r="AA50" s="4">
        <f t="shared" si="19"/>
        <v>34</v>
      </c>
      <c r="AB50" s="10"/>
      <c r="AC50" s="30">
        <f>IF('08-07-25-Scen7-GennyFail'!K51&gt;'08-07-25-Scen7-GennyFail'!AA50,'Drilling Spec'!$C$36,)</f>
        <v>0</v>
      </c>
      <c r="AE50" s="18">
        <f>(I50-'Drilling Spec'!$C$26)/'Drilling Spec'!$C$38</f>
        <v>72.671150612283483</v>
      </c>
      <c r="AF50" s="18">
        <f t="shared" si="7"/>
        <v>2.8921166778245322</v>
      </c>
      <c r="AG50" s="34">
        <f t="shared" si="8"/>
        <v>12.671150612283483</v>
      </c>
      <c r="AH50" s="10"/>
      <c r="AI50" s="26">
        <f>IF(C50="Camp Closed",AG50,IF(AG50&lt;'Drilling Spec'!$C$39,,'Drilling Spec'!$C$39))</f>
        <v>0</v>
      </c>
      <c r="AL50" s="16">
        <f t="shared" si="9"/>
        <v>-506.02690367370093</v>
      </c>
      <c r="AM50" s="16" t="e">
        <f t="shared" si="10"/>
        <v>#N/A</v>
      </c>
      <c r="AN50">
        <f>-'Drilling Spec'!$C$29</f>
        <v>-720</v>
      </c>
      <c r="AO50">
        <f>-'Drilling Spec'!$C$27</f>
        <v>-624</v>
      </c>
      <c r="AP50">
        <f>-'Drilling Spec'!$C$28</f>
        <v>-688</v>
      </c>
      <c r="AQ50" t="e">
        <f t="shared" si="11"/>
        <v>#N/A</v>
      </c>
      <c r="AR50" t="e">
        <f>IF(X50=0,NA(),-'Drilling Spec'!$C$29*0.1)</f>
        <v>#N/A</v>
      </c>
      <c r="AS50" t="e">
        <f>IF(Y50=0,NA(),-'Drilling Spec'!$C$29*0.1)</f>
        <v>#N/A</v>
      </c>
      <c r="AT50" t="e">
        <f>IF(AB50=0,NA(),-'Drilling Spec'!$C$29*0.2)</f>
        <v>#N/A</v>
      </c>
      <c r="AU50" t="e">
        <f>IF(AC50=0,NA(),-'Drilling Spec'!$C$29*0.2)</f>
        <v>#N/A</v>
      </c>
      <c r="AV50" t="e">
        <f>IF(AH50=0,NA(),-'Drilling Spec'!$C$29*0.3)</f>
        <v>#N/A</v>
      </c>
      <c r="AW50" t="e">
        <f>IF(AI50=0,NA(),-'Drilling Spec'!$C$29*0.3)</f>
        <v>#N/A</v>
      </c>
      <c r="AX50" s="29">
        <f t="shared" si="12"/>
        <v>2.3804878048780465</v>
      </c>
      <c r="AY50" s="29">
        <f t="shared" si="13"/>
        <v>5.5982064217532717</v>
      </c>
      <c r="AZ50" s="29">
        <f t="shared" si="17"/>
        <v>12.671150612283483</v>
      </c>
      <c r="BA50" s="5" t="s">
        <v>108</v>
      </c>
      <c r="BB50" s="5">
        <f>COUNTIF(C3:C112,"REST")</f>
        <v>11</v>
      </c>
      <c r="BC50" s="5" t="s">
        <v>112</v>
      </c>
    </row>
    <row r="51" spans="1:57" x14ac:dyDescent="0.35">
      <c r="A51" s="28">
        <f t="shared" si="18"/>
        <v>46021</v>
      </c>
      <c r="B51" t="str">
        <f t="shared" si="0"/>
        <v>Tue</v>
      </c>
      <c r="C51" s="10" t="s">
        <v>9</v>
      </c>
      <c r="D51" s="10">
        <v>24</v>
      </c>
      <c r="E51" s="4">
        <f t="shared" si="1"/>
        <v>24</v>
      </c>
      <c r="F51" s="4">
        <f t="shared" si="2"/>
        <v>504</v>
      </c>
      <c r="G51" s="4">
        <f t="shared" si="3"/>
        <v>1440</v>
      </c>
      <c r="H51" s="15">
        <f>(SQRT(4*I50*I50*V*V + 'Drilling Spec'!$C$42*I50 + W*('Drilling Spec'!$C$43 + 2*l*V*(s*W + 2*V*G51/(1+e)) + 'Drilling Spec'!$C$44)) - 'Drilling Spec'!$C$45)/(2*V)</f>
        <v>523.09331123018524</v>
      </c>
      <c r="I51" s="23">
        <f>IF(AND(OR(I50=0,I50=""),F51=0),IF(F52=0,"",'Drilling Spec'!$C$26),H51)</f>
        <v>523.09331123018524</v>
      </c>
      <c r="J51" s="16">
        <f>MAX(0,I51-'Drilling Spec'!$C$30)</f>
        <v>443.09331123018524</v>
      </c>
      <c r="K51" s="18">
        <f>IFERROR(J51/'Drilling Spec'!$C$31,0)</f>
        <v>29.539554082012348</v>
      </c>
      <c r="L51" s="21">
        <f t="shared" si="4"/>
        <v>0</v>
      </c>
      <c r="M51" s="4">
        <f>(M50+L51)</f>
        <v>0</v>
      </c>
      <c r="N51" s="21">
        <f t="shared" si="5"/>
        <v>0</v>
      </c>
      <c r="O51" s="18">
        <f>(SQRT(4*O50*O50*vB*vB + 'Drilling Spec'!$C$48*O50 + WB*('Drilling Spec'!$C$49 + 2*lB*vB*(sB*WB + 2*vB*N51/(1+eB)) + 'Drilling Spec'!$C$50)) - 'Drilling Spec'!$C$51)/(2*vB)</f>
        <v>0</v>
      </c>
      <c r="P51" s="18">
        <f>IFERROR(((S51-'Drilling Spec'!$C$30)/'Drilling Spec'!$C$31)*'Drilling Spec'!$C$32,0)</f>
        <v>0</v>
      </c>
      <c r="Q51" s="18">
        <f t="shared" si="15"/>
        <v>0</v>
      </c>
      <c r="R51" s="18"/>
      <c r="S51" s="26" t="str">
        <f>IF(AND(OR(T50=0,T50=""),M51=0),IF(M52=0,"",'Drilling Spec'!$C$30),O51)</f>
        <v/>
      </c>
      <c r="U51" s="15">
        <f>E51*'Drilling Spec'!$C$22 + L51*'Drilling Spec'!$C$23</f>
        <v>0.4809756097560976</v>
      </c>
      <c r="V51" s="15">
        <f t="shared" si="16"/>
        <v>10.10048780487805</v>
      </c>
      <c r="W51" s="15">
        <f t="shared" si="6"/>
        <v>1.8995121951219489</v>
      </c>
      <c r="X51" s="10"/>
      <c r="Y51" s="30">
        <f>IF(W51&lt;U52,'Drilling Spec'!$C$35,0)</f>
        <v>0</v>
      </c>
      <c r="AA51" s="4">
        <f t="shared" si="19"/>
        <v>34</v>
      </c>
      <c r="AB51" s="10"/>
      <c r="AC51" s="30">
        <f>IF('08-07-25-Scen7-GennyFail'!K52&gt;'08-07-25-Scen7-GennyFail'!AA51,'Drilling Spec'!$C$36,)</f>
        <v>0</v>
      </c>
      <c r="AE51" s="18">
        <f>(I51-'Drilling Spec'!$C$26)/'Drilling Spec'!$C$38</f>
        <v>75.515551871697539</v>
      </c>
      <c r="AF51" s="18">
        <f t="shared" si="7"/>
        <v>2.844401259414056</v>
      </c>
      <c r="AG51" s="34">
        <f t="shared" si="8"/>
        <v>15.515551871697539</v>
      </c>
      <c r="AH51" s="10"/>
      <c r="AI51" s="26">
        <f>IF(C51="Camp Closed",AG51,IF(AG51&lt;'Drilling Spec'!$C$39,,'Drilling Spec'!$C$39))</f>
        <v>0</v>
      </c>
      <c r="AL51" s="16">
        <f t="shared" si="9"/>
        <v>-523.09331123018524</v>
      </c>
      <c r="AM51" s="16" t="e">
        <f t="shared" si="10"/>
        <v>#N/A</v>
      </c>
      <c r="AN51">
        <f>-'Drilling Spec'!$C$29</f>
        <v>-720</v>
      </c>
      <c r="AO51">
        <f>-'Drilling Spec'!$C$27</f>
        <v>-624</v>
      </c>
      <c r="AP51">
        <f>-'Drilling Spec'!$C$28</f>
        <v>-688</v>
      </c>
      <c r="AQ51" t="e">
        <f t="shared" si="11"/>
        <v>#N/A</v>
      </c>
      <c r="AR51" t="e">
        <f>IF(X51=0,NA(),-'Drilling Spec'!$C$29*0.1)</f>
        <v>#N/A</v>
      </c>
      <c r="AS51" t="e">
        <f>IF(Y51=0,NA(),-'Drilling Spec'!$C$29*0.1)</f>
        <v>#N/A</v>
      </c>
      <c r="AT51" t="e">
        <f>IF(AB51=0,NA(),-'Drilling Spec'!$C$29*0.2)</f>
        <v>#N/A</v>
      </c>
      <c r="AU51" t="e">
        <f>IF(AC51=0,NA(),-'Drilling Spec'!$C$29*0.2)</f>
        <v>#N/A</v>
      </c>
      <c r="AV51" t="e">
        <f>IF(AH51=0,NA(),-'Drilling Spec'!$C$29*0.3)</f>
        <v>#N/A</v>
      </c>
      <c r="AW51" t="e">
        <f>IF(AI51=0,NA(),-'Drilling Spec'!$C$29*0.3)</f>
        <v>#N/A</v>
      </c>
      <c r="AX51" s="29">
        <f t="shared" si="12"/>
        <v>1.8995121951219489</v>
      </c>
      <c r="AY51" s="29">
        <f t="shared" si="13"/>
        <v>4.4604459179876521</v>
      </c>
      <c r="AZ51" s="29">
        <f t="shared" si="17"/>
        <v>15.515551871697539</v>
      </c>
    </row>
    <row r="52" spans="1:57" x14ac:dyDescent="0.35">
      <c r="A52" s="28">
        <f t="shared" si="18"/>
        <v>46022</v>
      </c>
      <c r="B52" t="str">
        <f t="shared" si="0"/>
        <v>Wed</v>
      </c>
      <c r="C52" s="10" t="s">
        <v>7</v>
      </c>
      <c r="D52" s="10">
        <v>0</v>
      </c>
      <c r="E52" s="4">
        <f t="shared" si="1"/>
        <v>0</v>
      </c>
      <c r="F52" s="4">
        <f t="shared" si="2"/>
        <v>504</v>
      </c>
      <c r="G52" s="4">
        <f t="shared" si="3"/>
        <v>0</v>
      </c>
      <c r="H52" s="15">
        <f>(SQRT(4*I51*I51*V*V + 'Drilling Spec'!$C$42*I51 + W*('Drilling Spec'!$C$43 + 2*l*V*(s*W + 2*V*G52/(1+e)) + 'Drilling Spec'!$C$44)) - 'Drilling Spec'!$C$45)/(2*V)</f>
        <v>523.09331123018535</v>
      </c>
      <c r="I52" s="23">
        <f>IF(AND(OR(I51=0,I51=""),F52=0),IF(F53=0,"",'Drilling Spec'!$C$26),H52)</f>
        <v>523.09331123018535</v>
      </c>
      <c r="J52" s="16">
        <f>MAX(0,I52-'Drilling Spec'!$C$30)</f>
        <v>443.09331123018535</v>
      </c>
      <c r="K52" s="18">
        <f>IFERROR(J52/'Drilling Spec'!$C$31,0)</f>
        <v>29.539554082012355</v>
      </c>
      <c r="L52" s="21">
        <f t="shared" si="4"/>
        <v>0</v>
      </c>
      <c r="M52" s="4">
        <f t="shared" si="14"/>
        <v>0</v>
      </c>
      <c r="N52" s="21">
        <f t="shared" si="5"/>
        <v>0</v>
      </c>
      <c r="O52" s="18">
        <f>(SQRT(4*O51*O51*vB*vB + 'Drilling Spec'!$C$48*O51 + WB*('Drilling Spec'!$C$49 + 2*lB*vB*(sB*WB + 2*vB*N52/(1+eB)) + 'Drilling Spec'!$C$50)) - 'Drilling Spec'!$C$51)/(2*vB)</f>
        <v>0</v>
      </c>
      <c r="P52" s="18">
        <f>IFERROR(((S52-'Drilling Spec'!$C$30)/'Drilling Spec'!$C$31)*'Drilling Spec'!$C$32,0)</f>
        <v>0</v>
      </c>
      <c r="Q52" s="18">
        <f t="shared" si="15"/>
        <v>0</v>
      </c>
      <c r="R52" s="18"/>
      <c r="S52" s="26" t="str">
        <f>IF(AND(OR(T51=0,T51=""),M52=0),IF(M53=0,"",'Drilling Spec'!$C$30),O52)</f>
        <v/>
      </c>
      <c r="U52" s="15">
        <f>E52*'Drilling Spec'!$C$22 + L52*'Drilling Spec'!$C$23</f>
        <v>0</v>
      </c>
      <c r="V52" s="15">
        <f t="shared" si="16"/>
        <v>10.10048780487805</v>
      </c>
      <c r="W52" s="15">
        <f t="shared" si="6"/>
        <v>1.8995121951219489</v>
      </c>
      <c r="X52" s="10"/>
      <c r="Y52" s="30">
        <f>IF(W52&lt;U53,'Drilling Spec'!$C$35,0)</f>
        <v>0</v>
      </c>
      <c r="AA52" s="4">
        <f t="shared" si="19"/>
        <v>34</v>
      </c>
      <c r="AB52" s="10"/>
      <c r="AC52" s="30">
        <f>IF('08-07-25-Scen7-GennyFail'!K53&gt;'08-07-25-Scen7-GennyFail'!AA52,'Drilling Spec'!$C$36,)</f>
        <v>0</v>
      </c>
      <c r="AE52" s="18">
        <f>(I52-'Drilling Spec'!$C$26)/'Drilling Spec'!$C$38</f>
        <v>75.515551871697554</v>
      </c>
      <c r="AF52" s="18">
        <f t="shared" si="7"/>
        <v>1.4210854715202004E-14</v>
      </c>
      <c r="AG52" s="34">
        <f t="shared" si="8"/>
        <v>15.515551871697554</v>
      </c>
      <c r="AH52" s="10"/>
      <c r="AI52" s="26">
        <f>IF(C52="Camp Closed",AG52,IF(AG52&lt;'Drilling Spec'!$C$39,,'Drilling Spec'!$C$39))</f>
        <v>0</v>
      </c>
      <c r="AL52" s="16">
        <f t="shared" si="9"/>
        <v>-523.09331123018535</v>
      </c>
      <c r="AM52" s="16" t="e">
        <f t="shared" si="10"/>
        <v>#N/A</v>
      </c>
      <c r="AN52">
        <f>-'Drilling Spec'!$C$29</f>
        <v>-720</v>
      </c>
      <c r="AO52">
        <f>-'Drilling Spec'!$C$27</f>
        <v>-624</v>
      </c>
      <c r="AP52">
        <f>-'Drilling Spec'!$C$28</f>
        <v>-688</v>
      </c>
      <c r="AQ52" t="e">
        <f t="shared" si="11"/>
        <v>#N/A</v>
      </c>
      <c r="AR52" t="e">
        <f>IF(X52=0,NA(),-'Drilling Spec'!$C$29*0.1)</f>
        <v>#N/A</v>
      </c>
      <c r="AS52" t="e">
        <f>IF(Y52=0,NA(),-'Drilling Spec'!$C$29*0.1)</f>
        <v>#N/A</v>
      </c>
      <c r="AT52" t="e">
        <f>IF(AB52=0,NA(),-'Drilling Spec'!$C$29*0.2)</f>
        <v>#N/A</v>
      </c>
      <c r="AU52" t="e">
        <f>IF(AC52=0,NA(),-'Drilling Spec'!$C$29*0.2)</f>
        <v>#N/A</v>
      </c>
      <c r="AV52" t="e">
        <f>IF(AH52=0,NA(),-'Drilling Spec'!$C$29*0.3)</f>
        <v>#N/A</v>
      </c>
      <c r="AW52" t="e">
        <f>IF(AI52=0,NA(),-'Drilling Spec'!$C$29*0.3)</f>
        <v>#N/A</v>
      </c>
      <c r="AX52" s="29">
        <f t="shared" si="12"/>
        <v>1.8995121951219489</v>
      </c>
      <c r="AY52" s="29">
        <f t="shared" si="13"/>
        <v>4.460445917987645</v>
      </c>
      <c r="AZ52" s="29">
        <f t="shared" si="17"/>
        <v>15.515551871697554</v>
      </c>
      <c r="BA52" s="5" t="s">
        <v>113</v>
      </c>
      <c r="BB52" s="5">
        <f>_xlfn.XLOOKUP("Camp Closed",C3:C112,A3:A112)-_xlfn.XLOOKUP("Open Camp",C3:C112,A3:A112)</f>
        <v>79</v>
      </c>
      <c r="BC52" s="5" t="s">
        <v>112</v>
      </c>
    </row>
    <row r="53" spans="1:57" x14ac:dyDescent="0.35">
      <c r="A53" s="28">
        <f t="shared" si="18"/>
        <v>46023</v>
      </c>
      <c r="B53" t="str">
        <f t="shared" si="0"/>
        <v>Thu</v>
      </c>
      <c r="C53" s="10" t="s">
        <v>9</v>
      </c>
      <c r="D53" s="10">
        <v>24</v>
      </c>
      <c r="E53" s="4">
        <f t="shared" si="1"/>
        <v>24</v>
      </c>
      <c r="F53" s="4">
        <f t="shared" si="2"/>
        <v>528</v>
      </c>
      <c r="G53" s="4">
        <f t="shared" si="3"/>
        <v>1440</v>
      </c>
      <c r="H53" s="15">
        <f>(SQRT(4*I52*I52*V*V + 'Drilling Spec'!$C$42*I52 + W*('Drilling Spec'!$C$43 + 2*l*V*(s*W + 2*V*G53/(1+e)) + 'Drilling Spec'!$C$44)) - 'Drilling Spec'!$C$45)/(2*V)</f>
        <v>539.88714553193392</v>
      </c>
      <c r="I53" s="23">
        <f>IF(AND(OR(I52=0,I52=""),F53=0),IF(F54=0,"",'Drilling Spec'!$C$26),H53)</f>
        <v>539.88714553193392</v>
      </c>
      <c r="J53" s="16">
        <f>MAX(0,I53-'Drilling Spec'!$C$30)</f>
        <v>459.88714553193392</v>
      </c>
      <c r="K53" s="18">
        <f>IFERROR(J53/'Drilling Spec'!$C$31,0)</f>
        <v>30.659143035462261</v>
      </c>
      <c r="L53" s="21">
        <f t="shared" si="4"/>
        <v>0</v>
      </c>
      <c r="M53" s="4">
        <f>(M52+L53)</f>
        <v>0</v>
      </c>
      <c r="N53" s="21">
        <f t="shared" si="5"/>
        <v>0</v>
      </c>
      <c r="O53" s="18">
        <f>(SQRT(4*O52*O52*vB*vB + 'Drilling Spec'!$C$48*O52 + WB*('Drilling Spec'!$C$49 + 2*lB*vB*(sB*WB + 2*vB*N53/(1+eB)) + 'Drilling Spec'!$C$50)) - 'Drilling Spec'!$C$51)/(2*vB)</f>
        <v>0</v>
      </c>
      <c r="P53" s="18">
        <f>IFERROR(((S53-'Drilling Spec'!$C$30)/'Drilling Spec'!$C$31)*'Drilling Spec'!$C$32,0)</f>
        <v>0</v>
      </c>
      <c r="Q53" s="18">
        <f t="shared" si="15"/>
        <v>0</v>
      </c>
      <c r="R53" s="18"/>
      <c r="S53" s="26" t="str">
        <f>IF(AND(OR(T52=0,T52=""),M53=0),IF(M54=0,"",'Drilling Spec'!$C$30),O53)</f>
        <v/>
      </c>
      <c r="U53" s="15">
        <f>E53*'Drilling Spec'!$C$22 + L53*'Drilling Spec'!$C$23</f>
        <v>0.4809756097560976</v>
      </c>
      <c r="V53" s="15">
        <f t="shared" si="16"/>
        <v>10.581463414634147</v>
      </c>
      <c r="W53" s="15">
        <f t="shared" si="6"/>
        <v>1.4185365853658514</v>
      </c>
      <c r="X53" s="10"/>
      <c r="Y53" s="30">
        <f>IF(W53&lt;U54,'Drilling Spec'!$C$35,0)</f>
        <v>0</v>
      </c>
      <c r="AA53" s="4">
        <f t="shared" si="19"/>
        <v>34</v>
      </c>
      <c r="AB53" s="10"/>
      <c r="AC53" s="30">
        <f>IF('08-07-25-Scen7-GennyFail'!K54&gt;'08-07-25-Scen7-GennyFail'!AA53,'Drilling Spec'!$C$36,)</f>
        <v>0</v>
      </c>
      <c r="AE53" s="18">
        <f>(I53-'Drilling Spec'!$C$26)/'Drilling Spec'!$C$38</f>
        <v>78.314524255322326</v>
      </c>
      <c r="AF53" s="18">
        <f t="shared" si="7"/>
        <v>2.798972383624772</v>
      </c>
      <c r="AG53" s="34">
        <f t="shared" si="8"/>
        <v>18.314524255322326</v>
      </c>
      <c r="AH53" s="10"/>
      <c r="AI53" s="26">
        <f>IF(C53="Camp Closed",AG53,IF(AG53&lt;'Drilling Spec'!$C$39,,'Drilling Spec'!$C$39))</f>
        <v>0</v>
      </c>
      <c r="AL53" s="16">
        <f t="shared" si="9"/>
        <v>-539.88714553193392</v>
      </c>
      <c r="AM53" s="16" t="e">
        <f t="shared" si="10"/>
        <v>#N/A</v>
      </c>
      <c r="AN53">
        <f>-'Drilling Spec'!$C$29</f>
        <v>-720</v>
      </c>
      <c r="AO53">
        <f>-'Drilling Spec'!$C$27</f>
        <v>-624</v>
      </c>
      <c r="AP53">
        <f>-'Drilling Spec'!$C$28</f>
        <v>-688</v>
      </c>
      <c r="AQ53" t="e">
        <f t="shared" si="11"/>
        <v>#N/A</v>
      </c>
      <c r="AR53" t="e">
        <f>IF(X53=0,NA(),-'Drilling Spec'!$C$29*0.1)</f>
        <v>#N/A</v>
      </c>
      <c r="AS53" t="e">
        <f>IF(Y53=0,NA(),-'Drilling Spec'!$C$29*0.1)</f>
        <v>#N/A</v>
      </c>
      <c r="AT53" t="e">
        <f>IF(AB53=0,NA(),-'Drilling Spec'!$C$29*0.2)</f>
        <v>#N/A</v>
      </c>
      <c r="AU53" t="e">
        <f>IF(AC53=0,NA(),-'Drilling Spec'!$C$29*0.2)</f>
        <v>#N/A</v>
      </c>
      <c r="AV53" t="e">
        <f>IF(AH53=0,NA(),-'Drilling Spec'!$C$29*0.3)</f>
        <v>#N/A</v>
      </c>
      <c r="AW53" t="e">
        <f>IF(AI53=0,NA(),-'Drilling Spec'!$C$29*0.3)</f>
        <v>#N/A</v>
      </c>
      <c r="AX53" s="29">
        <f t="shared" si="12"/>
        <v>1.4185365853658514</v>
      </c>
      <c r="AY53" s="29">
        <f t="shared" si="13"/>
        <v>3.3408569645377391</v>
      </c>
      <c r="AZ53" s="29">
        <f t="shared" si="17"/>
        <v>18.314524255322326</v>
      </c>
      <c r="BA53" s="5" t="s">
        <v>114</v>
      </c>
      <c r="BB53" s="5">
        <f>'08-07-25-Scen7-GennyFail'!BF5-A3 - BB52</f>
        <v>3</v>
      </c>
      <c r="BC53" s="5" t="s">
        <v>112</v>
      </c>
    </row>
    <row r="54" spans="1:57" x14ac:dyDescent="0.35">
      <c r="A54" s="28">
        <f t="shared" si="18"/>
        <v>46024</v>
      </c>
      <c r="B54" t="str">
        <f t="shared" si="0"/>
        <v>Fri</v>
      </c>
      <c r="C54" s="10" t="s">
        <v>9</v>
      </c>
      <c r="D54" s="10">
        <v>24</v>
      </c>
      <c r="E54" s="4">
        <f t="shared" si="1"/>
        <v>24</v>
      </c>
      <c r="F54" s="4">
        <f t="shared" si="2"/>
        <v>552</v>
      </c>
      <c r="G54" s="4">
        <f t="shared" si="3"/>
        <v>1440</v>
      </c>
      <c r="H54" s="15">
        <f>(SQRT(4*I53*I53*V*V + 'Drilling Spec'!$C$42*I53 + W*('Drilling Spec'!$C$43 + 2*l*V*(s*W + 2*V*G54/(1+e)) + 'Drilling Spec'!$C$44)) - 'Drilling Spec'!$C$45)/(2*V)</f>
        <v>556.42106390803497</v>
      </c>
      <c r="I54" s="23">
        <f>IF(AND(OR(I53=0,I53=""),F54=0),IF(F55=0,"",'Drilling Spec'!$C$26),H54)</f>
        <v>556.42106390803497</v>
      </c>
      <c r="J54" s="16">
        <f>MAX(0,I54-'Drilling Spec'!$C$30)</f>
        <v>476.42106390803497</v>
      </c>
      <c r="K54" s="18">
        <f>IFERROR(J54/'Drilling Spec'!$C$31,0)</f>
        <v>31.761404260535663</v>
      </c>
      <c r="L54" s="21">
        <f t="shared" si="4"/>
        <v>0</v>
      </c>
      <c r="M54" s="4">
        <f t="shared" si="14"/>
        <v>0</v>
      </c>
      <c r="N54" s="21">
        <f t="shared" si="5"/>
        <v>0</v>
      </c>
      <c r="O54" s="18">
        <f>(SQRT(4*O53*O53*vB*vB + 'Drilling Spec'!$C$48*O53 + WB*('Drilling Spec'!$C$49 + 2*lB*vB*(sB*WB + 2*vB*N54/(1+eB)) + 'Drilling Spec'!$C$50)) - 'Drilling Spec'!$C$51)/(2*vB)</f>
        <v>0</v>
      </c>
      <c r="P54" s="18">
        <f>IFERROR(((S54-'Drilling Spec'!$C$30)/'Drilling Spec'!$C$31)*'Drilling Spec'!$C$32,0)</f>
        <v>0</v>
      </c>
      <c r="Q54" s="18">
        <f t="shared" si="15"/>
        <v>0</v>
      </c>
      <c r="R54" s="18"/>
      <c r="S54" s="26" t="str">
        <f>IF(AND(OR(T53=0,T53=""),M54=0),IF(M55=0,"",'Drilling Spec'!$C$30),O54)</f>
        <v/>
      </c>
      <c r="U54" s="15">
        <f>E54*'Drilling Spec'!$C$22 + L54*'Drilling Spec'!$C$23</f>
        <v>0.4809756097560976</v>
      </c>
      <c r="V54" s="15">
        <f t="shared" si="16"/>
        <v>11.062439024390244</v>
      </c>
      <c r="W54" s="15">
        <f t="shared" si="6"/>
        <v>0.93756097560975382</v>
      </c>
      <c r="X54" s="10"/>
      <c r="Y54" s="30">
        <f>IF(W54&lt;U55,'Drilling Spec'!$C$35,0)</f>
        <v>0</v>
      </c>
      <c r="AA54" s="4">
        <f t="shared" si="19"/>
        <v>34</v>
      </c>
      <c r="AB54" s="10"/>
      <c r="AC54" s="30">
        <f>IF('08-07-25-Scen7-GennyFail'!K55&gt;'08-07-25-Scen7-GennyFail'!AA54,'Drilling Spec'!$C$36,)</f>
        <v>0</v>
      </c>
      <c r="AE54" s="18">
        <f>(I54-'Drilling Spec'!$C$26)/'Drilling Spec'!$C$38</f>
        <v>81.070177318005832</v>
      </c>
      <c r="AF54" s="18">
        <f t="shared" si="7"/>
        <v>2.755653062683507</v>
      </c>
      <c r="AG54" s="34">
        <f t="shared" si="8"/>
        <v>21.070177318005832</v>
      </c>
      <c r="AH54" s="10"/>
      <c r="AI54" s="26">
        <f>IF(C54="Camp Closed",AG54,IF(AG54&lt;'Drilling Spec'!$C$39,,'Drilling Spec'!$C$39))</f>
        <v>20</v>
      </c>
      <c r="AL54" s="16">
        <f t="shared" si="9"/>
        <v>-556.42106390803497</v>
      </c>
      <c r="AM54" s="16" t="e">
        <f t="shared" si="10"/>
        <v>#N/A</v>
      </c>
      <c r="AN54">
        <f>-'Drilling Spec'!$C$29</f>
        <v>-720</v>
      </c>
      <c r="AO54">
        <f>-'Drilling Spec'!$C$27</f>
        <v>-624</v>
      </c>
      <c r="AP54">
        <f>-'Drilling Spec'!$C$28</f>
        <v>-688</v>
      </c>
      <c r="AQ54" t="e">
        <f t="shared" si="11"/>
        <v>#N/A</v>
      </c>
      <c r="AR54" t="e">
        <f>IF(X54=0,NA(),-'Drilling Spec'!$C$29*0.1)</f>
        <v>#N/A</v>
      </c>
      <c r="AS54" t="e">
        <f>IF(Y54=0,NA(),-'Drilling Spec'!$C$29*0.1)</f>
        <v>#N/A</v>
      </c>
      <c r="AT54" t="e">
        <f>IF(AB54=0,NA(),-'Drilling Spec'!$C$29*0.2)</f>
        <v>#N/A</v>
      </c>
      <c r="AU54" t="e">
        <f>IF(AC54=0,NA(),-'Drilling Spec'!$C$29*0.2)</f>
        <v>#N/A</v>
      </c>
      <c r="AV54" t="e">
        <f>IF(AH54=0,NA(),-'Drilling Spec'!$C$29*0.3)</f>
        <v>#N/A</v>
      </c>
      <c r="AW54">
        <f>IF(AI54=0,NA(),-'Drilling Spec'!$C$29*0.3)</f>
        <v>-216</v>
      </c>
      <c r="AX54" s="29">
        <f t="shared" si="12"/>
        <v>0.93756097560975382</v>
      </c>
      <c r="AY54" s="29">
        <f t="shared" si="13"/>
        <v>2.238595739464337</v>
      </c>
      <c r="AZ54" s="29">
        <f t="shared" si="17"/>
        <v>21.070177318005832</v>
      </c>
    </row>
    <row r="55" spans="1:57" x14ac:dyDescent="0.35">
      <c r="A55" s="28">
        <f>A54+1</f>
        <v>46025</v>
      </c>
      <c r="B55" t="str">
        <f t="shared" si="0"/>
        <v>Sat</v>
      </c>
      <c r="C55" s="10" t="s">
        <v>9</v>
      </c>
      <c r="D55" s="10">
        <v>24</v>
      </c>
      <c r="E55" s="4">
        <f t="shared" si="1"/>
        <v>24</v>
      </c>
      <c r="F55" s="4">
        <f t="shared" si="2"/>
        <v>576</v>
      </c>
      <c r="G55" s="4">
        <f t="shared" si="3"/>
        <v>1440</v>
      </c>
      <c r="H55" s="15">
        <f>(SQRT(4*I54*I54*V*V + 'Drilling Spec'!$C$42*I54 + W*('Drilling Spec'!$C$43 + 2*l*V*(s*W + 2*V*G55/(1+e)) + 'Drilling Spec'!$C$44)) - 'Drilling Spec'!$C$45)/(2*V)</f>
        <v>572.70677339402755</v>
      </c>
      <c r="I55" s="23">
        <f>IF(AND(OR(I54=0,I54=""),F55=0),IF(F56=0,"",'Drilling Spec'!$C$26),H55)</f>
        <v>572.70677339402755</v>
      </c>
      <c r="J55" s="16">
        <f>MAX(0,I55-'Drilling Spec'!$C$30)</f>
        <v>492.70677339402755</v>
      </c>
      <c r="K55" s="18">
        <f>IFERROR(J55/'Drilling Spec'!$C$31,0)</f>
        <v>32.847118226268506</v>
      </c>
      <c r="L55" s="21">
        <f t="shared" si="4"/>
        <v>0</v>
      </c>
      <c r="M55" s="4">
        <f t="shared" si="14"/>
        <v>0</v>
      </c>
      <c r="N55" s="21">
        <f t="shared" si="5"/>
        <v>0</v>
      </c>
      <c r="O55" s="18">
        <f>(SQRT(4*O54*O54*vB*vB + 'Drilling Spec'!$C$48*O54 + WB*('Drilling Spec'!$C$49 + 2*lB*vB*(sB*WB + 2*vB*N55/(1+eB)) + 'Drilling Spec'!$C$50)) - 'Drilling Spec'!$C$51)/(2*vB)</f>
        <v>0</v>
      </c>
      <c r="P55" s="18">
        <f>IFERROR(((S55-'Drilling Spec'!$C$30)/'Drilling Spec'!$C$31)*'Drilling Spec'!$C$32,0)</f>
        <v>0</v>
      </c>
      <c r="Q55" s="18">
        <f t="shared" si="15"/>
        <v>0</v>
      </c>
      <c r="R55" s="18"/>
      <c r="S55" s="26" t="str">
        <f>IF(AND(OR(T54=0,T54=""),M55=0),IF(M56=0,"",'Drilling Spec'!$C$30),O55)</f>
        <v/>
      </c>
      <c r="U55" s="15">
        <f>E55*'Drilling Spec'!$C$22 + L55*'Drilling Spec'!$C$23</f>
        <v>0.4809756097560976</v>
      </c>
      <c r="V55" s="15">
        <f t="shared" si="16"/>
        <v>11.543414634146341</v>
      </c>
      <c r="W55" s="15">
        <f t="shared" si="6"/>
        <v>0.45658536585365622</v>
      </c>
      <c r="X55" s="10"/>
      <c r="Y55" s="30">
        <f>IF(W55&lt;U56,'Drilling Spec'!$C$35,0)</f>
        <v>6</v>
      </c>
      <c r="AA55" s="4">
        <f t="shared" si="19"/>
        <v>34</v>
      </c>
      <c r="AB55" s="10"/>
      <c r="AC55" s="30">
        <f>IF('08-07-25-Scen7-GennyFail'!K56&gt;'08-07-25-Scen7-GennyFail'!AA55,'Drilling Spec'!$C$36,)</f>
        <v>0</v>
      </c>
      <c r="AE55" s="18">
        <f>(I55-'Drilling Spec'!$C$26)/'Drilling Spec'!$C$38</f>
        <v>83.78446223233793</v>
      </c>
      <c r="AF55" s="18">
        <f t="shared" si="7"/>
        <v>2.7142849143320973</v>
      </c>
      <c r="AG55" s="34">
        <f t="shared" si="8"/>
        <v>3.7844622323379298</v>
      </c>
      <c r="AH55" s="10"/>
      <c r="AI55" s="26">
        <f>IF(C55="Camp Closed",AG55,IF(AG55&lt;'Drilling Spec'!$C$39,,'Drilling Spec'!$C$39))</f>
        <v>0</v>
      </c>
      <c r="AL55" s="16">
        <f t="shared" si="9"/>
        <v>-572.70677339402755</v>
      </c>
      <c r="AM55" s="16" t="e">
        <f t="shared" si="10"/>
        <v>#N/A</v>
      </c>
      <c r="AN55">
        <f>-'Drilling Spec'!$C$29</f>
        <v>-720</v>
      </c>
      <c r="AO55">
        <f>-'Drilling Spec'!$C$27</f>
        <v>-624</v>
      </c>
      <c r="AP55">
        <f>-'Drilling Spec'!$C$28</f>
        <v>-688</v>
      </c>
      <c r="AQ55" t="e">
        <f t="shared" si="11"/>
        <v>#N/A</v>
      </c>
      <c r="AR55" t="e">
        <f>IF(X55=0,NA(),-'Drilling Spec'!$C$29*0.1)</f>
        <v>#N/A</v>
      </c>
      <c r="AS55">
        <f>IF(Y55=0,NA(),-'Drilling Spec'!$C$29*0.1)</f>
        <v>-72</v>
      </c>
      <c r="AT55" t="e">
        <f>IF(AB55=0,NA(),-'Drilling Spec'!$C$29*0.2)</f>
        <v>#N/A</v>
      </c>
      <c r="AU55" t="e">
        <f>IF(AC55=0,NA(),-'Drilling Spec'!$C$29*0.2)</f>
        <v>#N/A</v>
      </c>
      <c r="AV55" t="e">
        <f>IF(AH55=0,NA(),-'Drilling Spec'!$C$29*0.3)</f>
        <v>#N/A</v>
      </c>
      <c r="AW55" t="e">
        <f>IF(AI55=0,NA(),-'Drilling Spec'!$C$29*0.3)</f>
        <v>#N/A</v>
      </c>
      <c r="AX55" s="29">
        <f t="shared" si="12"/>
        <v>0.45658536585365622</v>
      </c>
      <c r="AY55" s="29">
        <f t="shared" si="13"/>
        <v>1.1528817737314938</v>
      </c>
      <c r="AZ55" s="29">
        <f t="shared" si="17"/>
        <v>3.7844622323379298</v>
      </c>
    </row>
    <row r="56" spans="1:57" x14ac:dyDescent="0.35">
      <c r="A56" s="28">
        <f t="shared" si="18"/>
        <v>46026</v>
      </c>
      <c r="B56" t="str">
        <f t="shared" si="0"/>
        <v>Sun</v>
      </c>
      <c r="C56" s="10" t="s">
        <v>9</v>
      </c>
      <c r="D56" s="10">
        <v>24</v>
      </c>
      <c r="E56" s="4">
        <f t="shared" si="1"/>
        <v>24</v>
      </c>
      <c r="F56" s="4">
        <f t="shared" si="2"/>
        <v>600</v>
      </c>
      <c r="G56" s="4">
        <f t="shared" si="3"/>
        <v>1440</v>
      </c>
      <c r="H56" s="15">
        <f>(SQRT(4*I55*I55*V*V + 'Drilling Spec'!$C$42*I55 + W*('Drilling Spec'!$C$43 + 2*l*V*(s*W + 2*V*G56/(1+e)) + 'Drilling Spec'!$C$44)) - 'Drilling Spec'!$C$45)/(2*V)</f>
        <v>588.75512771525246</v>
      </c>
      <c r="I56" s="23">
        <f>IF(AND(OR(I55=0,I55=""),F56=0),IF(F57=0,"",'Drilling Spec'!$C$26),H56)</f>
        <v>588.75512771525246</v>
      </c>
      <c r="J56" s="16">
        <f>MAX(0,I56-'Drilling Spec'!$C$30)</f>
        <v>508.75512771525246</v>
      </c>
      <c r="K56" s="18">
        <f>IFERROR(J56/'Drilling Spec'!$C$31,0)</f>
        <v>33.917008514350165</v>
      </c>
      <c r="L56" s="21">
        <f t="shared" si="4"/>
        <v>0</v>
      </c>
      <c r="M56" s="4">
        <f t="shared" si="14"/>
        <v>0</v>
      </c>
      <c r="N56" s="21">
        <f t="shared" si="5"/>
        <v>0</v>
      </c>
      <c r="O56" s="18">
        <f>(SQRT(4*O55*O55*vB*vB + 'Drilling Spec'!$C$48*O55 + WB*('Drilling Spec'!$C$49 + 2*lB*vB*(sB*WB + 2*vB*N56/(1+eB)) + 'Drilling Spec'!$C$50)) - 'Drilling Spec'!$C$51)/(2*vB)</f>
        <v>0</v>
      </c>
      <c r="P56" s="18">
        <f>IFERROR(((S56-'Drilling Spec'!$C$30)/'Drilling Spec'!$C$31)*'Drilling Spec'!$C$32,0)</f>
        <v>0</v>
      </c>
      <c r="Q56" s="18">
        <f t="shared" si="15"/>
        <v>0</v>
      </c>
      <c r="R56" s="18"/>
      <c r="S56" s="26" t="str">
        <f>IF(AND(OR(T55=0,T55=""),M56=0),IF(M57=0,"",'Drilling Spec'!$C$30),O56)</f>
        <v/>
      </c>
      <c r="U56" s="15">
        <f>E56*'Drilling Spec'!$C$22 + L56*'Drilling Spec'!$C$23</f>
        <v>0.4809756097560976</v>
      </c>
      <c r="V56" s="15">
        <f t="shared" si="16"/>
        <v>12.024390243902438</v>
      </c>
      <c r="W56" s="15">
        <f t="shared" si="6"/>
        <v>5.9756097560975583</v>
      </c>
      <c r="X56" s="10"/>
      <c r="Y56" s="30">
        <f>IF(W56&lt;U57,'Drilling Spec'!$C$35,0)</f>
        <v>0</v>
      </c>
      <c r="AA56" s="4">
        <f t="shared" si="19"/>
        <v>34</v>
      </c>
      <c r="AB56" s="10"/>
      <c r="AC56" s="30">
        <f>IF('08-07-25-Scen7-GennyFail'!K57&gt;'08-07-25-Scen7-GennyFail'!AA56,'Drilling Spec'!$C$36,)</f>
        <v>6</v>
      </c>
      <c r="AE56" s="18">
        <f>(I56-'Drilling Spec'!$C$26)/'Drilling Spec'!$C$38</f>
        <v>86.459187952542081</v>
      </c>
      <c r="AF56" s="18">
        <f t="shared" si="7"/>
        <v>2.674725720204151</v>
      </c>
      <c r="AG56" s="34">
        <f t="shared" si="8"/>
        <v>6.4591879525420808</v>
      </c>
      <c r="AH56" s="10"/>
      <c r="AI56" s="26">
        <f>IF(C56="Camp Closed",AG56,IF(AG56&lt;'Drilling Spec'!$C$39,,'Drilling Spec'!$C$39))</f>
        <v>0</v>
      </c>
      <c r="AL56" s="16">
        <f t="shared" si="9"/>
        <v>-588.75512771525246</v>
      </c>
      <c r="AM56" s="16" t="e">
        <f t="shared" si="10"/>
        <v>#N/A</v>
      </c>
      <c r="AN56">
        <f>-'Drilling Spec'!$C$29</f>
        <v>-720</v>
      </c>
      <c r="AO56">
        <f>-'Drilling Spec'!$C$27</f>
        <v>-624</v>
      </c>
      <c r="AP56">
        <f>-'Drilling Spec'!$C$28</f>
        <v>-688</v>
      </c>
      <c r="AQ56" t="e">
        <f t="shared" si="11"/>
        <v>#N/A</v>
      </c>
      <c r="AR56" t="e">
        <f>IF(X56=0,NA(),-'Drilling Spec'!$C$29*0.1)</f>
        <v>#N/A</v>
      </c>
      <c r="AS56" t="e">
        <f>IF(Y56=0,NA(),-'Drilling Spec'!$C$29*0.1)</f>
        <v>#N/A</v>
      </c>
      <c r="AT56" t="e">
        <f>IF(AB56=0,NA(),-'Drilling Spec'!$C$29*0.2)</f>
        <v>#N/A</v>
      </c>
      <c r="AU56">
        <f>IF(AC56=0,NA(),-'Drilling Spec'!$C$29*0.2)</f>
        <v>-144</v>
      </c>
      <c r="AV56" t="e">
        <f>IF(AH56=0,NA(),-'Drilling Spec'!$C$29*0.3)</f>
        <v>#N/A</v>
      </c>
      <c r="AW56" t="e">
        <f>IF(AI56=0,NA(),-'Drilling Spec'!$C$29*0.3)</f>
        <v>#N/A</v>
      </c>
      <c r="AX56" s="29">
        <f t="shared" si="12"/>
        <v>5.9756097560975583</v>
      </c>
      <c r="AY56" s="29">
        <f t="shared" si="13"/>
        <v>8.2991485649834829E-2</v>
      </c>
      <c r="AZ56" s="29">
        <f t="shared" si="17"/>
        <v>6.4591879525420808</v>
      </c>
    </row>
    <row r="57" spans="1:57" x14ac:dyDescent="0.35">
      <c r="A57" s="28">
        <f t="shared" si="18"/>
        <v>46027</v>
      </c>
      <c r="B57" t="str">
        <f t="shared" si="0"/>
        <v>Mon</v>
      </c>
      <c r="C57" s="10" t="s">
        <v>9</v>
      </c>
      <c r="D57" s="10">
        <v>24</v>
      </c>
      <c r="E57" s="4">
        <f t="shared" si="1"/>
        <v>24</v>
      </c>
      <c r="F57" s="4">
        <f t="shared" si="2"/>
        <v>624</v>
      </c>
      <c r="G57" s="4">
        <f t="shared" si="3"/>
        <v>1440</v>
      </c>
      <c r="H57" s="15">
        <f>(SQRT(4*I56*I56*V*V + 'Drilling Spec'!$C$42*I56 + W*('Drilling Spec'!$C$43 + 2*l*V*(s*W + 2*V*G57/(1+e)) + 'Drilling Spec'!$C$44)) - 'Drilling Spec'!$C$45)/(2*V)</f>
        <v>604.57621190383429</v>
      </c>
      <c r="I57" s="23">
        <f>IF(AND(OR(I56=0,I56=""),F57=0),IF(F58=0,"",'Drilling Spec'!$C$26),H57)</f>
        <v>604.57621190383429</v>
      </c>
      <c r="J57" s="16">
        <f>MAX(0,I57-'Drilling Spec'!$C$30)</f>
        <v>524.57621190383429</v>
      </c>
      <c r="K57" s="18">
        <f>IFERROR(J57/'Drilling Spec'!$C$31,0)</f>
        <v>34.971747460255621</v>
      </c>
      <c r="L57" s="21">
        <f t="shared" si="4"/>
        <v>0</v>
      </c>
      <c r="M57" s="4">
        <f t="shared" si="14"/>
        <v>0</v>
      </c>
      <c r="N57" s="21">
        <f t="shared" si="5"/>
        <v>0</v>
      </c>
      <c r="O57" s="18">
        <f>(SQRT(4*O56*O56*vB*vB + 'Drilling Spec'!$C$48*O56 + WB*('Drilling Spec'!$C$49 + 2*lB*vB*(sB*WB + 2*vB*N57/(1+eB)) + 'Drilling Spec'!$C$50)) - 'Drilling Spec'!$C$51)/(2*vB)</f>
        <v>0</v>
      </c>
      <c r="P57" s="18">
        <f>IFERROR(((S57-'Drilling Spec'!$C$30)/'Drilling Spec'!$C$31)*'Drilling Spec'!$C$32,0)</f>
        <v>0</v>
      </c>
      <c r="Q57" s="18">
        <f t="shared" si="15"/>
        <v>0</v>
      </c>
      <c r="R57" s="18"/>
      <c r="S57" s="26" t="str">
        <f>IF(AND(OR(T56=0,T56=""),M57=0),IF(M58=0,"",'Drilling Spec'!$C$30),O57)</f>
        <v/>
      </c>
      <c r="U57" s="15">
        <f>E57*'Drilling Spec'!$C$22 + L57*'Drilling Spec'!$C$23</f>
        <v>0.4809756097560976</v>
      </c>
      <c r="V57" s="15">
        <f t="shared" si="16"/>
        <v>12.505365853658535</v>
      </c>
      <c r="W57" s="15">
        <f t="shared" si="6"/>
        <v>5.4946341463414603</v>
      </c>
      <c r="X57" s="10"/>
      <c r="Y57" s="30">
        <f>IF(W57&lt;U58,'Drilling Spec'!$C$35,0)</f>
        <v>0</v>
      </c>
      <c r="AA57" s="4">
        <f t="shared" si="19"/>
        <v>40</v>
      </c>
      <c r="AB57" s="10"/>
      <c r="AC57" s="30">
        <f>IF('08-07-25-Scen7-GennyFail'!K58&gt;'08-07-25-Scen7-GennyFail'!AA57,'Drilling Spec'!$C$36,)</f>
        <v>0</v>
      </c>
      <c r="AE57" s="18">
        <f>(I57-'Drilling Spec'!$C$26)/'Drilling Spec'!$C$38</f>
        <v>89.09603531730572</v>
      </c>
      <c r="AF57" s="18">
        <f t="shared" si="7"/>
        <v>2.6368473647636392</v>
      </c>
      <c r="AG57" s="34">
        <f t="shared" si="8"/>
        <v>9.09603531730572</v>
      </c>
      <c r="AH57" s="10"/>
      <c r="AI57" s="26">
        <f>IF(C57="Camp Closed",AG57,IF(AG57&lt;'Drilling Spec'!$C$39,,'Drilling Spec'!$C$39))</f>
        <v>0</v>
      </c>
      <c r="AL57" s="16">
        <f t="shared" si="9"/>
        <v>-604.57621190383429</v>
      </c>
      <c r="AM57" s="16" t="e">
        <f t="shared" si="10"/>
        <v>#N/A</v>
      </c>
      <c r="AN57">
        <f>-'Drilling Spec'!$C$29</f>
        <v>-720</v>
      </c>
      <c r="AO57">
        <f>-'Drilling Spec'!$C$27</f>
        <v>-624</v>
      </c>
      <c r="AP57">
        <f>-'Drilling Spec'!$C$28</f>
        <v>-688</v>
      </c>
      <c r="AQ57" t="e">
        <f t="shared" si="11"/>
        <v>#N/A</v>
      </c>
      <c r="AR57" t="e">
        <f>IF(X57=0,NA(),-'Drilling Spec'!$C$29*0.1)</f>
        <v>#N/A</v>
      </c>
      <c r="AS57" t="e">
        <f>IF(Y57=0,NA(),-'Drilling Spec'!$C$29*0.1)</f>
        <v>#N/A</v>
      </c>
      <c r="AT57" t="e">
        <f>IF(AB57=0,NA(),-'Drilling Spec'!$C$29*0.2)</f>
        <v>#N/A</v>
      </c>
      <c r="AU57" t="e">
        <f>IF(AC57=0,NA(),-'Drilling Spec'!$C$29*0.2)</f>
        <v>#N/A</v>
      </c>
      <c r="AV57" t="e">
        <f>IF(AH57=0,NA(),-'Drilling Spec'!$C$29*0.3)</f>
        <v>#N/A</v>
      </c>
      <c r="AW57" t="e">
        <f>IF(AI57=0,NA(),-'Drilling Spec'!$C$29*0.3)</f>
        <v>#N/A</v>
      </c>
      <c r="AX57" s="29">
        <f t="shared" si="12"/>
        <v>5.4946341463414603</v>
      </c>
      <c r="AY57" s="29">
        <f t="shared" si="13"/>
        <v>5.0282525397443791</v>
      </c>
      <c r="AZ57" s="29">
        <f t="shared" si="17"/>
        <v>9.09603531730572</v>
      </c>
    </row>
    <row r="58" spans="1:57" x14ac:dyDescent="0.35">
      <c r="A58" s="28">
        <f t="shared" si="18"/>
        <v>46028</v>
      </c>
      <c r="B58" t="str">
        <f t="shared" si="0"/>
        <v>Tue</v>
      </c>
      <c r="C58" s="10" t="s">
        <v>9</v>
      </c>
      <c r="D58" s="10">
        <v>24</v>
      </c>
      <c r="E58" s="4">
        <f t="shared" si="1"/>
        <v>24</v>
      </c>
      <c r="F58" s="4">
        <f t="shared" si="2"/>
        <v>648</v>
      </c>
      <c r="G58" s="4">
        <f t="shared" si="3"/>
        <v>1440</v>
      </c>
      <c r="H58" s="15">
        <f>(SQRT(4*I57*I57*V*V + 'Drilling Spec'!$C$42*I57 + W*('Drilling Spec'!$C$43 + 2*l*V*(s*W + 2*V*G58/(1+e)) + 'Drilling Spec'!$C$44)) - 'Drilling Spec'!$C$45)/(2*V)</f>
        <v>620.17941642361609</v>
      </c>
      <c r="I58" s="23">
        <f>IF(AND(OR(I57=0,I57=""),F58=0),IF(F59=0,"",'Drilling Spec'!$C$26),H58)</f>
        <v>620.17941642361609</v>
      </c>
      <c r="J58" s="16">
        <f>MAX(0,I58-'Drilling Spec'!$C$30)</f>
        <v>540.17941642361609</v>
      </c>
      <c r="K58" s="18">
        <f>IFERROR(J58/'Drilling Spec'!$C$31,0)</f>
        <v>36.01196109490774</v>
      </c>
      <c r="L58" s="21">
        <f t="shared" si="4"/>
        <v>0</v>
      </c>
      <c r="M58" s="4">
        <f t="shared" si="14"/>
        <v>0</v>
      </c>
      <c r="N58" s="21">
        <f t="shared" si="5"/>
        <v>0</v>
      </c>
      <c r="O58" s="18">
        <f>(SQRT(4*O57*O57*vB*vB + 'Drilling Spec'!$C$48*O57 + WB*('Drilling Spec'!$C$49 + 2*lB*vB*(sB*WB + 2*vB*N58/(1+eB)) + 'Drilling Spec'!$C$50)) - 'Drilling Spec'!$C$51)/(2*vB)</f>
        <v>0</v>
      </c>
      <c r="P58" s="18">
        <f>IFERROR(((S58-'Drilling Spec'!$C$30)/'Drilling Spec'!$C$31)*'Drilling Spec'!$C$32,0)</f>
        <v>0</v>
      </c>
      <c r="Q58" s="18">
        <f t="shared" si="15"/>
        <v>0</v>
      </c>
      <c r="R58" s="18"/>
      <c r="S58" s="26" t="str">
        <f>IF(AND(OR(T57=0,T57=""),M58=0),IF(M59=0,"",'Drilling Spec'!$C$30),O58)</f>
        <v/>
      </c>
      <c r="U58" s="15">
        <f>E58*'Drilling Spec'!$C$22 + L58*'Drilling Spec'!$C$23</f>
        <v>0.4809756097560976</v>
      </c>
      <c r="V58" s="15">
        <f t="shared" si="16"/>
        <v>12.986341463414632</v>
      </c>
      <c r="W58" s="15">
        <f t="shared" si="6"/>
        <v>5.0136585365853623</v>
      </c>
      <c r="X58" s="10"/>
      <c r="Y58" s="30">
        <f>IF(W58&lt;U59,'Drilling Spec'!$C$35,0)</f>
        <v>0</v>
      </c>
      <c r="AA58" s="4">
        <f t="shared" si="19"/>
        <v>40</v>
      </c>
      <c r="AB58" s="10"/>
      <c r="AC58" s="30">
        <f>IF('08-07-25-Scen7-GennyFail'!K59&gt;'08-07-25-Scen7-GennyFail'!AA58,'Drilling Spec'!$C$36,)</f>
        <v>0</v>
      </c>
      <c r="AE58" s="18">
        <f>(I58-'Drilling Spec'!$C$26)/'Drilling Spec'!$C$38</f>
        <v>91.69656940393601</v>
      </c>
      <c r="AF58" s="18">
        <f t="shared" si="7"/>
        <v>2.6005340866302902</v>
      </c>
      <c r="AG58" s="34">
        <f t="shared" si="8"/>
        <v>11.69656940393601</v>
      </c>
      <c r="AH58" s="10"/>
      <c r="AI58" s="26">
        <f>IF(C58="Camp Closed",AG58,IF(AG58&lt;'Drilling Spec'!$C$39,,'Drilling Spec'!$C$39))</f>
        <v>0</v>
      </c>
      <c r="AL58" s="16">
        <f t="shared" si="9"/>
        <v>-620.17941642361609</v>
      </c>
      <c r="AM58" s="16" t="e">
        <f t="shared" si="10"/>
        <v>#N/A</v>
      </c>
      <c r="AN58">
        <f>-'Drilling Spec'!$C$29</f>
        <v>-720</v>
      </c>
      <c r="AO58">
        <f>-'Drilling Spec'!$C$27</f>
        <v>-624</v>
      </c>
      <c r="AP58">
        <f>-'Drilling Spec'!$C$28</f>
        <v>-688</v>
      </c>
      <c r="AQ58" t="e">
        <f t="shared" si="11"/>
        <v>#N/A</v>
      </c>
      <c r="AR58" t="e">
        <f>IF(X58=0,NA(),-'Drilling Spec'!$C$29*0.1)</f>
        <v>#N/A</v>
      </c>
      <c r="AS58" t="e">
        <f>IF(Y58=0,NA(),-'Drilling Spec'!$C$29*0.1)</f>
        <v>#N/A</v>
      </c>
      <c r="AT58" t="e">
        <f>IF(AB58=0,NA(),-'Drilling Spec'!$C$29*0.2)</f>
        <v>#N/A</v>
      </c>
      <c r="AU58" t="e">
        <f>IF(AC58=0,NA(),-'Drilling Spec'!$C$29*0.2)</f>
        <v>#N/A</v>
      </c>
      <c r="AV58" t="e">
        <f>IF(AH58=0,NA(),-'Drilling Spec'!$C$29*0.3)</f>
        <v>#N/A</v>
      </c>
      <c r="AW58" t="e">
        <f>IF(AI58=0,NA(),-'Drilling Spec'!$C$29*0.3)</f>
        <v>#N/A</v>
      </c>
      <c r="AX58" s="29">
        <f t="shared" si="12"/>
        <v>5.0136585365853623</v>
      </c>
      <c r="AY58" s="29">
        <f t="shared" si="13"/>
        <v>3.9880389050922602</v>
      </c>
      <c r="AZ58" s="29">
        <f t="shared" si="17"/>
        <v>11.69656940393601</v>
      </c>
    </row>
    <row r="59" spans="1:57" x14ac:dyDescent="0.35">
      <c r="A59" s="28">
        <f t="shared" si="18"/>
        <v>46029</v>
      </c>
      <c r="B59" t="str">
        <f t="shared" si="0"/>
        <v>Wed</v>
      </c>
      <c r="C59" s="10" t="s">
        <v>7</v>
      </c>
      <c r="D59" s="10">
        <v>0</v>
      </c>
      <c r="E59" s="4">
        <f t="shared" si="1"/>
        <v>0</v>
      </c>
      <c r="F59" s="4">
        <f t="shared" si="2"/>
        <v>648</v>
      </c>
      <c r="G59" s="4">
        <f t="shared" si="3"/>
        <v>0</v>
      </c>
      <c r="H59" s="15">
        <f>(SQRT(4*I58*I58*V*V + 'Drilling Spec'!$C$42*I58 + W*('Drilling Spec'!$C$43 + 2*l*V*(s*W + 2*V*G59/(1+e)) + 'Drilling Spec'!$C$44)) - 'Drilling Spec'!$C$45)/(2*V)</f>
        <v>620.17941642361609</v>
      </c>
      <c r="I59" s="23">
        <f>IF(AND(OR(I58=0,I58=""),F59=0),IF(F60=0,"",'Drilling Spec'!$C$26),H59)</f>
        <v>620.17941642361609</v>
      </c>
      <c r="J59" s="16">
        <f>MAX(0,I59-'Drilling Spec'!$C$30)</f>
        <v>540.17941642361609</v>
      </c>
      <c r="K59" s="18">
        <f>IFERROR(J59/'Drilling Spec'!$C$31,0)</f>
        <v>36.01196109490774</v>
      </c>
      <c r="L59" s="21">
        <f t="shared" si="4"/>
        <v>0</v>
      </c>
      <c r="M59" s="4">
        <f t="shared" si="14"/>
        <v>0</v>
      </c>
      <c r="N59" s="21">
        <f t="shared" si="5"/>
        <v>0</v>
      </c>
      <c r="O59" s="18">
        <f>(SQRT(4*O58*O58*vB*vB + 'Drilling Spec'!$C$48*O58 + WB*('Drilling Spec'!$C$49 + 2*lB*vB*(sB*WB + 2*vB*N59/(1+eB)) + 'Drilling Spec'!$C$50)) - 'Drilling Spec'!$C$51)/(2*vB)</f>
        <v>0</v>
      </c>
      <c r="P59" s="18">
        <f>IFERROR(((S59-'Drilling Spec'!$C$30)/'Drilling Spec'!$C$31)*'Drilling Spec'!$C$32,0)</f>
        <v>0</v>
      </c>
      <c r="Q59" s="18">
        <f t="shared" si="15"/>
        <v>0</v>
      </c>
      <c r="R59" s="18"/>
      <c r="S59" s="26" t="str">
        <f>IF(AND(OR(T58=0,T58=""),M59=0),IF(M60=0,"",'Drilling Spec'!$C$30),O59)</f>
        <v/>
      </c>
      <c r="U59" s="15">
        <f>E59*'Drilling Spec'!$C$22 + L59*'Drilling Spec'!$C$23</f>
        <v>0</v>
      </c>
      <c r="V59" s="15">
        <f t="shared" si="16"/>
        <v>12.986341463414632</v>
      </c>
      <c r="W59" s="15">
        <f t="shared" si="6"/>
        <v>5.0136585365853623</v>
      </c>
      <c r="X59" s="10"/>
      <c r="Y59" s="30">
        <f>IF(W59&lt;U60,'Drilling Spec'!$C$35,0)</f>
        <v>0</v>
      </c>
      <c r="AA59" s="4">
        <f t="shared" si="19"/>
        <v>40</v>
      </c>
      <c r="AB59" s="10"/>
      <c r="AC59" s="30">
        <f>IF('08-07-25-Scen7-GennyFail'!K60&gt;'08-07-25-Scen7-GennyFail'!AA59,'Drilling Spec'!$C$36,)</f>
        <v>0</v>
      </c>
      <c r="AE59" s="18">
        <f>(I59-'Drilling Spec'!$C$26)/'Drilling Spec'!$C$38</f>
        <v>91.69656940393601</v>
      </c>
      <c r="AF59" s="18">
        <f t="shared" si="7"/>
        <v>0</v>
      </c>
      <c r="AG59" s="34">
        <f t="shared" si="8"/>
        <v>11.69656940393601</v>
      </c>
      <c r="AH59" s="10"/>
      <c r="AI59" s="26">
        <f>IF(C59="Camp Closed",AG59,IF(AG59&lt;'Drilling Spec'!$C$39,,'Drilling Spec'!$C$39))</f>
        <v>0</v>
      </c>
      <c r="AL59" s="16">
        <f t="shared" si="9"/>
        <v>-620.17941642361609</v>
      </c>
      <c r="AM59" s="16" t="e">
        <f t="shared" si="10"/>
        <v>#N/A</v>
      </c>
      <c r="AN59">
        <f>-'Drilling Spec'!$C$29</f>
        <v>-720</v>
      </c>
      <c r="AO59">
        <f>-'Drilling Spec'!$C$27</f>
        <v>-624</v>
      </c>
      <c r="AP59">
        <f>-'Drilling Spec'!$C$28</f>
        <v>-688</v>
      </c>
      <c r="AQ59" t="e">
        <f t="shared" si="11"/>
        <v>#N/A</v>
      </c>
      <c r="AR59" t="e">
        <f>IF(X59=0,NA(),-'Drilling Spec'!$C$29*0.1)</f>
        <v>#N/A</v>
      </c>
      <c r="AS59" t="e">
        <f>IF(Y59=0,NA(),-'Drilling Spec'!$C$29*0.1)</f>
        <v>#N/A</v>
      </c>
      <c r="AT59" t="e">
        <f>IF(AB59=0,NA(),-'Drilling Spec'!$C$29*0.2)</f>
        <v>#N/A</v>
      </c>
      <c r="AU59" t="e">
        <f>IF(AC59=0,NA(),-'Drilling Spec'!$C$29*0.2)</f>
        <v>#N/A</v>
      </c>
      <c r="AV59" t="e">
        <f>IF(AH59=0,NA(),-'Drilling Spec'!$C$29*0.3)</f>
        <v>#N/A</v>
      </c>
      <c r="AW59" t="e">
        <f>IF(AI59=0,NA(),-'Drilling Spec'!$C$29*0.3)</f>
        <v>#N/A</v>
      </c>
      <c r="AX59" s="29">
        <f t="shared" si="12"/>
        <v>5.0136585365853623</v>
      </c>
      <c r="AY59" s="29">
        <f t="shared" si="13"/>
        <v>3.9880389050922602</v>
      </c>
      <c r="AZ59" s="29">
        <f t="shared" si="17"/>
        <v>11.69656940393601</v>
      </c>
    </row>
    <row r="60" spans="1:57" x14ac:dyDescent="0.35">
      <c r="A60" s="28">
        <f t="shared" si="18"/>
        <v>46030</v>
      </c>
      <c r="B60" t="str">
        <f t="shared" si="0"/>
        <v>Thu</v>
      </c>
      <c r="C60" s="10" t="s">
        <v>9</v>
      </c>
      <c r="D60" s="10">
        <v>24</v>
      </c>
      <c r="E60" s="4">
        <f t="shared" si="1"/>
        <v>24</v>
      </c>
      <c r="F60" s="4">
        <f t="shared" si="2"/>
        <v>672</v>
      </c>
      <c r="G60" s="4">
        <f t="shared" si="3"/>
        <v>1440</v>
      </c>
      <c r="H60" s="15">
        <f>(SQRT(4*I59*I59*V*V + 'Drilling Spec'!$C$42*I59 + W*('Drilling Spec'!$C$43 + 2*l*V*(s*W + 2*V*G60/(1+e)) + 'Drilling Spec'!$C$44)) - 'Drilling Spec'!$C$45)/(2*V)</f>
        <v>635.57350235060562</v>
      </c>
      <c r="I60" s="23">
        <f>IF(AND(OR(I59=0,I59=""),F60=0),IF(F61=0,"",'Drilling Spec'!$C$26),H60)</f>
        <v>635.57350235060562</v>
      </c>
      <c r="J60" s="16">
        <f>MAX(0,I60-'Drilling Spec'!$C$30)</f>
        <v>555.57350235060562</v>
      </c>
      <c r="K60" s="18">
        <f>IFERROR(J60/'Drilling Spec'!$C$31,0)</f>
        <v>37.038233490040376</v>
      </c>
      <c r="L60" s="21">
        <f t="shared" si="4"/>
        <v>0</v>
      </c>
      <c r="M60" s="4">
        <f t="shared" si="14"/>
        <v>0</v>
      </c>
      <c r="N60" s="21">
        <f t="shared" si="5"/>
        <v>0</v>
      </c>
      <c r="O60" s="18">
        <f>(SQRT(4*O59*O59*vB*vB + 'Drilling Spec'!$C$48*O59 + WB*('Drilling Spec'!$C$49 + 2*lB*vB*(sB*WB + 2*vB*N60/(1+eB)) + 'Drilling Spec'!$C$50)) - 'Drilling Spec'!$C$51)/(2*vB)</f>
        <v>0</v>
      </c>
      <c r="P60" s="18">
        <f>IFERROR(((S60-'Drilling Spec'!$C$30)/'Drilling Spec'!$C$31)*'Drilling Spec'!$C$32,0)</f>
        <v>0</v>
      </c>
      <c r="Q60" s="18">
        <f t="shared" si="15"/>
        <v>0</v>
      </c>
      <c r="R60" s="18"/>
      <c r="S60" s="26" t="str">
        <f>IF(AND(OR(T59=0,T59=""),M60=0),IF(M61=0,"",'Drilling Spec'!$C$30),O60)</f>
        <v/>
      </c>
      <c r="U60" s="15">
        <f>E60*'Drilling Spec'!$C$22 + L60*'Drilling Spec'!$C$23</f>
        <v>0.4809756097560976</v>
      </c>
      <c r="V60" s="15">
        <f t="shared" si="16"/>
        <v>13.467317073170729</v>
      </c>
      <c r="W60" s="15">
        <f t="shared" si="6"/>
        <v>4.5326829268292643</v>
      </c>
      <c r="X60" s="10"/>
      <c r="Y60" s="30">
        <f>IF(W60&lt;U61,'Drilling Spec'!$C$35,0)</f>
        <v>0</v>
      </c>
      <c r="AA60" s="4">
        <f t="shared" si="19"/>
        <v>40</v>
      </c>
      <c r="AB60" s="10"/>
      <c r="AC60" s="30">
        <f>IF('08-07-25-Scen7-GennyFail'!K61&gt;'08-07-25-Scen7-GennyFail'!AA60,'Drilling Spec'!$C$36,)</f>
        <v>0</v>
      </c>
      <c r="AE60" s="18">
        <f>(I60-'Drilling Spec'!$C$26)/'Drilling Spec'!$C$38</f>
        <v>94.262250391767608</v>
      </c>
      <c r="AF60" s="18">
        <f t="shared" si="7"/>
        <v>2.5656809878315983</v>
      </c>
      <c r="AG60" s="34">
        <f t="shared" si="8"/>
        <v>14.262250391767608</v>
      </c>
      <c r="AH60" s="10"/>
      <c r="AI60" s="26">
        <f>IF(C60="Camp Closed",AG60,IF(AG60&lt;'Drilling Spec'!$C$39,,'Drilling Spec'!$C$39))</f>
        <v>0</v>
      </c>
      <c r="AL60" s="16">
        <f t="shared" si="9"/>
        <v>-635.57350235060562</v>
      </c>
      <c r="AM60" s="16" t="e">
        <f t="shared" si="10"/>
        <v>#N/A</v>
      </c>
      <c r="AN60">
        <f>-'Drilling Spec'!$C$29</f>
        <v>-720</v>
      </c>
      <c r="AO60">
        <f>-'Drilling Spec'!$C$27</f>
        <v>-624</v>
      </c>
      <c r="AP60">
        <f>-'Drilling Spec'!$C$28</f>
        <v>-688</v>
      </c>
      <c r="AQ60" t="e">
        <f t="shared" si="11"/>
        <v>#N/A</v>
      </c>
      <c r="AR60" t="e">
        <f>IF(X60=0,NA(),-'Drilling Spec'!$C$29*0.1)</f>
        <v>#N/A</v>
      </c>
      <c r="AS60" t="e">
        <f>IF(Y60=0,NA(),-'Drilling Spec'!$C$29*0.1)</f>
        <v>#N/A</v>
      </c>
      <c r="AT60" t="e">
        <f>IF(AB60=0,NA(),-'Drilling Spec'!$C$29*0.2)</f>
        <v>#N/A</v>
      </c>
      <c r="AU60" t="e">
        <f>IF(AC60=0,NA(),-'Drilling Spec'!$C$29*0.2)</f>
        <v>#N/A</v>
      </c>
      <c r="AV60" t="e">
        <f>IF(AH60=0,NA(),-'Drilling Spec'!$C$29*0.3)</f>
        <v>#N/A</v>
      </c>
      <c r="AW60" t="e">
        <f>IF(AI60=0,NA(),-'Drilling Spec'!$C$29*0.3)</f>
        <v>#N/A</v>
      </c>
      <c r="AX60" s="29">
        <f t="shared" si="12"/>
        <v>4.5326829268292643</v>
      </c>
      <c r="AY60" s="29">
        <f t="shared" si="13"/>
        <v>2.9617665099596238</v>
      </c>
      <c r="AZ60" s="29">
        <f t="shared" si="17"/>
        <v>14.262250391767608</v>
      </c>
    </row>
    <row r="61" spans="1:57" x14ac:dyDescent="0.35">
      <c r="A61" s="28">
        <f t="shared" si="18"/>
        <v>46031</v>
      </c>
      <c r="B61" t="str">
        <f t="shared" si="0"/>
        <v>Fri</v>
      </c>
      <c r="C61" s="10" t="s">
        <v>9</v>
      </c>
      <c r="D61" s="10">
        <v>24</v>
      </c>
      <c r="E61" s="4">
        <f t="shared" si="1"/>
        <v>24</v>
      </c>
      <c r="F61" s="4">
        <f t="shared" si="2"/>
        <v>696</v>
      </c>
      <c r="G61" s="4">
        <f t="shared" si="3"/>
        <v>1440</v>
      </c>
      <c r="H61" s="15">
        <f>(SQRT(4*I60*I60*V*V + 'Drilling Spec'!$C$42*I60 + W*('Drilling Spec'!$C$43 + 2*l*V*(s*W + 2*V*G61/(1+e)) + 'Drilling Spec'!$C$44)) - 'Drilling Spec'!$C$45)/(2*V)</f>
        <v>650.76665889374954</v>
      </c>
      <c r="I61" s="23">
        <f>IF(AND(OR(I60=0,I60=""),F61=0),IF(F62=0,"",'Drilling Spec'!$C$26),H61)</f>
        <v>650.76665889374954</v>
      </c>
      <c r="J61" s="16">
        <f>MAX(0,I61-'Drilling Spec'!$C$30)</f>
        <v>570.76665889374954</v>
      </c>
      <c r="K61" s="18">
        <f>IFERROR(J61/'Drilling Spec'!$C$31,0)</f>
        <v>38.051110592916636</v>
      </c>
      <c r="L61" s="21">
        <f t="shared" si="4"/>
        <v>0</v>
      </c>
      <c r="M61" s="4">
        <f t="shared" si="14"/>
        <v>0</v>
      </c>
      <c r="N61" s="21">
        <f t="shared" si="5"/>
        <v>0</v>
      </c>
      <c r="O61" s="18">
        <f>(SQRT(4*O60*O60*vB*vB + 'Drilling Spec'!$C$48*O60 + WB*('Drilling Spec'!$C$49 + 2*lB*vB*(sB*WB + 2*vB*N61/(1+eB)) + 'Drilling Spec'!$C$50)) - 'Drilling Spec'!$C$51)/(2*vB)</f>
        <v>0</v>
      </c>
      <c r="P61" s="18">
        <f>IFERROR(((S61-'Drilling Spec'!$C$30)/'Drilling Spec'!$C$31)*'Drilling Spec'!$C$32,0)</f>
        <v>0</v>
      </c>
      <c r="Q61" s="18">
        <f t="shared" si="15"/>
        <v>0</v>
      </c>
      <c r="R61" s="18"/>
      <c r="S61" s="26" t="str">
        <f>IF(AND(OR(T60=0,T60=""),M61=0),IF(M62=0,"",'Drilling Spec'!$C$30),O61)</f>
        <v/>
      </c>
      <c r="U61" s="15">
        <f>E61*'Drilling Spec'!$C$22 + L61*'Drilling Spec'!$C$23</f>
        <v>0.4809756097560976</v>
      </c>
      <c r="V61" s="15">
        <f t="shared" si="16"/>
        <v>13.948292682926827</v>
      </c>
      <c r="W61" s="15">
        <f t="shared" si="6"/>
        <v>4.0517073170731663</v>
      </c>
      <c r="X61" s="10"/>
      <c r="Y61" s="30">
        <f>IF(W61&lt;U62,'Drilling Spec'!$C$35,0)</f>
        <v>0</v>
      </c>
      <c r="AA61" s="4">
        <f t="shared" si="19"/>
        <v>40</v>
      </c>
      <c r="AB61" s="10"/>
      <c r="AC61" s="30">
        <f>IF('08-07-25-Scen7-GennyFail'!K62&gt;'08-07-25-Scen7-GennyFail'!AA61,'Drilling Spec'!$C$36,)</f>
        <v>0</v>
      </c>
      <c r="AE61" s="18">
        <f>(I61-'Drilling Spec'!$C$26)/'Drilling Spec'!$C$38</f>
        <v>96.794443148958251</v>
      </c>
      <c r="AF61" s="18">
        <f t="shared" si="7"/>
        <v>2.5321927571906429</v>
      </c>
      <c r="AG61" s="34">
        <f t="shared" si="8"/>
        <v>16.794443148958251</v>
      </c>
      <c r="AH61" s="10"/>
      <c r="AI61" s="26">
        <f>IF(C61="Camp Closed",AG61,IF(AG61&lt;'Drilling Spec'!$C$39,,'Drilling Spec'!$C$39))</f>
        <v>0</v>
      </c>
      <c r="AL61" s="16">
        <f t="shared" si="9"/>
        <v>-650.76665889374954</v>
      </c>
      <c r="AM61" s="16" t="e">
        <f t="shared" si="10"/>
        <v>#N/A</v>
      </c>
      <c r="AN61">
        <f>-'Drilling Spec'!$C$29</f>
        <v>-720</v>
      </c>
      <c r="AO61">
        <f>-'Drilling Spec'!$C$27</f>
        <v>-624</v>
      </c>
      <c r="AP61">
        <f>-'Drilling Spec'!$C$28</f>
        <v>-688</v>
      </c>
      <c r="AQ61" t="e">
        <f t="shared" si="11"/>
        <v>#N/A</v>
      </c>
      <c r="AR61" t="e">
        <f>IF(X61=0,NA(),-'Drilling Spec'!$C$29*0.1)</f>
        <v>#N/A</v>
      </c>
      <c r="AS61" t="e">
        <f>IF(Y61=0,NA(),-'Drilling Spec'!$C$29*0.1)</f>
        <v>#N/A</v>
      </c>
      <c r="AT61" t="e">
        <f>IF(AB61=0,NA(),-'Drilling Spec'!$C$29*0.2)</f>
        <v>#N/A</v>
      </c>
      <c r="AU61" t="e">
        <f>IF(AC61=0,NA(),-'Drilling Spec'!$C$29*0.2)</f>
        <v>#N/A</v>
      </c>
      <c r="AV61" t="e">
        <f>IF(AH61=0,NA(),-'Drilling Spec'!$C$29*0.3)</f>
        <v>#N/A</v>
      </c>
      <c r="AW61" t="e">
        <f>IF(AI61=0,NA(),-'Drilling Spec'!$C$29*0.3)</f>
        <v>#N/A</v>
      </c>
      <c r="AX61" s="29">
        <f t="shared" si="12"/>
        <v>4.0517073170731663</v>
      </c>
      <c r="AY61" s="29">
        <f t="shared" si="13"/>
        <v>1.9488894070833638</v>
      </c>
      <c r="AZ61" s="29">
        <f t="shared" si="17"/>
        <v>16.794443148958251</v>
      </c>
    </row>
    <row r="62" spans="1:57" x14ac:dyDescent="0.35">
      <c r="A62" s="28">
        <f t="shared" si="18"/>
        <v>46032</v>
      </c>
      <c r="B62" t="str">
        <f t="shared" si="0"/>
        <v>Sat</v>
      </c>
      <c r="C62" s="10" t="s">
        <v>9</v>
      </c>
      <c r="D62" s="10">
        <v>24</v>
      </c>
      <c r="E62" s="4">
        <f t="shared" si="1"/>
        <v>24</v>
      </c>
      <c r="F62" s="4">
        <f t="shared" si="2"/>
        <v>720</v>
      </c>
      <c r="G62" s="4">
        <f t="shared" si="3"/>
        <v>1440</v>
      </c>
      <c r="H62" s="15">
        <f>(SQRT(4*I61*I61*V*V + 'Drilling Spec'!$C$42*I61 + W*('Drilling Spec'!$C$43 + 2*l*V*(s*W + 2*V*G62/(1+e)) + 'Drilling Spec'!$C$44)) - 'Drilling Spec'!$C$45)/(2*V)</f>
        <v>665.76655432827931</v>
      </c>
      <c r="I62" s="23">
        <f>IF(AND(OR(I61=0,I61=""),F62=0),IF(F63=0,"",'Drilling Spec'!$C$26),H62)</f>
        <v>665.76655432827931</v>
      </c>
      <c r="J62" s="16">
        <f>MAX(0,I62-'Drilling Spec'!$C$30)</f>
        <v>585.76655432827931</v>
      </c>
      <c r="K62" s="18">
        <f>IFERROR(J62/'Drilling Spec'!$C$31,0)</f>
        <v>39.051103621885289</v>
      </c>
      <c r="L62" s="21">
        <f t="shared" si="4"/>
        <v>0</v>
      </c>
      <c r="M62" s="4">
        <f t="shared" si="14"/>
        <v>0</v>
      </c>
      <c r="N62" s="21">
        <f t="shared" si="5"/>
        <v>0</v>
      </c>
      <c r="O62" s="18">
        <f>(SQRT(4*O61*O61*vB*vB + 'Drilling Spec'!$C$48*O61 + WB*('Drilling Spec'!$C$49 + 2*lB*vB*(sB*WB + 2*vB*N62/(1+eB)) + 'Drilling Spec'!$C$50)) - 'Drilling Spec'!$C$51)/(2*vB)</f>
        <v>0</v>
      </c>
      <c r="P62" s="18">
        <f>IFERROR(((S62-'Drilling Spec'!$C$30)/'Drilling Spec'!$C$31)*'Drilling Spec'!$C$32,0)</f>
        <v>0</v>
      </c>
      <c r="Q62" s="18">
        <f t="shared" si="15"/>
        <v>0</v>
      </c>
      <c r="R62" s="18"/>
      <c r="S62" s="26" t="str">
        <f>IF(AND(OR(T61=0,T61=""),M62=0),IF(M63=0,"",'Drilling Spec'!$C$30),O62)</f>
        <v/>
      </c>
      <c r="U62" s="15">
        <f>E62*'Drilling Spec'!$C$22 + L62*'Drilling Spec'!$C$23</f>
        <v>0.4809756097560976</v>
      </c>
      <c r="V62" s="15">
        <f t="shared" si="16"/>
        <v>14.429268292682924</v>
      </c>
      <c r="W62" s="15">
        <f t="shared" si="6"/>
        <v>3.5707317073170688</v>
      </c>
      <c r="X62" s="10"/>
      <c r="Y62" s="30">
        <f>IF(W62&lt;U63,'Drilling Spec'!$C$35,0)</f>
        <v>0</v>
      </c>
      <c r="AA62" s="4">
        <f t="shared" si="19"/>
        <v>40</v>
      </c>
      <c r="AB62" s="10"/>
      <c r="AC62" s="30">
        <f>IF('08-07-25-Scen7-GennyFail'!K63&gt;'08-07-25-Scen7-GennyFail'!AA62,'Drilling Spec'!$C$36,)</f>
        <v>0</v>
      </c>
      <c r="AE62" s="18">
        <f>(I62-'Drilling Spec'!$C$26)/'Drilling Spec'!$C$38</f>
        <v>99.294425721379881</v>
      </c>
      <c r="AF62" s="18">
        <f t="shared" si="7"/>
        <v>2.4999825724216294</v>
      </c>
      <c r="AG62" s="34">
        <f t="shared" si="8"/>
        <v>19.294425721379881</v>
      </c>
      <c r="AH62" s="10"/>
      <c r="AI62" s="26">
        <f>IF(C62="Camp Closed",AG62,IF(AG62&lt;'Drilling Spec'!$C$39,,'Drilling Spec'!$C$39))</f>
        <v>0</v>
      </c>
      <c r="AL62" s="16">
        <f t="shared" si="9"/>
        <v>-665.76655432827931</v>
      </c>
      <c r="AM62" s="16" t="e">
        <f t="shared" si="10"/>
        <v>#N/A</v>
      </c>
      <c r="AN62">
        <f>-'Drilling Spec'!$C$29</f>
        <v>-720</v>
      </c>
      <c r="AO62">
        <f>-'Drilling Spec'!$C$27</f>
        <v>-624</v>
      </c>
      <c r="AP62">
        <f>-'Drilling Spec'!$C$28</f>
        <v>-688</v>
      </c>
      <c r="AQ62" t="e">
        <f t="shared" si="11"/>
        <v>#N/A</v>
      </c>
      <c r="AR62" t="e">
        <f>IF(X62=0,NA(),-'Drilling Spec'!$C$29*0.1)</f>
        <v>#N/A</v>
      </c>
      <c r="AS62" t="e">
        <f>IF(Y62=0,NA(),-'Drilling Spec'!$C$29*0.1)</f>
        <v>#N/A</v>
      </c>
      <c r="AT62" t="e">
        <f>IF(AB62=0,NA(),-'Drilling Spec'!$C$29*0.2)</f>
        <v>#N/A</v>
      </c>
      <c r="AU62" t="e">
        <f>IF(AC62=0,NA(),-'Drilling Spec'!$C$29*0.2)</f>
        <v>#N/A</v>
      </c>
      <c r="AV62" t="e">
        <f>IF(AH62=0,NA(),-'Drilling Spec'!$C$29*0.3)</f>
        <v>#N/A</v>
      </c>
      <c r="AW62" t="e">
        <f>IF(AI62=0,NA(),-'Drilling Spec'!$C$29*0.3)</f>
        <v>#N/A</v>
      </c>
      <c r="AX62" s="29">
        <f t="shared" si="12"/>
        <v>3.5707317073170688</v>
      </c>
      <c r="AY62" s="29">
        <f t="shared" si="13"/>
        <v>0.94889637811471061</v>
      </c>
      <c r="AZ62" s="29">
        <f t="shared" si="17"/>
        <v>19.294425721379881</v>
      </c>
    </row>
    <row r="63" spans="1:57" x14ac:dyDescent="0.35">
      <c r="A63" s="28">
        <f t="shared" si="18"/>
        <v>46033</v>
      </c>
      <c r="B63" t="str">
        <f t="shared" si="0"/>
        <v>Sun</v>
      </c>
      <c r="C63" s="10" t="s">
        <v>7</v>
      </c>
      <c r="D63" s="10">
        <v>0</v>
      </c>
      <c r="E63" s="4">
        <f t="shared" si="1"/>
        <v>0</v>
      </c>
      <c r="F63" s="4">
        <f t="shared" si="2"/>
        <v>720</v>
      </c>
      <c r="G63" s="4">
        <f t="shared" si="3"/>
        <v>0</v>
      </c>
      <c r="H63" s="15">
        <f>(SQRT(4*I62*I62*V*V + 'Drilling Spec'!$C$42*I62 + W*('Drilling Spec'!$C$43 + 2*l*V*(s*W + 2*V*G63/(1+e)) + 'Drilling Spec'!$C$44)) - 'Drilling Spec'!$C$45)/(2*V)</f>
        <v>665.76655432827931</v>
      </c>
      <c r="I63" s="23">
        <f>IF(AND(OR(I62=0,I62=""),F63=0),IF(F64=0,"",'Drilling Spec'!$C$26),H63)</f>
        <v>665.76655432827931</v>
      </c>
      <c r="J63" s="16">
        <f>MAX(0,I63-'Drilling Spec'!$C$30)</f>
        <v>585.76655432827931</v>
      </c>
      <c r="K63" s="18">
        <f>IFERROR(J63/'Drilling Spec'!$C$31,0)</f>
        <v>39.051103621885289</v>
      </c>
      <c r="L63" s="21">
        <f t="shared" si="4"/>
        <v>0</v>
      </c>
      <c r="M63" s="4">
        <f t="shared" si="14"/>
        <v>0</v>
      </c>
      <c r="N63" s="21">
        <f t="shared" si="5"/>
        <v>0</v>
      </c>
      <c r="O63" s="18">
        <f>(SQRT(4*O62*O62*vB*vB + 'Drilling Spec'!$C$48*O62 + WB*('Drilling Spec'!$C$49 + 2*lB*vB*(sB*WB + 2*vB*N63/(1+eB)) + 'Drilling Spec'!$C$50)) - 'Drilling Spec'!$C$51)/(2*vB)</f>
        <v>0</v>
      </c>
      <c r="P63" s="18">
        <f>IFERROR(((S63-'Drilling Spec'!$C$30)/'Drilling Spec'!$C$31)*'Drilling Spec'!$C$32,0)</f>
        <v>0</v>
      </c>
      <c r="Q63" s="18">
        <f t="shared" si="15"/>
        <v>0</v>
      </c>
      <c r="R63" s="18"/>
      <c r="S63" s="26" t="str">
        <f>IF(AND(OR(T62=0,T62=""),M63=0),IF(M64=0,"",'Drilling Spec'!$C$30),O63)</f>
        <v/>
      </c>
      <c r="U63" s="15">
        <f>E63*'Drilling Spec'!$C$22 + L63*'Drilling Spec'!$C$23</f>
        <v>0</v>
      </c>
      <c r="V63" s="15">
        <f t="shared" si="16"/>
        <v>14.429268292682924</v>
      </c>
      <c r="W63" s="15">
        <f t="shared" si="6"/>
        <v>3.5707317073170688</v>
      </c>
      <c r="X63" s="10"/>
      <c r="Y63" s="30">
        <f>IF(W63&lt;U64,'Drilling Spec'!$C$35,0)</f>
        <v>0</v>
      </c>
      <c r="AA63" s="4">
        <f t="shared" si="19"/>
        <v>40</v>
      </c>
      <c r="AB63" s="10"/>
      <c r="AC63" s="30">
        <f>IF('08-07-25-Scen7-GennyFail'!K64&gt;'08-07-25-Scen7-GennyFail'!AA63,'Drilling Spec'!$C$36,)</f>
        <v>6</v>
      </c>
      <c r="AE63" s="18">
        <f>(I63-'Drilling Spec'!$C$26)/'Drilling Spec'!$C$38</f>
        <v>99.294425721379881</v>
      </c>
      <c r="AF63" s="18">
        <f t="shared" si="7"/>
        <v>0</v>
      </c>
      <c r="AG63" s="34">
        <f t="shared" si="8"/>
        <v>19.294425721379881</v>
      </c>
      <c r="AH63" s="10"/>
      <c r="AI63" s="26">
        <f>IF(C63="Camp Closed",AG63,IF(AG63&lt;'Drilling Spec'!$C$39,,'Drilling Spec'!$C$39))</f>
        <v>0</v>
      </c>
      <c r="AL63" s="16">
        <f t="shared" si="9"/>
        <v>-665.76655432827931</v>
      </c>
      <c r="AM63" s="16" t="e">
        <f t="shared" si="10"/>
        <v>#N/A</v>
      </c>
      <c r="AN63">
        <f>-'Drilling Spec'!$C$29</f>
        <v>-720</v>
      </c>
      <c r="AO63">
        <f>-'Drilling Spec'!$C$27</f>
        <v>-624</v>
      </c>
      <c r="AP63">
        <f>-'Drilling Spec'!$C$28</f>
        <v>-688</v>
      </c>
      <c r="AQ63" t="e">
        <f t="shared" si="11"/>
        <v>#N/A</v>
      </c>
      <c r="AR63" t="e">
        <f>IF(X63=0,NA(),-'Drilling Spec'!$C$29*0.1)</f>
        <v>#N/A</v>
      </c>
      <c r="AS63" t="e">
        <f>IF(Y63=0,NA(),-'Drilling Spec'!$C$29*0.1)</f>
        <v>#N/A</v>
      </c>
      <c r="AT63" t="e">
        <f>IF(AB63=0,NA(),-'Drilling Spec'!$C$29*0.2)</f>
        <v>#N/A</v>
      </c>
      <c r="AU63">
        <f>IF(AC63=0,NA(),-'Drilling Spec'!$C$29*0.2)</f>
        <v>-144</v>
      </c>
      <c r="AV63" t="e">
        <f>IF(AH63=0,NA(),-'Drilling Spec'!$C$29*0.3)</f>
        <v>#N/A</v>
      </c>
      <c r="AW63" t="e">
        <f>IF(AI63=0,NA(),-'Drilling Spec'!$C$29*0.3)</f>
        <v>#N/A</v>
      </c>
      <c r="AX63" s="29">
        <f t="shared" si="12"/>
        <v>3.5707317073170688</v>
      </c>
      <c r="AY63" s="29">
        <f t="shared" si="13"/>
        <v>0.94889637811471061</v>
      </c>
      <c r="AZ63" s="29">
        <f t="shared" si="17"/>
        <v>19.294425721379881</v>
      </c>
    </row>
    <row r="64" spans="1:57" x14ac:dyDescent="0.35">
      <c r="A64" s="28">
        <f t="shared" si="18"/>
        <v>46034</v>
      </c>
      <c r="B64" t="str">
        <f t="shared" si="0"/>
        <v>Mon</v>
      </c>
      <c r="C64" s="10" t="s">
        <v>9</v>
      </c>
      <c r="D64" s="10">
        <v>24</v>
      </c>
      <c r="E64" s="4">
        <f t="shared" si="1"/>
        <v>24</v>
      </c>
      <c r="F64" s="4">
        <f t="shared" si="2"/>
        <v>744</v>
      </c>
      <c r="G64" s="4">
        <f t="shared" si="3"/>
        <v>1440</v>
      </c>
      <c r="H64" s="15">
        <f>(SQRT(4*I63*I63*V*V + 'Drilling Spec'!$C$42*I63 + W*('Drilling Spec'!$C$43 + 2*l*V*(s*W + 2*V*G64/(1+e)) + 'Drilling Spec'!$C$44)) - 'Drilling Spec'!$C$45)/(2*V)</f>
        <v>680.58038124086897</v>
      </c>
      <c r="I64" s="23">
        <f>IF(AND(OR(I63=0,I63=""),F64=0),IF(F65=0,"",'Drilling Spec'!$C$26),H64)</f>
        <v>680.58038124086897</v>
      </c>
      <c r="J64" s="16">
        <f>MAX(0,I64-'Drilling Spec'!$C$30)</f>
        <v>600.58038124086897</v>
      </c>
      <c r="K64" s="18">
        <f>IFERROR(J64/'Drilling Spec'!$C$31,0)</f>
        <v>40.038692082724602</v>
      </c>
      <c r="L64" s="21">
        <f t="shared" si="4"/>
        <v>0</v>
      </c>
      <c r="M64" s="4">
        <f t="shared" si="14"/>
        <v>0</v>
      </c>
      <c r="N64" s="21">
        <f t="shared" si="5"/>
        <v>0</v>
      </c>
      <c r="O64" s="18">
        <f>(SQRT(4*O63*O63*vB*vB + 'Drilling Spec'!$C$48*O63 + WB*('Drilling Spec'!$C$49 + 2*lB*vB*(sB*WB + 2*vB*N64/(1+eB)) + 'Drilling Spec'!$C$50)) - 'Drilling Spec'!$C$51)/(2*vB)</f>
        <v>0</v>
      </c>
      <c r="P64" s="18">
        <f>IFERROR(((S64-'Drilling Spec'!$C$30)/'Drilling Spec'!$C$31)*'Drilling Spec'!$C$32,0)</f>
        <v>0</v>
      </c>
      <c r="Q64" s="18">
        <f t="shared" si="15"/>
        <v>0</v>
      </c>
      <c r="R64" s="18"/>
      <c r="S64" s="26" t="str">
        <f>IF(AND(OR(T63=0,T63=""),M64=0),IF(M65=0,"",'Drilling Spec'!$C$30),O64)</f>
        <v/>
      </c>
      <c r="U64" s="15">
        <f>E64*'Drilling Spec'!$C$22 + L64*'Drilling Spec'!$C$23</f>
        <v>0.4809756097560976</v>
      </c>
      <c r="V64" s="15">
        <f t="shared" si="16"/>
        <v>14.910243902439021</v>
      </c>
      <c r="W64" s="15">
        <f t="shared" si="6"/>
        <v>3.0897560975609712</v>
      </c>
      <c r="X64" s="10"/>
      <c r="Y64" s="30">
        <f>IF(W64&lt;U65,'Drilling Spec'!$C$35,0)</f>
        <v>0</v>
      </c>
      <c r="AA64" s="4">
        <f t="shared" si="19"/>
        <v>46</v>
      </c>
      <c r="AB64" s="10"/>
      <c r="AC64" s="30">
        <f>IF('08-07-25-Scen7-GennyFail'!K65&gt;'08-07-25-Scen7-GennyFail'!AA64,'Drilling Spec'!$C$36,)</f>
        <v>0</v>
      </c>
      <c r="AE64" s="18">
        <f>(I64-'Drilling Spec'!$C$26)/'Drilling Spec'!$C$38</f>
        <v>101.76339687347816</v>
      </c>
      <c r="AF64" s="18">
        <f t="shared" si="7"/>
        <v>2.4689711520982769</v>
      </c>
      <c r="AG64" s="34">
        <f t="shared" si="8"/>
        <v>21.763396873478158</v>
      </c>
      <c r="AH64" s="10"/>
      <c r="AI64" s="26">
        <f>IF(C64="Camp Closed",AG64,IF(AG64&lt;'Drilling Spec'!$C$39,,'Drilling Spec'!$C$39))</f>
        <v>20</v>
      </c>
      <c r="AL64" s="16">
        <f t="shared" si="9"/>
        <v>-680.58038124086897</v>
      </c>
      <c r="AM64" s="16" t="e">
        <f t="shared" si="10"/>
        <v>#N/A</v>
      </c>
      <c r="AN64">
        <f>-'Drilling Spec'!$C$29</f>
        <v>-720</v>
      </c>
      <c r="AO64">
        <f>-'Drilling Spec'!$C$27</f>
        <v>-624</v>
      </c>
      <c r="AP64">
        <f>-'Drilling Spec'!$C$28</f>
        <v>-688</v>
      </c>
      <c r="AQ64" t="e">
        <f t="shared" si="11"/>
        <v>#N/A</v>
      </c>
      <c r="AR64" t="e">
        <f>IF(X64=0,NA(),-'Drilling Spec'!$C$29*0.1)</f>
        <v>#N/A</v>
      </c>
      <c r="AS64" t="e">
        <f>IF(Y64=0,NA(),-'Drilling Spec'!$C$29*0.1)</f>
        <v>#N/A</v>
      </c>
      <c r="AT64" t="e">
        <f>IF(AB64=0,NA(),-'Drilling Spec'!$C$29*0.2)</f>
        <v>#N/A</v>
      </c>
      <c r="AU64" t="e">
        <f>IF(AC64=0,NA(),-'Drilling Spec'!$C$29*0.2)</f>
        <v>#N/A</v>
      </c>
      <c r="AV64" t="e">
        <f>IF(AH64=0,NA(),-'Drilling Spec'!$C$29*0.3)</f>
        <v>#N/A</v>
      </c>
      <c r="AW64">
        <f>IF(AI64=0,NA(),-'Drilling Spec'!$C$29*0.3)</f>
        <v>-216</v>
      </c>
      <c r="AX64" s="29">
        <f t="shared" si="12"/>
        <v>3.0897560975609712</v>
      </c>
      <c r="AY64" s="29">
        <f t="shared" si="13"/>
        <v>5.9613079172753984</v>
      </c>
      <c r="AZ64" s="29">
        <f t="shared" si="17"/>
        <v>21.763396873478158</v>
      </c>
    </row>
    <row r="65" spans="1:52" x14ac:dyDescent="0.35">
      <c r="A65" s="28">
        <f t="shared" si="18"/>
        <v>46035</v>
      </c>
      <c r="B65" t="str">
        <f t="shared" si="0"/>
        <v>Tue</v>
      </c>
      <c r="C65" s="10" t="s">
        <v>9</v>
      </c>
      <c r="D65" s="10">
        <v>24</v>
      </c>
      <c r="E65" s="4">
        <f t="shared" si="1"/>
        <v>24</v>
      </c>
      <c r="F65" s="4">
        <f t="shared" si="2"/>
        <v>768</v>
      </c>
      <c r="G65" s="4">
        <f t="shared" si="3"/>
        <v>1440</v>
      </c>
      <c r="H65" s="15">
        <f>(SQRT(4*I64*I64*V*V + 'Drilling Spec'!$C$42*I64 + W*('Drilling Spec'!$C$43 + 2*l*V*(s*W + 2*V*G65/(1+e)) + 'Drilling Spec'!$C$44)) - 'Drilling Spec'!$C$45)/(2*V)</f>
        <v>695.2148968442765</v>
      </c>
      <c r="I65" s="23">
        <f>IF(AND(OR(I64=0,I64=""),F65=0),IF(F66=0,"",'Drilling Spec'!$C$26),H65)</f>
        <v>695.2148968442765</v>
      </c>
      <c r="J65" s="16">
        <f>MAX(0,I65-'Drilling Spec'!$C$30)</f>
        <v>615.2148968442765</v>
      </c>
      <c r="K65" s="18">
        <f>IFERROR(J65/'Drilling Spec'!$C$31,0)</f>
        <v>41.014326456285097</v>
      </c>
      <c r="L65" s="21">
        <f t="shared" si="4"/>
        <v>0</v>
      </c>
      <c r="M65" s="4">
        <f t="shared" si="14"/>
        <v>0</v>
      </c>
      <c r="N65" s="21">
        <f t="shared" si="5"/>
        <v>0</v>
      </c>
      <c r="O65" s="18">
        <f>(SQRT(4*O64*O64*vB*vB + 'Drilling Spec'!$C$48*O64 + WB*('Drilling Spec'!$C$49 + 2*lB*vB*(sB*WB + 2*vB*N65/(1+eB)) + 'Drilling Spec'!$C$50)) - 'Drilling Spec'!$C$51)/(2*vB)</f>
        <v>0</v>
      </c>
      <c r="P65" s="18">
        <f>IFERROR(((S65-'Drilling Spec'!$C$30)/'Drilling Spec'!$C$31)*'Drilling Spec'!$C$32,0)</f>
        <v>0</v>
      </c>
      <c r="Q65" s="18">
        <f t="shared" si="15"/>
        <v>0</v>
      </c>
      <c r="R65" s="18"/>
      <c r="S65" s="26" t="str">
        <f>IF(AND(OR(T64=0,T64=""),M65=0),IF(M66=0,"",'Drilling Spec'!$C$30),O65)</f>
        <v/>
      </c>
      <c r="U65" s="15">
        <f>E65*'Drilling Spec'!$C$22 + L65*'Drilling Spec'!$C$23</f>
        <v>0.4809756097560976</v>
      </c>
      <c r="V65" s="15">
        <f t="shared" si="16"/>
        <v>15.391219512195118</v>
      </c>
      <c r="W65" s="15">
        <f t="shared" si="6"/>
        <v>2.6087804878048737</v>
      </c>
      <c r="X65" s="10"/>
      <c r="Y65" s="30">
        <f>IF(W65&lt;U66,'Drilling Spec'!$C$35,0)</f>
        <v>0</v>
      </c>
      <c r="AA65" s="4">
        <f t="shared" si="19"/>
        <v>46</v>
      </c>
      <c r="AB65" s="10"/>
      <c r="AC65" s="30">
        <f>IF('08-07-25-Scen7-GennyFail'!K66&gt;'08-07-25-Scen7-GennyFail'!AA65,'Drilling Spec'!$C$36,)</f>
        <v>0</v>
      </c>
      <c r="AE65" s="18">
        <f>(I65-'Drilling Spec'!$C$26)/'Drilling Spec'!$C$38</f>
        <v>104.20248280737941</v>
      </c>
      <c r="AF65" s="18">
        <f t="shared" si="7"/>
        <v>2.4390859339012536</v>
      </c>
      <c r="AG65" s="34">
        <f t="shared" si="8"/>
        <v>4.2024828073794112</v>
      </c>
      <c r="AH65" s="10"/>
      <c r="AI65" s="26">
        <f>IF(C65="Camp Closed",AG65,IF(AG65&lt;'Drilling Spec'!$C$39,,'Drilling Spec'!$C$39))</f>
        <v>0</v>
      </c>
      <c r="AL65" s="16">
        <f t="shared" si="9"/>
        <v>-695.2148968442765</v>
      </c>
      <c r="AM65" s="16" t="e">
        <f t="shared" si="10"/>
        <v>#N/A</v>
      </c>
      <c r="AN65">
        <f>-'Drilling Spec'!$C$29</f>
        <v>-720</v>
      </c>
      <c r="AO65">
        <f>-'Drilling Spec'!$C$27</f>
        <v>-624</v>
      </c>
      <c r="AP65">
        <f>-'Drilling Spec'!$C$28</f>
        <v>-688</v>
      </c>
      <c r="AQ65" t="e">
        <f t="shared" si="11"/>
        <v>#N/A</v>
      </c>
      <c r="AR65" t="e">
        <f>IF(X65=0,NA(),-'Drilling Spec'!$C$29*0.1)</f>
        <v>#N/A</v>
      </c>
      <c r="AS65" t="e">
        <f>IF(Y65=0,NA(),-'Drilling Spec'!$C$29*0.1)</f>
        <v>#N/A</v>
      </c>
      <c r="AT65" t="e">
        <f>IF(AB65=0,NA(),-'Drilling Spec'!$C$29*0.2)</f>
        <v>#N/A</v>
      </c>
      <c r="AU65" t="e">
        <f>IF(AC65=0,NA(),-'Drilling Spec'!$C$29*0.2)</f>
        <v>#N/A</v>
      </c>
      <c r="AV65" t="e">
        <f>IF(AH65=0,NA(),-'Drilling Spec'!$C$29*0.3)</f>
        <v>#N/A</v>
      </c>
      <c r="AW65" t="e">
        <f>IF(AI65=0,NA(),-'Drilling Spec'!$C$29*0.3)</f>
        <v>#N/A</v>
      </c>
      <c r="AX65" s="29">
        <f t="shared" si="12"/>
        <v>2.6087804878048737</v>
      </c>
      <c r="AY65" s="29">
        <f t="shared" si="13"/>
        <v>4.9856735437149027</v>
      </c>
      <c r="AZ65" s="29">
        <f t="shared" si="17"/>
        <v>4.2024828073794112</v>
      </c>
    </row>
    <row r="66" spans="1:52" x14ac:dyDescent="0.35">
      <c r="A66" s="28">
        <f t="shared" si="18"/>
        <v>46036</v>
      </c>
      <c r="B66" t="str">
        <f t="shared" si="0"/>
        <v>Wed</v>
      </c>
      <c r="C66" s="10" t="s">
        <v>9</v>
      </c>
      <c r="D66" s="10">
        <v>24</v>
      </c>
      <c r="E66" s="4">
        <f t="shared" si="1"/>
        <v>24</v>
      </c>
      <c r="F66" s="4">
        <f t="shared" si="2"/>
        <v>792</v>
      </c>
      <c r="G66" s="4">
        <f t="shared" si="3"/>
        <v>1440</v>
      </c>
      <c r="H66" s="15">
        <f>(SQRT(4*I65*I65*V*V + 'Drilling Spec'!$C$42*I65 + W*('Drilling Spec'!$C$43 + 2*l*V*(s*W + 2*V*G66/(1+e)) + 'Drilling Spec'!$C$44)) - 'Drilling Spec'!$C$45)/(2*V)</f>
        <v>709.67645900268121</v>
      </c>
      <c r="I66" s="23">
        <f>IF(AND(OR(I65=0,I65=""),F66=0),IF(F67=0,"",'Drilling Spec'!$C$26),H66)</f>
        <v>709.67645900268121</v>
      </c>
      <c r="J66" s="16">
        <f>MAX(0,I66-'Drilling Spec'!$C$30)</f>
        <v>629.67645900268121</v>
      </c>
      <c r="K66" s="18">
        <f>IFERROR(J66/'Drilling Spec'!$C$31,0)</f>
        <v>41.978430600178747</v>
      </c>
      <c r="L66" s="21">
        <f t="shared" si="4"/>
        <v>0</v>
      </c>
      <c r="M66" s="4">
        <f t="shared" si="14"/>
        <v>0</v>
      </c>
      <c r="N66" s="21">
        <f t="shared" si="5"/>
        <v>0</v>
      </c>
      <c r="O66" s="18">
        <f>(SQRT(4*O65*O65*vB*vB + 'Drilling Spec'!$C$48*O65 + WB*('Drilling Spec'!$C$49 + 2*lB*vB*(sB*WB + 2*vB*N66/(1+eB)) + 'Drilling Spec'!$C$50)) - 'Drilling Spec'!$C$51)/(2*vB)</f>
        <v>0</v>
      </c>
      <c r="P66" s="18">
        <f>IFERROR(((S66-'Drilling Spec'!$C$30)/'Drilling Spec'!$C$31)*'Drilling Spec'!$C$32,0)</f>
        <v>0</v>
      </c>
      <c r="Q66" s="18">
        <f t="shared" si="15"/>
        <v>0</v>
      </c>
      <c r="R66" s="18"/>
      <c r="S66" s="26" t="str">
        <f>IF(AND(OR(T65=0,T65=""),M66=0),IF(M67=0,"",'Drilling Spec'!$C$30),O66)</f>
        <v/>
      </c>
      <c r="U66" s="15">
        <f>E66*'Drilling Spec'!$C$22 + L66*'Drilling Spec'!$C$23</f>
        <v>0.4809756097560976</v>
      </c>
      <c r="V66" s="15">
        <f t="shared" si="16"/>
        <v>15.872195121951215</v>
      </c>
      <c r="W66" s="15">
        <f t="shared" si="6"/>
        <v>2.1278048780487762</v>
      </c>
      <c r="X66" s="10"/>
      <c r="Y66" s="30">
        <f>IF(W66&lt;U67,'Drilling Spec'!$C$35,0)</f>
        <v>0</v>
      </c>
      <c r="AA66" s="4">
        <f t="shared" si="19"/>
        <v>46</v>
      </c>
      <c r="AB66" s="10"/>
      <c r="AC66" s="30">
        <f>IF('08-07-25-Scen7-GennyFail'!K67&gt;'08-07-25-Scen7-GennyFail'!AA66,'Drilling Spec'!$C$36,)</f>
        <v>0</v>
      </c>
      <c r="AE66" s="18">
        <f>(I66-'Drilling Spec'!$C$26)/'Drilling Spec'!$C$38</f>
        <v>106.61274316711354</v>
      </c>
      <c r="AF66" s="18">
        <f t="shared" si="7"/>
        <v>2.4102603597341243</v>
      </c>
      <c r="AG66" s="34">
        <f t="shared" si="8"/>
        <v>6.6127431671135355</v>
      </c>
      <c r="AH66" s="10"/>
      <c r="AI66" s="26">
        <f>IF(C66="Camp Closed",AG66,IF(AG66&lt;'Drilling Spec'!$C$39,,'Drilling Spec'!$C$39))</f>
        <v>0</v>
      </c>
      <c r="AL66" s="16">
        <f t="shared" si="9"/>
        <v>-709.67645900268121</v>
      </c>
      <c r="AM66" s="16" t="e">
        <f t="shared" si="10"/>
        <v>#N/A</v>
      </c>
      <c r="AN66">
        <f>-'Drilling Spec'!$C$29</f>
        <v>-720</v>
      </c>
      <c r="AO66">
        <f>-'Drilling Spec'!$C$27</f>
        <v>-624</v>
      </c>
      <c r="AP66">
        <f>-'Drilling Spec'!$C$28</f>
        <v>-688</v>
      </c>
      <c r="AQ66" t="e">
        <f t="shared" si="11"/>
        <v>#N/A</v>
      </c>
      <c r="AR66" t="e">
        <f>IF(X66=0,NA(),-'Drilling Spec'!$C$29*0.1)</f>
        <v>#N/A</v>
      </c>
      <c r="AS66" t="e">
        <f>IF(Y66=0,NA(),-'Drilling Spec'!$C$29*0.1)</f>
        <v>#N/A</v>
      </c>
      <c r="AT66" t="e">
        <f>IF(AB66=0,NA(),-'Drilling Spec'!$C$29*0.2)</f>
        <v>#N/A</v>
      </c>
      <c r="AU66" t="e">
        <f>IF(AC66=0,NA(),-'Drilling Spec'!$C$29*0.2)</f>
        <v>#N/A</v>
      </c>
      <c r="AV66" t="e">
        <f>IF(AH66=0,NA(),-'Drilling Spec'!$C$29*0.3)</f>
        <v>#N/A</v>
      </c>
      <c r="AW66" t="e">
        <f>IF(AI66=0,NA(),-'Drilling Spec'!$C$29*0.3)</f>
        <v>#N/A</v>
      </c>
      <c r="AX66" s="29">
        <f t="shared" si="12"/>
        <v>2.1278048780487762</v>
      </c>
      <c r="AY66" s="29">
        <f t="shared" si="13"/>
        <v>4.0215693998212529</v>
      </c>
      <c r="AZ66" s="29">
        <f t="shared" si="17"/>
        <v>6.6127431671135355</v>
      </c>
    </row>
    <row r="67" spans="1:52" x14ac:dyDescent="0.35">
      <c r="A67" s="28">
        <f t="shared" si="18"/>
        <v>46037</v>
      </c>
      <c r="B67" t="str">
        <f t="shared" ref="B67:B112" si="20">TEXT(A67,"ddd")</f>
        <v>Thu</v>
      </c>
      <c r="C67" s="10" t="s">
        <v>9</v>
      </c>
      <c r="D67" s="10">
        <v>24</v>
      </c>
      <c r="E67" s="4">
        <f t="shared" ref="E67:E112" si="21">IF(C67="Drilling",D67,0)</f>
        <v>24</v>
      </c>
      <c r="F67" s="4">
        <f t="shared" ref="F67:F112" si="22">(F66+E67)</f>
        <v>816</v>
      </c>
      <c r="G67" s="4">
        <f t="shared" ref="G67:G112" si="23">E67*60</f>
        <v>1440</v>
      </c>
      <c r="H67" s="15">
        <f>(SQRT(4*I66*I66*V*V + 'Drilling Spec'!$C$42*I66 + W*('Drilling Spec'!$C$43 + 2*l*V*(s*W + 2*V*G67/(1+e)) + 'Drilling Spec'!$C$44)) - 'Drilling Spec'!$C$45)/(2*V)</f>
        <v>723.9710585126478</v>
      </c>
      <c r="I67" s="23">
        <f>IF(AND(OR(I66=0,I66=""),F67=0),IF(F68=0,"",'Drilling Spec'!$C$26),H67)</f>
        <v>723.9710585126478</v>
      </c>
      <c r="J67" s="16">
        <f>MAX(0,I67-'Drilling Spec'!$C$30)</f>
        <v>643.9710585126478</v>
      </c>
      <c r="K67" s="18">
        <f>IFERROR(J67/'Drilling Spec'!$C$31,0)</f>
        <v>42.931403900843186</v>
      </c>
      <c r="L67" s="21">
        <f t="shared" ref="L67:L112" si="24">IF(C67="Bailing",D67,0)</f>
        <v>0</v>
      </c>
      <c r="M67" s="4">
        <f t="shared" si="14"/>
        <v>0</v>
      </c>
      <c r="N67" s="21">
        <f t="shared" ref="N67:N112" si="25">L67*60</f>
        <v>0</v>
      </c>
      <c r="O67" s="18">
        <f>(SQRT(4*O66*O66*vB*vB + 'Drilling Spec'!$C$48*O66 + WB*('Drilling Spec'!$C$49 + 2*lB*vB*(sB*WB + 2*vB*N67/(1+eB)) + 'Drilling Spec'!$C$50)) - 'Drilling Spec'!$C$51)/(2*vB)</f>
        <v>0</v>
      </c>
      <c r="P67" s="18">
        <f>IFERROR(((S67-'Drilling Spec'!$C$30)/'Drilling Spec'!$C$31)*'Drilling Spec'!$C$32,0)</f>
        <v>0</v>
      </c>
      <c r="Q67" s="18">
        <f t="shared" si="15"/>
        <v>0</v>
      </c>
      <c r="R67" s="18"/>
      <c r="S67" s="26">
        <f>IF(AND(OR(T66=0,T66=""),M67=0),IF(M68=0,"",'Drilling Spec'!$C$30),O67)</f>
        <v>80</v>
      </c>
      <c r="U67" s="15">
        <f>E67*'Drilling Spec'!$C$22 + L67*'Drilling Spec'!$C$23</f>
        <v>0.4809756097560976</v>
      </c>
      <c r="V67" s="15">
        <f t="shared" si="16"/>
        <v>16.353170731707312</v>
      </c>
      <c r="W67" s="15">
        <f t="shared" ref="W67:W112" si="26">W66-U67+X66+Y66</f>
        <v>1.6468292682926786</v>
      </c>
      <c r="X67" s="10"/>
      <c r="Y67" s="30">
        <f>IF(W67&lt;U68,'Drilling Spec'!$C$35,0)</f>
        <v>0</v>
      </c>
      <c r="AA67" s="4">
        <f t="shared" si="19"/>
        <v>46</v>
      </c>
      <c r="AB67" s="10"/>
      <c r="AC67" s="30">
        <f>IF('08-07-25-Scen7-GennyFail'!K68&gt;'08-07-25-Scen7-GennyFail'!AA67,'Drilling Spec'!$C$36,)</f>
        <v>0</v>
      </c>
      <c r="AE67" s="18">
        <f>(I67-'Drilling Spec'!$C$26)/'Drilling Spec'!$C$38</f>
        <v>108.99517641877463</v>
      </c>
      <c r="AF67" s="18">
        <f t="shared" ref="AF67:AF112" si="27">IFERROR(AE67-AE66,0)</f>
        <v>2.382433251661098</v>
      </c>
      <c r="AG67" s="34">
        <f t="shared" ref="AG67:AG112" si="28">AG66+AF67-AH67-AI66</f>
        <v>8.9951764187746335</v>
      </c>
      <c r="AH67" s="10"/>
      <c r="AI67" s="26">
        <f>IF(C67="Camp Closed",AG67,IF(AG67&lt;'Drilling Spec'!$C$39,,'Drilling Spec'!$C$39))</f>
        <v>0</v>
      </c>
      <c r="AL67" s="16">
        <f t="shared" ref="AL67:AL112" si="29">IFERROR(-I67,NA())</f>
        <v>-723.9710585126478</v>
      </c>
      <c r="AM67" s="16">
        <f t="shared" ref="AM67:AM112" si="30">IF(OR(S67=0,S67=""),NA(),-S67)</f>
        <v>-80</v>
      </c>
      <c r="AN67">
        <f>-'Drilling Spec'!$C$29</f>
        <v>-720</v>
      </c>
      <c r="AO67">
        <f>-'Drilling Spec'!$C$27</f>
        <v>-624</v>
      </c>
      <c r="AP67">
        <f>-'Drilling Spec'!$C$28</f>
        <v>-688</v>
      </c>
      <c r="AQ67" t="e">
        <f t="shared" ref="AQ67:AQ112" si="31">IF(C67="Camp Closed",0,NA())</f>
        <v>#N/A</v>
      </c>
      <c r="AR67" t="e">
        <f>IF(X67=0,NA(),-'Drilling Spec'!$C$29*0.1)</f>
        <v>#N/A</v>
      </c>
      <c r="AS67" t="e">
        <f>IF(Y67=0,NA(),-'Drilling Spec'!$C$29*0.1)</f>
        <v>#N/A</v>
      </c>
      <c r="AT67" t="e">
        <f>IF(AB67=0,NA(),-'Drilling Spec'!$C$29*0.2)</f>
        <v>#N/A</v>
      </c>
      <c r="AU67" t="e">
        <f>IF(AC67=0,NA(),-'Drilling Spec'!$C$29*0.2)</f>
        <v>#N/A</v>
      </c>
      <c r="AV67" t="e">
        <f>IF(AH67=0,NA(),-'Drilling Spec'!$C$29*0.3)</f>
        <v>#N/A</v>
      </c>
      <c r="AW67" t="e">
        <f>IF(AI67=0,NA(),-'Drilling Spec'!$C$29*0.3)</f>
        <v>#N/A</v>
      </c>
      <c r="AX67" s="29">
        <f t="shared" ref="AX67:AX112" si="32">W67</f>
        <v>1.6468292682926786</v>
      </c>
      <c r="AY67" s="29">
        <f t="shared" ref="AY67:AY112" si="33">AA67-K67+P67</f>
        <v>3.0685960991568138</v>
      </c>
      <c r="AZ67" s="29">
        <f t="shared" si="17"/>
        <v>8.9951764187746335</v>
      </c>
    </row>
    <row r="68" spans="1:52" x14ac:dyDescent="0.35">
      <c r="A68" s="28">
        <f t="shared" si="18"/>
        <v>46038</v>
      </c>
      <c r="B68" t="str">
        <f t="shared" si="20"/>
        <v>Fri</v>
      </c>
      <c r="C68" s="10" t="s">
        <v>10</v>
      </c>
      <c r="D68" s="10">
        <v>24</v>
      </c>
      <c r="E68" s="4">
        <f t="shared" si="21"/>
        <v>0</v>
      </c>
      <c r="F68" s="4">
        <f t="shared" si="22"/>
        <v>816</v>
      </c>
      <c r="G68" s="4">
        <f t="shared" si="23"/>
        <v>0</v>
      </c>
      <c r="H68" s="15">
        <f>(SQRT(4*I67*I67*V*V + 'Drilling Spec'!$C$42*I67 + W*('Drilling Spec'!$C$43 + 2*l*V*(s*W + 2*V*G68/(1+e)) + 'Drilling Spec'!$C$44)) - 'Drilling Spec'!$C$45)/(2*V)</f>
        <v>723.9710585126478</v>
      </c>
      <c r="I68" s="23">
        <f>IF(AND(OR(I67=0,I67=""),F68=0),IF(F69=0,"",'Drilling Spec'!$C$26),H68)</f>
        <v>723.9710585126478</v>
      </c>
      <c r="J68" s="16">
        <f>MAX(0,I68-'Drilling Spec'!$C$30)</f>
        <v>643.9710585126478</v>
      </c>
      <c r="K68" s="18">
        <f>IFERROR(J68/'Drilling Spec'!$C$31,0)</f>
        <v>42.931403900843186</v>
      </c>
      <c r="L68" s="21">
        <f t="shared" si="24"/>
        <v>24</v>
      </c>
      <c r="M68" s="4">
        <f t="shared" ref="M68:M112" si="34">(M67+L68)</f>
        <v>24</v>
      </c>
      <c r="N68" s="21">
        <f t="shared" si="25"/>
        <v>1440</v>
      </c>
      <c r="O68" s="18">
        <f>(SQRT(4*O67*O67*vB*vB + 'Drilling Spec'!$C$48*O67 + WB*('Drilling Spec'!$C$49 + 2*lB*vB*(sB*WB + 2*vB*N68/(1+eB)) + 'Drilling Spec'!$C$50)) - 'Drilling Spec'!$C$51)/(2*vB)</f>
        <v>259.40331160292249</v>
      </c>
      <c r="P68" s="18">
        <f>IFERROR(((S68-'Drilling Spec'!$C$30)/'Drilling Spec'!$C$31)*'Drilling Spec'!$C$32,0)</f>
        <v>10.764198696175349</v>
      </c>
      <c r="Q68" s="18">
        <f t="shared" ref="Q68:Q112" si="35">P68-P67</f>
        <v>10.764198696175349</v>
      </c>
      <c r="R68" s="18"/>
      <c r="S68" s="26">
        <f>IF(AND(OR(T67=0,T67=""),M68=0),IF(M69=0,"",'Drilling Spec'!$C$30),O68)</f>
        <v>259.40331160292249</v>
      </c>
      <c r="U68" s="15">
        <f>E68*'Drilling Spec'!$C$22 + L68*'Drilling Spec'!$C$23</f>
        <v>0.58536585365853666</v>
      </c>
      <c r="V68" s="15">
        <f t="shared" ref="V68:V112" si="36">V67+U68</f>
        <v>16.938536585365849</v>
      </c>
      <c r="W68" s="15">
        <f t="shared" si="26"/>
        <v>1.061463414634142</v>
      </c>
      <c r="X68" s="10"/>
      <c r="Y68" s="30">
        <f>IF(W68&lt;U69,'Drilling Spec'!$C$35,0)</f>
        <v>0</v>
      </c>
      <c r="AA68" s="4">
        <f t="shared" si="19"/>
        <v>46</v>
      </c>
      <c r="AB68" s="10"/>
      <c r="AC68" s="30">
        <f>IF('08-07-25-Scen7-GennyFail'!K69&gt;'08-07-25-Scen7-GennyFail'!AA68,'Drilling Spec'!$C$36,)</f>
        <v>0</v>
      </c>
      <c r="AE68" s="18">
        <f>(I68-'Drilling Spec'!$C$26)/'Drilling Spec'!$C$38</f>
        <v>108.99517641877463</v>
      </c>
      <c r="AF68" s="18">
        <f t="shared" si="27"/>
        <v>0</v>
      </c>
      <c r="AG68" s="34">
        <f t="shared" si="28"/>
        <v>8.9951764187746335</v>
      </c>
      <c r="AH68" s="10"/>
      <c r="AI68" s="26">
        <f>IF(C68="Camp Closed",AG68,IF(AG68&lt;'Drilling Spec'!$C$39,,'Drilling Spec'!$C$39))</f>
        <v>0</v>
      </c>
      <c r="AL68" s="16">
        <f t="shared" si="29"/>
        <v>-723.9710585126478</v>
      </c>
      <c r="AM68" s="16">
        <f t="shared" si="30"/>
        <v>-259.40331160292249</v>
      </c>
      <c r="AN68">
        <f>-'Drilling Spec'!$C$29</f>
        <v>-720</v>
      </c>
      <c r="AO68">
        <f>-'Drilling Spec'!$C$27</f>
        <v>-624</v>
      </c>
      <c r="AP68">
        <f>-'Drilling Spec'!$C$28</f>
        <v>-688</v>
      </c>
      <c r="AQ68" t="e">
        <f t="shared" si="31"/>
        <v>#N/A</v>
      </c>
      <c r="AR68" t="e">
        <f>IF(X68=0,NA(),-'Drilling Spec'!$C$29*0.1)</f>
        <v>#N/A</v>
      </c>
      <c r="AS68" t="e">
        <f>IF(Y68=0,NA(),-'Drilling Spec'!$C$29*0.1)</f>
        <v>#N/A</v>
      </c>
      <c r="AT68" t="e">
        <f>IF(AB68=0,NA(),-'Drilling Spec'!$C$29*0.2)</f>
        <v>#N/A</v>
      </c>
      <c r="AU68" t="e">
        <f>IF(AC68=0,NA(),-'Drilling Spec'!$C$29*0.2)</f>
        <v>#N/A</v>
      </c>
      <c r="AV68" t="e">
        <f>IF(AH68=0,NA(),-'Drilling Spec'!$C$29*0.3)</f>
        <v>#N/A</v>
      </c>
      <c r="AW68" t="e">
        <f>IF(AI68=0,NA(),-'Drilling Spec'!$C$29*0.3)</f>
        <v>#N/A</v>
      </c>
      <c r="AX68" s="29">
        <f t="shared" si="32"/>
        <v>1.061463414634142</v>
      </c>
      <c r="AY68" s="29">
        <f t="shared" si="33"/>
        <v>13.832794795332163</v>
      </c>
      <c r="AZ68" s="29">
        <f t="shared" ref="AZ68:AZ112" si="37">AG68</f>
        <v>8.9951764187746335</v>
      </c>
    </row>
    <row r="69" spans="1:52" x14ac:dyDescent="0.35">
      <c r="A69" s="28">
        <f t="shared" ref="A69:A84" si="38">A68+1</f>
        <v>46039</v>
      </c>
      <c r="B69" t="str">
        <f t="shared" si="20"/>
        <v>Sat</v>
      </c>
      <c r="C69" s="10" t="s">
        <v>10</v>
      </c>
      <c r="D69" s="10">
        <v>24</v>
      </c>
      <c r="E69" s="4">
        <f t="shared" si="21"/>
        <v>0</v>
      </c>
      <c r="F69" s="4">
        <f t="shared" si="22"/>
        <v>816</v>
      </c>
      <c r="G69" s="4">
        <f t="shared" si="23"/>
        <v>0</v>
      </c>
      <c r="H69" s="15">
        <f>(SQRT(4*I68*I68*V*V + 'Drilling Spec'!$C$42*I68 + W*('Drilling Spec'!$C$43 + 2*l*V*(s*W + 2*V*G69/(1+e)) + 'Drilling Spec'!$C$44)) - 'Drilling Spec'!$C$45)/(2*V)</f>
        <v>723.9710585126478</v>
      </c>
      <c r="I69" s="23">
        <f>IF(AND(OR(I68=0,I68=""),F69=0),IF(F70=0,"",'Drilling Spec'!$C$26),H69)</f>
        <v>723.9710585126478</v>
      </c>
      <c r="J69" s="16">
        <f>MAX(0,I69-'Drilling Spec'!$C$30)</f>
        <v>643.9710585126478</v>
      </c>
      <c r="K69" s="18">
        <f>IFERROR(J69/'Drilling Spec'!$C$31,0)</f>
        <v>42.931403900843186</v>
      </c>
      <c r="L69" s="21">
        <f t="shared" si="24"/>
        <v>24</v>
      </c>
      <c r="M69" s="4">
        <f t="shared" si="34"/>
        <v>48</v>
      </c>
      <c r="N69" s="21">
        <f t="shared" si="25"/>
        <v>1440</v>
      </c>
      <c r="O69" s="18">
        <f>(SQRT(4*O68*O68*vB*vB + 'Drilling Spec'!$C$48*O68 + WB*('Drilling Spec'!$C$49 + 2*lB*vB*(sB*WB + 2*vB*N69/(1+eB)) + 'Drilling Spec'!$C$50)) - 'Drilling Spec'!$C$51)/(2*vB)</f>
        <v>400.47129457899786</v>
      </c>
      <c r="P69" s="18">
        <f>IFERROR(((S69-'Drilling Spec'!$C$30)/'Drilling Spec'!$C$31)*'Drilling Spec'!$C$32,0)</f>
        <v>19.228277674739871</v>
      </c>
      <c r="Q69" s="18">
        <f t="shared" si="35"/>
        <v>8.4640789785645225</v>
      </c>
      <c r="R69" s="18"/>
      <c r="S69" s="26">
        <f>IF(AND(OR(T68=0,T68=""),M69=0),IF(M70=0,"",'Drilling Spec'!$C$30),O69)</f>
        <v>400.47129457899786</v>
      </c>
      <c r="U69" s="15">
        <f>E69*'Drilling Spec'!$C$22 + L69*'Drilling Spec'!$C$23</f>
        <v>0.58536585365853666</v>
      </c>
      <c r="V69" s="15">
        <f t="shared" si="36"/>
        <v>17.523902439024386</v>
      </c>
      <c r="W69" s="15">
        <f t="shared" si="26"/>
        <v>0.47609756097560529</v>
      </c>
      <c r="X69" s="10"/>
      <c r="Y69" s="30">
        <f>IF(W69&lt;U70,'Drilling Spec'!$C$35,0)</f>
        <v>0</v>
      </c>
      <c r="AA69" s="4">
        <f t="shared" ref="AA69:AA73" si="39">AA68+AC68+AB69</f>
        <v>46</v>
      </c>
      <c r="AB69" s="10"/>
      <c r="AC69" s="30">
        <f>IF('08-07-25-Scen7-GennyFail'!K70&gt;'08-07-25-Scen7-GennyFail'!AA69,'Drilling Spec'!$C$36,)</f>
        <v>0</v>
      </c>
      <c r="AE69" s="18">
        <f>(I69-'Drilling Spec'!$C$26)/'Drilling Spec'!$C$38</f>
        <v>108.99517641877463</v>
      </c>
      <c r="AF69" s="18">
        <f t="shared" si="27"/>
        <v>0</v>
      </c>
      <c r="AG69" s="34">
        <f t="shared" si="28"/>
        <v>8.9951764187746335</v>
      </c>
      <c r="AH69" s="10"/>
      <c r="AI69" s="26">
        <f>IF(C69="Camp Closed",AG69,IF(AG69&lt;'Drilling Spec'!$C$39,,'Drilling Spec'!$C$39))</f>
        <v>0</v>
      </c>
      <c r="AL69" s="16">
        <f t="shared" si="29"/>
        <v>-723.9710585126478</v>
      </c>
      <c r="AM69" s="16">
        <f t="shared" si="30"/>
        <v>-400.47129457899786</v>
      </c>
      <c r="AN69">
        <f>-'Drilling Spec'!$C$29</f>
        <v>-720</v>
      </c>
      <c r="AO69">
        <f>-'Drilling Spec'!$C$27</f>
        <v>-624</v>
      </c>
      <c r="AP69">
        <f>-'Drilling Spec'!$C$28</f>
        <v>-688</v>
      </c>
      <c r="AQ69" t="e">
        <f t="shared" si="31"/>
        <v>#N/A</v>
      </c>
      <c r="AR69" t="e">
        <f>IF(X69=0,NA(),-'Drilling Spec'!$C$29*0.1)</f>
        <v>#N/A</v>
      </c>
      <c r="AS69" t="e">
        <f>IF(Y69=0,NA(),-'Drilling Spec'!$C$29*0.1)</f>
        <v>#N/A</v>
      </c>
      <c r="AT69" t="e">
        <f>IF(AB69=0,NA(),-'Drilling Spec'!$C$29*0.2)</f>
        <v>#N/A</v>
      </c>
      <c r="AU69" t="e">
        <f>IF(AC69=0,NA(),-'Drilling Spec'!$C$29*0.2)</f>
        <v>#N/A</v>
      </c>
      <c r="AV69" t="e">
        <f>IF(AH69=0,NA(),-'Drilling Spec'!$C$29*0.3)</f>
        <v>#N/A</v>
      </c>
      <c r="AW69" t="e">
        <f>IF(AI69=0,NA(),-'Drilling Spec'!$C$29*0.3)</f>
        <v>#N/A</v>
      </c>
      <c r="AX69" s="29">
        <f t="shared" si="32"/>
        <v>0.47609756097560529</v>
      </c>
      <c r="AY69" s="29">
        <f t="shared" si="33"/>
        <v>22.296873773896685</v>
      </c>
      <c r="AZ69" s="29">
        <f t="shared" si="37"/>
        <v>8.9951764187746335</v>
      </c>
    </row>
    <row r="70" spans="1:52" x14ac:dyDescent="0.35">
      <c r="A70" s="28">
        <f t="shared" si="38"/>
        <v>46040</v>
      </c>
      <c r="B70" t="str">
        <f t="shared" si="20"/>
        <v>Sun</v>
      </c>
      <c r="C70" s="10" t="s">
        <v>7</v>
      </c>
      <c r="D70" s="10">
        <v>0</v>
      </c>
      <c r="E70" s="4">
        <f t="shared" si="21"/>
        <v>0</v>
      </c>
      <c r="F70" s="4">
        <f t="shared" si="22"/>
        <v>816</v>
      </c>
      <c r="G70" s="4">
        <f t="shared" si="23"/>
        <v>0</v>
      </c>
      <c r="H70" s="15">
        <f>(SQRT(4*I69*I69*V*V + 'Drilling Spec'!$C$42*I69 + W*('Drilling Spec'!$C$43 + 2*l*V*(s*W + 2*V*G70/(1+e)) + 'Drilling Spec'!$C$44)) - 'Drilling Spec'!$C$45)/(2*V)</f>
        <v>723.9710585126478</v>
      </c>
      <c r="I70" s="23">
        <f>IF(AND(OR(I69=0,I69=""),F70=0),IF(F71=0,"",'Drilling Spec'!$C$26),H70)</f>
        <v>723.9710585126478</v>
      </c>
      <c r="J70" s="16">
        <f>MAX(0,I70-'Drilling Spec'!$C$30)</f>
        <v>643.9710585126478</v>
      </c>
      <c r="K70" s="18">
        <f>IFERROR(J70/'Drilling Spec'!$C$31,0)</f>
        <v>42.931403900843186</v>
      </c>
      <c r="L70" s="21">
        <f t="shared" si="24"/>
        <v>0</v>
      </c>
      <c r="M70" s="4">
        <f t="shared" si="34"/>
        <v>48</v>
      </c>
      <c r="N70" s="21">
        <f t="shared" si="25"/>
        <v>0</v>
      </c>
      <c r="O70" s="18">
        <f>(SQRT(4*O69*O69*vB*vB + 'Drilling Spec'!$C$48*O69 + WB*('Drilling Spec'!$C$49 + 2*lB*vB*(sB*WB + 2*vB*N70/(1+eB)) + 'Drilling Spec'!$C$50)) - 'Drilling Spec'!$C$51)/(2*vB)</f>
        <v>400.47129457899791</v>
      </c>
      <c r="P70" s="18">
        <f>IFERROR(((S70-'Drilling Spec'!$C$30)/'Drilling Spec'!$C$31)*'Drilling Spec'!$C$32,0)</f>
        <v>19.228277674739875</v>
      </c>
      <c r="Q70" s="18">
        <f t="shared" si="35"/>
        <v>0</v>
      </c>
      <c r="R70" s="18"/>
      <c r="S70" s="26">
        <f>IF(AND(OR(T69=0,T69=""),M70=0),IF(M71=0,"",'Drilling Spec'!$C$30),O70)</f>
        <v>400.47129457899791</v>
      </c>
      <c r="U70" s="15">
        <f>E70*'Drilling Spec'!$C$22 + L70*'Drilling Spec'!$C$23</f>
        <v>0</v>
      </c>
      <c r="V70" s="15">
        <f t="shared" si="36"/>
        <v>17.523902439024386</v>
      </c>
      <c r="W70" s="15">
        <f t="shared" si="26"/>
        <v>0.47609756097560529</v>
      </c>
      <c r="X70" s="10"/>
      <c r="Y70" s="30">
        <f>IF(W70&lt;U71,'Drilling Spec'!$C$35,0)</f>
        <v>6</v>
      </c>
      <c r="AA70" s="4">
        <f t="shared" si="39"/>
        <v>46</v>
      </c>
      <c r="AB70" s="10"/>
      <c r="AC70" s="30">
        <f>IF('08-07-25-Scen7-GennyFail'!K71&gt;'08-07-25-Scen7-GennyFail'!AA70,'Drilling Spec'!$C$36,)</f>
        <v>0</v>
      </c>
      <c r="AE70" s="18">
        <f>(I70-'Drilling Spec'!$C$26)/'Drilling Spec'!$C$38</f>
        <v>108.99517641877463</v>
      </c>
      <c r="AF70" s="18">
        <f t="shared" si="27"/>
        <v>0</v>
      </c>
      <c r="AG70" s="34">
        <f t="shared" si="28"/>
        <v>8.9951764187746335</v>
      </c>
      <c r="AH70" s="10"/>
      <c r="AI70" s="26">
        <f>IF(C70="Camp Closed",AG70,IF(AG70&lt;'Drilling Spec'!$C$39,,'Drilling Spec'!$C$39))</f>
        <v>0</v>
      </c>
      <c r="AL70" s="16">
        <f t="shared" si="29"/>
        <v>-723.9710585126478</v>
      </c>
      <c r="AM70" s="16">
        <f t="shared" si="30"/>
        <v>-400.47129457899791</v>
      </c>
      <c r="AN70">
        <f>-'Drilling Spec'!$C$29</f>
        <v>-720</v>
      </c>
      <c r="AO70">
        <f>-'Drilling Spec'!$C$27</f>
        <v>-624</v>
      </c>
      <c r="AP70">
        <f>-'Drilling Spec'!$C$28</f>
        <v>-688</v>
      </c>
      <c r="AQ70" t="e">
        <f t="shared" si="31"/>
        <v>#N/A</v>
      </c>
      <c r="AR70" t="e">
        <f>IF(X70=0,NA(),-'Drilling Spec'!$C$29*0.1)</f>
        <v>#N/A</v>
      </c>
      <c r="AS70">
        <f>IF(Y70=0,NA(),-'Drilling Spec'!$C$29*0.1)</f>
        <v>-72</v>
      </c>
      <c r="AT70" t="e">
        <f>IF(AB70=0,NA(),-'Drilling Spec'!$C$29*0.2)</f>
        <v>#N/A</v>
      </c>
      <c r="AU70" t="e">
        <f>IF(AC70=0,NA(),-'Drilling Spec'!$C$29*0.2)</f>
        <v>#N/A</v>
      </c>
      <c r="AV70" t="e">
        <f>IF(AH70=0,NA(),-'Drilling Spec'!$C$29*0.3)</f>
        <v>#N/A</v>
      </c>
      <c r="AW70" t="e">
        <f>IF(AI70=0,NA(),-'Drilling Spec'!$C$29*0.3)</f>
        <v>#N/A</v>
      </c>
      <c r="AX70" s="29">
        <f t="shared" si="32"/>
        <v>0.47609756097560529</v>
      </c>
      <c r="AY70" s="29">
        <f t="shared" si="33"/>
        <v>22.296873773896689</v>
      </c>
      <c r="AZ70" s="29">
        <f t="shared" si="37"/>
        <v>8.9951764187746335</v>
      </c>
    </row>
    <row r="71" spans="1:52" x14ac:dyDescent="0.35">
      <c r="A71" s="28">
        <f t="shared" si="38"/>
        <v>46041</v>
      </c>
      <c r="B71" t="str">
        <f t="shared" si="20"/>
        <v>Mon</v>
      </c>
      <c r="C71" s="10" t="s">
        <v>10</v>
      </c>
      <c r="D71" s="10">
        <v>24</v>
      </c>
      <c r="E71" s="4">
        <f t="shared" si="21"/>
        <v>0</v>
      </c>
      <c r="F71" s="4">
        <f t="shared" si="22"/>
        <v>816</v>
      </c>
      <c r="G71" s="4">
        <f t="shared" si="23"/>
        <v>0</v>
      </c>
      <c r="H71" s="15">
        <f>(SQRT(4*I70*I70*V*V + 'Drilling Spec'!$C$42*I70 + W*('Drilling Spec'!$C$43 + 2*l*V*(s*W + 2*V*G71/(1+e)) + 'Drilling Spec'!$C$44)) - 'Drilling Spec'!$C$45)/(2*V)</f>
        <v>723.9710585126478</v>
      </c>
      <c r="I71" s="23">
        <f>IF(AND(OR(I70=0,I70=""),F71=0),IF(F72=0,"",'Drilling Spec'!$C$26),H71)</f>
        <v>723.9710585126478</v>
      </c>
      <c r="J71" s="16">
        <f>MAX(0,I71-'Drilling Spec'!$C$30)</f>
        <v>643.9710585126478</v>
      </c>
      <c r="K71" s="18">
        <f>IFERROR(J71/'Drilling Spec'!$C$31,0)</f>
        <v>42.931403900843186</v>
      </c>
      <c r="L71" s="21">
        <f t="shared" si="24"/>
        <v>24</v>
      </c>
      <c r="M71" s="4">
        <f t="shared" si="34"/>
        <v>72</v>
      </c>
      <c r="N71" s="21">
        <f t="shared" si="25"/>
        <v>1440</v>
      </c>
      <c r="O71" s="18">
        <f>(SQRT(4*O70*O70*vB*vB + 'Drilling Spec'!$C$48*O70 + WB*('Drilling Spec'!$C$49 + 2*lB*vB*(sB*WB + 2*vB*N71/(1+eB)) + 'Drilling Spec'!$C$50)) - 'Drilling Spec'!$C$51)/(2*vB)</f>
        <v>510.19383071862086</v>
      </c>
      <c r="P71" s="18">
        <f>IFERROR(((S71-'Drilling Spec'!$C$30)/'Drilling Spec'!$C$31)*'Drilling Spec'!$C$32,0)</f>
        <v>25.811629843117252</v>
      </c>
      <c r="Q71" s="18">
        <f t="shared" si="35"/>
        <v>6.5833521683773775</v>
      </c>
      <c r="R71" s="18"/>
      <c r="S71" s="26">
        <f>IF(AND(OR(T70=0,T70=""),M71=0),IF(M72=0,"",'Drilling Spec'!$C$30),O71)</f>
        <v>510.19383071862086</v>
      </c>
      <c r="U71" s="15">
        <f>E71*'Drilling Spec'!$C$22 + L71*'Drilling Spec'!$C$23</f>
        <v>0.58536585365853666</v>
      </c>
      <c r="V71" s="15">
        <f t="shared" si="36"/>
        <v>18.109268292682923</v>
      </c>
      <c r="W71" s="15">
        <f t="shared" si="26"/>
        <v>5.8907317073170686</v>
      </c>
      <c r="X71" s="10"/>
      <c r="Y71" s="30">
        <f>IF(W71&lt;U72,'Drilling Spec'!$C$35,0)</f>
        <v>0</v>
      </c>
      <c r="AA71" s="4">
        <f t="shared" si="39"/>
        <v>46</v>
      </c>
      <c r="AB71" s="10"/>
      <c r="AC71" s="30">
        <f>IF('08-07-25-Scen7-GennyFail'!K72&gt;'08-07-25-Scen7-GennyFail'!AA71,'Drilling Spec'!$C$36,)</f>
        <v>0</v>
      </c>
      <c r="AE71" s="18">
        <f>(I71-'Drilling Spec'!$C$26)/'Drilling Spec'!$C$38</f>
        <v>108.99517641877463</v>
      </c>
      <c r="AF71" s="18">
        <f t="shared" si="27"/>
        <v>0</v>
      </c>
      <c r="AG71" s="34">
        <f t="shared" si="28"/>
        <v>8.9951764187746335</v>
      </c>
      <c r="AH71" s="10"/>
      <c r="AI71" s="26">
        <f>IF(C71="Camp Closed",AG71,IF(AG71&lt;'Drilling Spec'!$C$39,,'Drilling Spec'!$C$39))</f>
        <v>0</v>
      </c>
      <c r="AL71" s="16">
        <f t="shared" si="29"/>
        <v>-723.9710585126478</v>
      </c>
      <c r="AM71" s="16">
        <f t="shared" si="30"/>
        <v>-510.19383071862086</v>
      </c>
      <c r="AN71">
        <f>-'Drilling Spec'!$C$29</f>
        <v>-720</v>
      </c>
      <c r="AO71">
        <f>-'Drilling Spec'!$C$27</f>
        <v>-624</v>
      </c>
      <c r="AP71">
        <f>-'Drilling Spec'!$C$28</f>
        <v>-688</v>
      </c>
      <c r="AQ71" t="e">
        <f t="shared" si="31"/>
        <v>#N/A</v>
      </c>
      <c r="AR71" t="e">
        <f>IF(X71=0,NA(),-'Drilling Spec'!$C$29*0.1)</f>
        <v>#N/A</v>
      </c>
      <c r="AS71" t="e">
        <f>IF(Y71=0,NA(),-'Drilling Spec'!$C$29*0.1)</f>
        <v>#N/A</v>
      </c>
      <c r="AT71" t="e">
        <f>IF(AB71=0,NA(),-'Drilling Spec'!$C$29*0.2)</f>
        <v>#N/A</v>
      </c>
      <c r="AU71" t="e">
        <f>IF(AC71=0,NA(),-'Drilling Spec'!$C$29*0.2)</f>
        <v>#N/A</v>
      </c>
      <c r="AV71" t="e">
        <f>IF(AH71=0,NA(),-'Drilling Spec'!$C$29*0.3)</f>
        <v>#N/A</v>
      </c>
      <c r="AW71" t="e">
        <f>IF(AI71=0,NA(),-'Drilling Spec'!$C$29*0.3)</f>
        <v>#N/A</v>
      </c>
      <c r="AX71" s="29">
        <f t="shared" si="32"/>
        <v>5.8907317073170686</v>
      </c>
      <c r="AY71" s="29">
        <f t="shared" si="33"/>
        <v>28.880225942274066</v>
      </c>
      <c r="AZ71" s="29">
        <f t="shared" si="37"/>
        <v>8.9951764187746335</v>
      </c>
    </row>
    <row r="72" spans="1:52" x14ac:dyDescent="0.35">
      <c r="A72" s="28">
        <f t="shared" si="38"/>
        <v>46042</v>
      </c>
      <c r="B72" t="str">
        <f t="shared" si="20"/>
        <v>Tue</v>
      </c>
      <c r="C72" s="10" t="s">
        <v>10</v>
      </c>
      <c r="D72" s="10">
        <v>24</v>
      </c>
      <c r="E72" s="4">
        <f t="shared" si="21"/>
        <v>0</v>
      </c>
      <c r="F72" s="4">
        <f t="shared" si="22"/>
        <v>816</v>
      </c>
      <c r="G72" s="4">
        <f t="shared" si="23"/>
        <v>0</v>
      </c>
      <c r="H72" s="15">
        <f>(SQRT(4*I71*I71*V*V + 'Drilling Spec'!$C$42*I71 + W*('Drilling Spec'!$C$43 + 2*l*V*(s*W + 2*V*G72/(1+e)) + 'Drilling Spec'!$C$44)) - 'Drilling Spec'!$C$45)/(2*V)</f>
        <v>723.9710585126478</v>
      </c>
      <c r="I72" s="23">
        <f>IF(AND(OR(I71=0,I71=""),F72=0),IF(F73=0,"",'Drilling Spec'!$C$26),H72)</f>
        <v>723.9710585126478</v>
      </c>
      <c r="J72" s="16">
        <f>MAX(0,I72-'Drilling Spec'!$C$30)</f>
        <v>643.9710585126478</v>
      </c>
      <c r="K72" s="18">
        <f>IFERROR(J72/'Drilling Spec'!$C$31,0)</f>
        <v>42.931403900843186</v>
      </c>
      <c r="L72" s="21">
        <f t="shared" si="24"/>
        <v>24</v>
      </c>
      <c r="M72" s="4">
        <f t="shared" si="34"/>
        <v>96</v>
      </c>
      <c r="N72" s="21">
        <f t="shared" si="25"/>
        <v>1440</v>
      </c>
      <c r="O72" s="18">
        <f>(SQRT(4*O71*O71*vB*vB + 'Drilling Spec'!$C$48*O71 + WB*('Drilling Spec'!$C$49 + 2*lB*vB*(sB*WB + 2*vB*N72/(1+eB)) + 'Drilling Spec'!$C$50)) - 'Drilling Spec'!$C$51)/(2*vB)</f>
        <v>603.20853687666522</v>
      </c>
      <c r="P72" s="18">
        <f>IFERROR(((S72-'Drilling Spec'!$C$30)/'Drilling Spec'!$C$31)*'Drilling Spec'!$C$32,0)</f>
        <v>31.392512212599915</v>
      </c>
      <c r="Q72" s="18">
        <f t="shared" si="35"/>
        <v>5.5808823694826621</v>
      </c>
      <c r="R72" s="18"/>
      <c r="S72" s="26">
        <f>IF(AND(OR(T71=0,T71=""),M72=0),IF(M73=0,"",'Drilling Spec'!$C$30),O72)</f>
        <v>603.20853687666522</v>
      </c>
      <c r="U72" s="15">
        <f>E72*'Drilling Spec'!$C$22 + L72*'Drilling Spec'!$C$23</f>
        <v>0.58536585365853666</v>
      </c>
      <c r="V72" s="15">
        <f t="shared" si="36"/>
        <v>18.69463414634146</v>
      </c>
      <c r="W72" s="15">
        <f t="shared" si="26"/>
        <v>5.3053658536585324</v>
      </c>
      <c r="X72" s="10"/>
      <c r="Y72" s="30">
        <f>IF(W72&lt;U73,'Drilling Spec'!$C$35,0)</f>
        <v>0</v>
      </c>
      <c r="AA72" s="4">
        <f t="shared" si="39"/>
        <v>46</v>
      </c>
      <c r="AB72" s="10"/>
      <c r="AC72" s="30">
        <f>IF('08-07-25-Scen7-GennyFail'!K73&gt;'08-07-25-Scen7-GennyFail'!AA72,'Drilling Spec'!$C$36,)</f>
        <v>0</v>
      </c>
      <c r="AE72" s="18">
        <f>(I72-'Drilling Spec'!$C$26)/'Drilling Spec'!$C$38</f>
        <v>108.99517641877463</v>
      </c>
      <c r="AF72" s="18">
        <f t="shared" si="27"/>
        <v>0</v>
      </c>
      <c r="AG72" s="34">
        <f t="shared" si="28"/>
        <v>8.9951764187746335</v>
      </c>
      <c r="AH72" s="10"/>
      <c r="AI72" s="26">
        <f>IF(C72="Camp Closed",AG72,IF(AG72&lt;'Drilling Spec'!$C$39,,'Drilling Spec'!$C$39))</f>
        <v>0</v>
      </c>
      <c r="AL72" s="16">
        <f t="shared" si="29"/>
        <v>-723.9710585126478</v>
      </c>
      <c r="AM72" s="16">
        <f t="shared" si="30"/>
        <v>-603.20853687666522</v>
      </c>
      <c r="AN72">
        <f>-'Drilling Spec'!$C$29</f>
        <v>-720</v>
      </c>
      <c r="AO72">
        <f>-'Drilling Spec'!$C$27</f>
        <v>-624</v>
      </c>
      <c r="AP72">
        <f>-'Drilling Spec'!$C$28</f>
        <v>-688</v>
      </c>
      <c r="AQ72" t="e">
        <f t="shared" si="31"/>
        <v>#N/A</v>
      </c>
      <c r="AR72" t="e">
        <f>IF(X72=0,NA(),-'Drilling Spec'!$C$29*0.1)</f>
        <v>#N/A</v>
      </c>
      <c r="AS72" t="e">
        <f>IF(Y72=0,NA(),-'Drilling Spec'!$C$29*0.1)</f>
        <v>#N/A</v>
      </c>
      <c r="AT72" t="e">
        <f>IF(AB72=0,NA(),-'Drilling Spec'!$C$29*0.2)</f>
        <v>#N/A</v>
      </c>
      <c r="AU72" t="e">
        <f>IF(AC72=0,NA(),-'Drilling Spec'!$C$29*0.2)</f>
        <v>#N/A</v>
      </c>
      <c r="AV72" t="e">
        <f>IF(AH72=0,NA(),-'Drilling Spec'!$C$29*0.3)</f>
        <v>#N/A</v>
      </c>
      <c r="AW72" t="e">
        <f>IF(AI72=0,NA(),-'Drilling Spec'!$C$29*0.3)</f>
        <v>#N/A</v>
      </c>
      <c r="AX72" s="29">
        <f t="shared" si="32"/>
        <v>5.3053658536585324</v>
      </c>
      <c r="AY72" s="29">
        <f t="shared" si="33"/>
        <v>34.461108311756732</v>
      </c>
      <c r="AZ72" s="29">
        <f t="shared" si="37"/>
        <v>8.9951764187746335</v>
      </c>
    </row>
    <row r="73" spans="1:52" x14ac:dyDescent="0.35">
      <c r="A73" s="28">
        <f t="shared" si="38"/>
        <v>46043</v>
      </c>
      <c r="B73" t="str">
        <f t="shared" si="20"/>
        <v>Wed</v>
      </c>
      <c r="C73" s="10" t="s">
        <v>10</v>
      </c>
      <c r="D73" s="10">
        <v>24</v>
      </c>
      <c r="E73" s="4">
        <f t="shared" si="21"/>
        <v>0</v>
      </c>
      <c r="F73" s="4">
        <f t="shared" si="22"/>
        <v>816</v>
      </c>
      <c r="G73" s="4">
        <f t="shared" si="23"/>
        <v>0</v>
      </c>
      <c r="H73" s="15">
        <f>(SQRT(4*I72*I72*V*V + 'Drilling Spec'!$C$42*I72 + W*('Drilling Spec'!$C$43 + 2*l*V*(s*W + 2*V*G73/(1+e)) + 'Drilling Spec'!$C$44)) - 'Drilling Spec'!$C$45)/(2*V)</f>
        <v>723.9710585126478</v>
      </c>
      <c r="I73" s="23">
        <f>IF(AND(OR(I72=0,I72=""),F73=0),IF(F74=0,"",'Drilling Spec'!$C$26),H73)</f>
        <v>723.9710585126478</v>
      </c>
      <c r="J73" s="16">
        <f>MAX(0,I73-'Drilling Spec'!$C$30)</f>
        <v>643.9710585126478</v>
      </c>
      <c r="K73" s="18">
        <f>IFERROR(J73/'Drilling Spec'!$C$31,0)</f>
        <v>42.931403900843186</v>
      </c>
      <c r="L73" s="21">
        <f t="shared" si="24"/>
        <v>24</v>
      </c>
      <c r="M73" s="4">
        <f t="shared" si="34"/>
        <v>120</v>
      </c>
      <c r="N73" s="21">
        <f t="shared" si="25"/>
        <v>1440</v>
      </c>
      <c r="O73" s="18">
        <f>(SQRT(4*O72*O72*vB*vB + 'Drilling Spec'!$C$48*O72 + WB*('Drilling Spec'!$C$49 + 2*lB*vB*(sB*WB + 2*vB*N73/(1+eB)) + 'Drilling Spec'!$C$50)) - 'Drilling Spec'!$C$51)/(2*vB)</f>
        <v>685.40606744913532</v>
      </c>
      <c r="P73" s="18">
        <f>IFERROR(((S73-'Drilling Spec'!$C$30)/'Drilling Spec'!$C$31)*'Drilling Spec'!$C$32,0)</f>
        <v>36.324364046948119</v>
      </c>
      <c r="Q73" s="18">
        <f t="shared" si="35"/>
        <v>4.9318518343482047</v>
      </c>
      <c r="R73" s="18"/>
      <c r="S73" s="26">
        <f>IF(AND(OR(T72=0,T72=""),M73=0),IF(M74=0,"",'Drilling Spec'!$C$30),O73)</f>
        <v>685.40606744913532</v>
      </c>
      <c r="U73" s="15">
        <f>E73*'Drilling Spec'!$C$22 + L73*'Drilling Spec'!$C$23</f>
        <v>0.58536585365853666</v>
      </c>
      <c r="V73" s="15">
        <f t="shared" si="36"/>
        <v>19.279999999999998</v>
      </c>
      <c r="W73" s="15">
        <f t="shared" si="26"/>
        <v>4.7199999999999953</v>
      </c>
      <c r="X73" s="10"/>
      <c r="Y73" s="30">
        <f>IF(W73&lt;U74,'Drilling Spec'!$C$35,0)</f>
        <v>0</v>
      </c>
      <c r="AA73" s="4">
        <f t="shared" si="39"/>
        <v>46</v>
      </c>
      <c r="AB73" s="10"/>
      <c r="AC73" s="30">
        <f>IF('08-07-25-Scen7-GennyFail'!K74&gt;'08-07-25-Scen7-GennyFail'!AA73,'Drilling Spec'!$C$36,)</f>
        <v>0</v>
      </c>
      <c r="AE73" s="18">
        <f>(I73-'Drilling Spec'!$C$26)/'Drilling Spec'!$C$38</f>
        <v>108.99517641877463</v>
      </c>
      <c r="AF73" s="18">
        <f t="shared" si="27"/>
        <v>0</v>
      </c>
      <c r="AG73" s="34">
        <f t="shared" si="28"/>
        <v>8.9951764187746335</v>
      </c>
      <c r="AH73" s="10"/>
      <c r="AI73" s="26">
        <f>IF(C73="Camp Closed",AG73,IF(AG73&lt;'Drilling Spec'!$C$39,,'Drilling Spec'!$C$39))</f>
        <v>0</v>
      </c>
      <c r="AL73" s="16">
        <f t="shared" si="29"/>
        <v>-723.9710585126478</v>
      </c>
      <c r="AM73" s="16">
        <f t="shared" si="30"/>
        <v>-685.40606744913532</v>
      </c>
      <c r="AN73">
        <f>-'Drilling Spec'!$C$29</f>
        <v>-720</v>
      </c>
      <c r="AO73">
        <f>-'Drilling Spec'!$C$27</f>
        <v>-624</v>
      </c>
      <c r="AP73">
        <f>-'Drilling Spec'!$C$28</f>
        <v>-688</v>
      </c>
      <c r="AQ73" t="e">
        <f t="shared" si="31"/>
        <v>#N/A</v>
      </c>
      <c r="AR73" t="e">
        <f>IF(X73=0,NA(),-'Drilling Spec'!$C$29*0.1)</f>
        <v>#N/A</v>
      </c>
      <c r="AS73" t="e">
        <f>IF(Y73=0,NA(),-'Drilling Spec'!$C$29*0.1)</f>
        <v>#N/A</v>
      </c>
      <c r="AT73" t="e">
        <f>IF(AB73=0,NA(),-'Drilling Spec'!$C$29*0.2)</f>
        <v>#N/A</v>
      </c>
      <c r="AU73" t="e">
        <f>IF(AC73=0,NA(),-'Drilling Spec'!$C$29*0.2)</f>
        <v>#N/A</v>
      </c>
      <c r="AV73" t="e">
        <f>IF(AH73=0,NA(),-'Drilling Spec'!$C$29*0.3)</f>
        <v>#N/A</v>
      </c>
      <c r="AW73" t="e">
        <f>IF(AI73=0,NA(),-'Drilling Spec'!$C$29*0.3)</f>
        <v>#N/A</v>
      </c>
      <c r="AX73" s="29">
        <f t="shared" si="32"/>
        <v>4.7199999999999953</v>
      </c>
      <c r="AY73" s="29">
        <f t="shared" si="33"/>
        <v>39.392960146104933</v>
      </c>
      <c r="AZ73" s="29">
        <f t="shared" si="37"/>
        <v>8.9951764187746335</v>
      </c>
    </row>
    <row r="74" spans="1:52" x14ac:dyDescent="0.35">
      <c r="A74" s="28">
        <f t="shared" si="38"/>
        <v>46044</v>
      </c>
      <c r="B74" t="str">
        <f t="shared" si="20"/>
        <v>Thu</v>
      </c>
      <c r="C74" s="10" t="s">
        <v>7</v>
      </c>
      <c r="D74" s="10">
        <v>0</v>
      </c>
      <c r="E74" s="4">
        <f t="shared" si="21"/>
        <v>0</v>
      </c>
      <c r="F74" s="4">
        <f t="shared" si="22"/>
        <v>816</v>
      </c>
      <c r="G74" s="4">
        <f t="shared" si="23"/>
        <v>0</v>
      </c>
      <c r="H74" s="15">
        <f>(SQRT(4*I73*I73*V*V + 'Drilling Spec'!$C$42*I73 + W*('Drilling Spec'!$C$43 + 2*l*V*(s*W + 2*V*G74/(1+e)) + 'Drilling Spec'!$C$44)) - 'Drilling Spec'!$C$45)/(2*V)</f>
        <v>723.9710585126478</v>
      </c>
      <c r="I74" s="23">
        <f>IF(AND(OR(I73=0,I73=""),F74=0),IF(F75=0,"",'Drilling Spec'!$C$26),H74)</f>
        <v>723.9710585126478</v>
      </c>
      <c r="J74" s="16">
        <f>MAX(0,I74-'Drilling Spec'!$C$30)</f>
        <v>643.9710585126478</v>
      </c>
      <c r="K74" s="18">
        <f>IFERROR(J74/'Drilling Spec'!$C$31,0)</f>
        <v>42.931403900843186</v>
      </c>
      <c r="L74" s="21">
        <f t="shared" si="24"/>
        <v>0</v>
      </c>
      <c r="M74" s="4">
        <f t="shared" si="34"/>
        <v>120</v>
      </c>
      <c r="N74" s="21">
        <f t="shared" si="25"/>
        <v>0</v>
      </c>
      <c r="O74" s="18">
        <f>(SQRT(4*O73*O73*vB*vB + 'Drilling Spec'!$C$48*O73 + WB*('Drilling Spec'!$C$49 + 2*lB*vB*(sB*WB + 2*vB*N74/(1+eB)) + 'Drilling Spec'!$C$50)) - 'Drilling Spec'!$C$51)/(2*vB)</f>
        <v>685.40606744913532</v>
      </c>
      <c r="P74" s="18">
        <f>IFERROR(((S74-'Drilling Spec'!$C$30)/'Drilling Spec'!$C$31)*'Drilling Spec'!$C$32,0)</f>
        <v>36.324364046948119</v>
      </c>
      <c r="Q74" s="18">
        <f t="shared" si="35"/>
        <v>0</v>
      </c>
      <c r="R74" s="18"/>
      <c r="S74" s="26">
        <f>IF(AND(OR(T73=0,T73=""),M74=0),IF(M75=0,"",'Drilling Spec'!$C$30),O74)</f>
        <v>685.40606744913532</v>
      </c>
      <c r="U74" s="15">
        <f>E74*'Drilling Spec'!$C$22 + L74*'Drilling Spec'!$C$23</f>
        <v>0</v>
      </c>
      <c r="V74" s="15">
        <f t="shared" si="36"/>
        <v>19.279999999999998</v>
      </c>
      <c r="W74" s="15">
        <f t="shared" si="26"/>
        <v>4.7199999999999953</v>
      </c>
      <c r="X74" s="10"/>
      <c r="Y74" s="30">
        <f>IF(W74&lt;U75,'Drilling Spec'!$C$35,0)</f>
        <v>0</v>
      </c>
      <c r="AA74" s="4">
        <f>AA73+AC73+AB74</f>
        <v>46</v>
      </c>
      <c r="AB74" s="10"/>
      <c r="AC74" s="30">
        <f>IF('08-07-25-Scen7-GennyFail'!K75&gt;'08-07-25-Scen7-GennyFail'!AA74,'Drilling Spec'!$C$36,)</f>
        <v>0</v>
      </c>
      <c r="AE74" s="18">
        <f>(I74-'Drilling Spec'!$C$26)/'Drilling Spec'!$C$38</f>
        <v>108.99517641877463</v>
      </c>
      <c r="AF74" s="18">
        <f t="shared" si="27"/>
        <v>0</v>
      </c>
      <c r="AG74" s="34">
        <f t="shared" si="28"/>
        <v>8.9951764187746335</v>
      </c>
      <c r="AH74" s="10"/>
      <c r="AI74" s="26">
        <f>IF(C74="Camp Closed",AG74,IF(AG74&lt;'Drilling Spec'!$C$39,,'Drilling Spec'!$C$39))</f>
        <v>0</v>
      </c>
      <c r="AL74" s="16">
        <f t="shared" si="29"/>
        <v>-723.9710585126478</v>
      </c>
      <c r="AM74" s="16">
        <f t="shared" si="30"/>
        <v>-685.40606744913532</v>
      </c>
      <c r="AN74">
        <f>-'Drilling Spec'!$C$29</f>
        <v>-720</v>
      </c>
      <c r="AO74">
        <f>-'Drilling Spec'!$C$27</f>
        <v>-624</v>
      </c>
      <c r="AP74">
        <f>-'Drilling Spec'!$C$28</f>
        <v>-688</v>
      </c>
      <c r="AQ74" t="e">
        <f t="shared" si="31"/>
        <v>#N/A</v>
      </c>
      <c r="AR74" t="e">
        <f>IF(X74=0,NA(),-'Drilling Spec'!$C$29*0.1)</f>
        <v>#N/A</v>
      </c>
      <c r="AS74" t="e">
        <f>IF(Y74=0,NA(),-'Drilling Spec'!$C$29*0.1)</f>
        <v>#N/A</v>
      </c>
      <c r="AT74" t="e">
        <f>IF(AB74=0,NA(),-'Drilling Spec'!$C$29*0.2)</f>
        <v>#N/A</v>
      </c>
      <c r="AU74" t="e">
        <f>IF(AC74=0,NA(),-'Drilling Spec'!$C$29*0.2)</f>
        <v>#N/A</v>
      </c>
      <c r="AV74" t="e">
        <f>IF(AH74=0,NA(),-'Drilling Spec'!$C$29*0.3)</f>
        <v>#N/A</v>
      </c>
      <c r="AW74" t="e">
        <f>IF(AI74=0,NA(),-'Drilling Spec'!$C$29*0.3)</f>
        <v>#N/A</v>
      </c>
      <c r="AX74" s="29">
        <f t="shared" si="32"/>
        <v>4.7199999999999953</v>
      </c>
      <c r="AY74" s="29">
        <f t="shared" si="33"/>
        <v>39.392960146104933</v>
      </c>
      <c r="AZ74" s="29">
        <f t="shared" si="37"/>
        <v>8.9951764187746335</v>
      </c>
    </row>
    <row r="75" spans="1:52" x14ac:dyDescent="0.35">
      <c r="A75" s="28">
        <f t="shared" si="38"/>
        <v>46045</v>
      </c>
      <c r="B75" t="str">
        <f t="shared" si="20"/>
        <v>Fri</v>
      </c>
      <c r="C75" s="10" t="s">
        <v>10</v>
      </c>
      <c r="D75" s="10">
        <v>12</v>
      </c>
      <c r="E75" s="4">
        <f t="shared" si="21"/>
        <v>0</v>
      </c>
      <c r="F75" s="4">
        <f t="shared" si="22"/>
        <v>816</v>
      </c>
      <c r="G75" s="4">
        <f t="shared" si="23"/>
        <v>0</v>
      </c>
      <c r="H75" s="15">
        <f>(SQRT(4*I74*I74*V*V + 'Drilling Spec'!$C$42*I74 + W*('Drilling Spec'!$C$43 + 2*l*V*(s*W + 2*V*G75/(1+e)) + 'Drilling Spec'!$C$44)) - 'Drilling Spec'!$C$45)/(2*V)</f>
        <v>723.9710585126478</v>
      </c>
      <c r="I75" s="23">
        <f>IF(AND(OR(I74=0,I74=""),F75=0),IF(F76=0,"",'Drilling Spec'!$C$26),H75)</f>
        <v>723.9710585126478</v>
      </c>
      <c r="J75" s="16">
        <f>MAX(0,I75-'Drilling Spec'!$C$30)</f>
        <v>643.9710585126478</v>
      </c>
      <c r="K75" s="18">
        <f>IFERROR(J75/'Drilling Spec'!$C$31,0)</f>
        <v>42.931403900843186</v>
      </c>
      <c r="L75" s="21">
        <f t="shared" si="24"/>
        <v>12</v>
      </c>
      <c r="M75" s="4">
        <f t="shared" si="34"/>
        <v>132</v>
      </c>
      <c r="N75" s="21">
        <f t="shared" si="25"/>
        <v>720</v>
      </c>
      <c r="O75" s="18">
        <f>(SQRT(4*O74*O74*vB*vB + 'Drilling Spec'!$C$48*O74 + WB*('Drilling Spec'!$C$49 + 2*lB*vB*(sB*WB + 2*vB*N75/(1+eB)) + 'Drilling Spec'!$C$50)) - 'Drilling Spec'!$C$51)/(2*vB)</f>
        <v>723.46681615545504</v>
      </c>
      <c r="P75" s="18">
        <f>IFERROR(((S75-'Drilling Spec'!$C$30)/'Drilling Spec'!$C$31)*'Drilling Spec'!$C$32,0)</f>
        <v>38.608008969327301</v>
      </c>
      <c r="Q75" s="18">
        <f t="shared" si="35"/>
        <v>2.2836449223791817</v>
      </c>
      <c r="R75" s="18"/>
      <c r="S75" s="26">
        <f>IF(AND(OR(T74=0,T74=""),M75=0),IF(M76=0,"",'Drilling Spec'!$C$30),O75)</f>
        <v>723.46681615545504</v>
      </c>
      <c r="U75" s="15">
        <f>E75*'Drilling Spec'!$C$22 + L75*'Drilling Spec'!$C$23</f>
        <v>0.29268292682926833</v>
      </c>
      <c r="V75" s="15">
        <f t="shared" si="36"/>
        <v>19.572682926829266</v>
      </c>
      <c r="W75" s="15">
        <f t="shared" si="26"/>
        <v>4.4273170731707268</v>
      </c>
      <c r="X75" s="10"/>
      <c r="Y75" s="30">
        <f>IF(W75&lt;U76,'Drilling Spec'!$C$35,0)</f>
        <v>0</v>
      </c>
      <c r="AA75" s="4">
        <f t="shared" ref="AA75:AA112" si="40">AA74+AC74+AB75</f>
        <v>46</v>
      </c>
      <c r="AB75" s="10"/>
      <c r="AC75" s="30">
        <f>IF('08-07-25-Scen7-GennyFail'!K76&gt;'08-07-25-Scen7-GennyFail'!AA75,'Drilling Spec'!$C$36,)</f>
        <v>0</v>
      </c>
      <c r="AE75" s="18">
        <f>(I75-'Drilling Spec'!$C$26)/'Drilling Spec'!$C$38</f>
        <v>108.99517641877463</v>
      </c>
      <c r="AF75" s="18">
        <f t="shared" si="27"/>
        <v>0</v>
      </c>
      <c r="AG75" s="34">
        <f t="shared" si="28"/>
        <v>8.9951764187746335</v>
      </c>
      <c r="AH75" s="10"/>
      <c r="AI75" s="26">
        <f>IF(C75="Camp Closed",AG75,IF(AG75&lt;'Drilling Spec'!$C$39,,'Drilling Spec'!$C$39))</f>
        <v>0</v>
      </c>
      <c r="AL75" s="16">
        <f t="shared" si="29"/>
        <v>-723.9710585126478</v>
      </c>
      <c r="AM75" s="16">
        <f t="shared" si="30"/>
        <v>-723.46681615545504</v>
      </c>
      <c r="AN75">
        <f>-'Drilling Spec'!$C$29</f>
        <v>-720</v>
      </c>
      <c r="AO75">
        <f>-'Drilling Spec'!$C$27</f>
        <v>-624</v>
      </c>
      <c r="AP75">
        <f>-'Drilling Spec'!$C$28</f>
        <v>-688</v>
      </c>
      <c r="AQ75" t="e">
        <f t="shared" si="31"/>
        <v>#N/A</v>
      </c>
      <c r="AR75" t="e">
        <f>IF(X75=0,NA(),-'Drilling Spec'!$C$29*0.1)</f>
        <v>#N/A</v>
      </c>
      <c r="AS75" t="e">
        <f>IF(Y75=0,NA(),-'Drilling Spec'!$C$29*0.1)</f>
        <v>#N/A</v>
      </c>
      <c r="AT75" t="e">
        <f>IF(AB75=0,NA(),-'Drilling Spec'!$C$29*0.2)</f>
        <v>#N/A</v>
      </c>
      <c r="AU75" t="e">
        <f>IF(AC75=0,NA(),-'Drilling Spec'!$C$29*0.2)</f>
        <v>#N/A</v>
      </c>
      <c r="AV75" t="e">
        <f>IF(AH75=0,NA(),-'Drilling Spec'!$C$29*0.3)</f>
        <v>#N/A</v>
      </c>
      <c r="AW75" t="e">
        <f>IF(AI75=0,NA(),-'Drilling Spec'!$C$29*0.3)</f>
        <v>#N/A</v>
      </c>
      <c r="AX75" s="29">
        <f t="shared" si="32"/>
        <v>4.4273170731707268</v>
      </c>
      <c r="AY75" s="29">
        <f t="shared" si="33"/>
        <v>41.676605068484115</v>
      </c>
      <c r="AZ75" s="29">
        <f t="shared" si="37"/>
        <v>8.9951764187746335</v>
      </c>
    </row>
    <row r="76" spans="1:52" x14ac:dyDescent="0.35">
      <c r="A76" s="28">
        <f t="shared" si="38"/>
        <v>46046</v>
      </c>
      <c r="B76" t="str">
        <f t="shared" si="20"/>
        <v>Sat</v>
      </c>
      <c r="C76" s="10" t="s">
        <v>68</v>
      </c>
      <c r="D76" s="10">
        <v>12</v>
      </c>
      <c r="E76" s="4">
        <f t="shared" si="21"/>
        <v>0</v>
      </c>
      <c r="F76" s="4">
        <f t="shared" si="22"/>
        <v>816</v>
      </c>
      <c r="G76" s="4">
        <f t="shared" si="23"/>
        <v>0</v>
      </c>
      <c r="H76" s="15">
        <f>(SQRT(4*I75*I75*V*V + 'Drilling Spec'!$C$42*I75 + W*('Drilling Spec'!$C$43 + 2*l*V*(s*W + 2*V*G76/(1+e)) + 'Drilling Spec'!$C$44)) - 'Drilling Spec'!$C$45)/(2*V)</f>
        <v>723.9710585126478</v>
      </c>
      <c r="I76" s="23">
        <f>IF(AND(OR(I75=0,I75=""),F76=0),IF(F77=0,"",'Drilling Spec'!$C$26),H76)</f>
        <v>723.9710585126478</v>
      </c>
      <c r="J76" s="16">
        <f>MAX(0,I76-'Drilling Spec'!$C$30)</f>
        <v>643.9710585126478</v>
      </c>
      <c r="K76" s="18">
        <f>IFERROR(J76/'Drilling Spec'!$C$31,0)</f>
        <v>42.931403900843186</v>
      </c>
      <c r="L76" s="21">
        <f t="shared" si="24"/>
        <v>0</v>
      </c>
      <c r="M76" s="4">
        <f t="shared" si="34"/>
        <v>132</v>
      </c>
      <c r="N76" s="21">
        <f t="shared" si="25"/>
        <v>0</v>
      </c>
      <c r="O76" s="18">
        <f>(SQRT(4*O75*O75*vB*vB + 'Drilling Spec'!$C$48*O75 + WB*('Drilling Spec'!$C$49 + 2*lB*vB*(sB*WB + 2*vB*N76/(1+eB)) + 'Drilling Spec'!$C$50)) - 'Drilling Spec'!$C$51)/(2*vB)</f>
        <v>723.46681615545504</v>
      </c>
      <c r="P76" s="18">
        <f>IFERROR(((S76-'Drilling Spec'!$C$30)/'Drilling Spec'!$C$31)*'Drilling Spec'!$C$32,0)</f>
        <v>38.608008969327301</v>
      </c>
      <c r="Q76" s="18">
        <f t="shared" si="35"/>
        <v>0</v>
      </c>
      <c r="R76" s="18"/>
      <c r="S76" s="26">
        <f>IF(AND(OR(T75=0,T75=""),M76=0),IF(M77=0,"",'Drilling Spec'!$C$30),O76)</f>
        <v>723.46681615545504</v>
      </c>
      <c r="U76" s="15">
        <f>E76*'Drilling Spec'!$C$22 + L76*'Drilling Spec'!$C$23</f>
        <v>0</v>
      </c>
      <c r="V76" s="15">
        <f t="shared" si="36"/>
        <v>19.572682926829266</v>
      </c>
      <c r="W76" s="15">
        <f t="shared" si="26"/>
        <v>4.4273170731707268</v>
      </c>
      <c r="X76" s="10"/>
      <c r="Y76" s="30">
        <f>IF(W76&lt;U77,'Drilling Spec'!$C$35,0)</f>
        <v>0</v>
      </c>
      <c r="AA76" s="4">
        <f t="shared" si="40"/>
        <v>46</v>
      </c>
      <c r="AB76" s="10"/>
      <c r="AC76" s="30">
        <f>IF('08-07-25-Scen7-GennyFail'!K77&gt;'08-07-25-Scen7-GennyFail'!AA76,'Drilling Spec'!$C$36,)</f>
        <v>0</v>
      </c>
      <c r="AE76" s="18">
        <f>(I76-'Drilling Spec'!$C$26)/'Drilling Spec'!$C$38</f>
        <v>108.99517641877463</v>
      </c>
      <c r="AF76" s="18">
        <f t="shared" si="27"/>
        <v>0</v>
      </c>
      <c r="AG76" s="34">
        <f t="shared" si="28"/>
        <v>8.9951764187746335</v>
      </c>
      <c r="AH76" s="10"/>
      <c r="AI76" s="26">
        <f>IF(C76="Camp Closed",AG76,IF(AG76&lt;'Drilling Spec'!$C$39,,'Drilling Spec'!$C$39))</f>
        <v>0</v>
      </c>
      <c r="AL76" s="16">
        <f t="shared" si="29"/>
        <v>-723.9710585126478</v>
      </c>
      <c r="AM76" s="16">
        <f t="shared" si="30"/>
        <v>-723.46681615545504</v>
      </c>
      <c r="AN76">
        <f>-'Drilling Spec'!$C$29</f>
        <v>-720</v>
      </c>
      <c r="AO76">
        <f>-'Drilling Spec'!$C$27</f>
        <v>-624</v>
      </c>
      <c r="AP76">
        <f>-'Drilling Spec'!$C$28</f>
        <v>-688</v>
      </c>
      <c r="AQ76" t="e">
        <f t="shared" si="31"/>
        <v>#N/A</v>
      </c>
      <c r="AR76" t="e">
        <f>IF(X76=0,NA(),-'Drilling Spec'!$C$29*0.1)</f>
        <v>#N/A</v>
      </c>
      <c r="AS76" t="e">
        <f>IF(Y76=0,NA(),-'Drilling Spec'!$C$29*0.1)</f>
        <v>#N/A</v>
      </c>
      <c r="AT76" t="e">
        <f>IF(AB76=0,NA(),-'Drilling Spec'!$C$29*0.2)</f>
        <v>#N/A</v>
      </c>
      <c r="AU76" t="e">
        <f>IF(AC76=0,NA(),-'Drilling Spec'!$C$29*0.2)</f>
        <v>#N/A</v>
      </c>
      <c r="AV76" t="e">
        <f>IF(AH76=0,NA(),-'Drilling Spec'!$C$29*0.3)</f>
        <v>#N/A</v>
      </c>
      <c r="AW76" t="e">
        <f>IF(AI76=0,NA(),-'Drilling Spec'!$C$29*0.3)</f>
        <v>#N/A</v>
      </c>
      <c r="AX76" s="29">
        <f t="shared" si="32"/>
        <v>4.4273170731707268</v>
      </c>
      <c r="AY76" s="29">
        <f t="shared" si="33"/>
        <v>41.676605068484115</v>
      </c>
      <c r="AZ76" s="29">
        <f t="shared" si="37"/>
        <v>8.9951764187746335</v>
      </c>
    </row>
    <row r="77" spans="1:52" x14ac:dyDescent="0.35">
      <c r="A77" s="28">
        <f t="shared" si="38"/>
        <v>46047</v>
      </c>
      <c r="B77" t="str">
        <f t="shared" si="20"/>
        <v>Sun</v>
      </c>
      <c r="C77" s="10" t="s">
        <v>68</v>
      </c>
      <c r="D77" s="10">
        <v>12</v>
      </c>
      <c r="E77" s="4">
        <f t="shared" si="21"/>
        <v>0</v>
      </c>
      <c r="F77" s="4">
        <f t="shared" si="22"/>
        <v>816</v>
      </c>
      <c r="G77" s="4">
        <f t="shared" si="23"/>
        <v>0</v>
      </c>
      <c r="H77" s="15">
        <f>(SQRT(4*I76*I76*V*V + 'Drilling Spec'!$C$42*I76 + W*('Drilling Spec'!$C$43 + 2*l*V*(s*W + 2*V*G77/(1+e)) + 'Drilling Spec'!$C$44)) - 'Drilling Spec'!$C$45)/(2*V)</f>
        <v>723.9710585126478</v>
      </c>
      <c r="I77" s="23">
        <f>IF(AND(OR(I76=0,I76=""),F77=0),IF(F78=0,"",'Drilling Spec'!$C$26),H77)</f>
        <v>723.9710585126478</v>
      </c>
      <c r="J77" s="16">
        <f>MAX(0,I77-'Drilling Spec'!$C$30)</f>
        <v>643.9710585126478</v>
      </c>
      <c r="K77" s="18">
        <f>IFERROR(J77/'Drilling Spec'!$C$31,0)</f>
        <v>42.931403900843186</v>
      </c>
      <c r="L77" s="21">
        <f t="shared" si="24"/>
        <v>0</v>
      </c>
      <c r="M77" s="4">
        <f t="shared" si="34"/>
        <v>132</v>
      </c>
      <c r="N77" s="21">
        <f t="shared" si="25"/>
        <v>0</v>
      </c>
      <c r="O77" s="18">
        <f>(SQRT(4*O76*O76*vB*vB + 'Drilling Spec'!$C$48*O76 + WB*('Drilling Spec'!$C$49 + 2*lB*vB*(sB*WB + 2*vB*N77/(1+eB)) + 'Drilling Spec'!$C$50)) - 'Drilling Spec'!$C$51)/(2*vB)</f>
        <v>723.46681615545504</v>
      </c>
      <c r="P77" s="18">
        <f>IFERROR(((S77-'Drilling Spec'!$C$30)/'Drilling Spec'!$C$31)*'Drilling Spec'!$C$32,0)</f>
        <v>38.608008969327301</v>
      </c>
      <c r="Q77" s="18">
        <f t="shared" si="35"/>
        <v>0</v>
      </c>
      <c r="R77" s="18"/>
      <c r="S77" s="26">
        <f>IF(AND(OR(T76=0,T76=""),M77=0),IF(M78=0,"",'Drilling Spec'!$C$30),O77)</f>
        <v>723.46681615545504</v>
      </c>
      <c r="U77" s="15">
        <f>E77*'Drilling Spec'!$C$22 + L77*'Drilling Spec'!$C$23</f>
        <v>0</v>
      </c>
      <c r="V77" s="15">
        <f t="shared" si="36"/>
        <v>19.572682926829266</v>
      </c>
      <c r="W77" s="15">
        <f t="shared" si="26"/>
        <v>4.4273170731707268</v>
      </c>
      <c r="X77" s="10"/>
      <c r="Y77" s="30">
        <f>IF(W77&lt;U78,'Drilling Spec'!$C$35,0)</f>
        <v>0</v>
      </c>
      <c r="AA77" s="4">
        <f t="shared" si="40"/>
        <v>46</v>
      </c>
      <c r="AB77" s="10"/>
      <c r="AC77" s="30">
        <f>IF('08-07-25-Scen7-GennyFail'!K78&gt;'08-07-25-Scen7-GennyFail'!AA77,'Drilling Spec'!$C$36,)</f>
        <v>0</v>
      </c>
      <c r="AE77" s="18">
        <f>(I77-'Drilling Spec'!$C$26)/'Drilling Spec'!$C$38</f>
        <v>108.99517641877463</v>
      </c>
      <c r="AF77" s="18">
        <f t="shared" si="27"/>
        <v>0</v>
      </c>
      <c r="AG77" s="34">
        <f t="shared" si="28"/>
        <v>8.9951764187746335</v>
      </c>
      <c r="AH77" s="10"/>
      <c r="AI77" s="26">
        <f>IF(C77="Camp Closed",AG77,IF(AG77&lt;'Drilling Spec'!$C$39,,'Drilling Spec'!$C$39))</f>
        <v>0</v>
      </c>
      <c r="AL77" s="16">
        <f t="shared" si="29"/>
        <v>-723.9710585126478</v>
      </c>
      <c r="AM77" s="16">
        <f t="shared" si="30"/>
        <v>-723.46681615545504</v>
      </c>
      <c r="AN77">
        <f>-'Drilling Spec'!$C$29</f>
        <v>-720</v>
      </c>
      <c r="AO77">
        <f>-'Drilling Spec'!$C$27</f>
        <v>-624</v>
      </c>
      <c r="AP77">
        <f>-'Drilling Spec'!$C$28</f>
        <v>-688</v>
      </c>
      <c r="AQ77" t="e">
        <f t="shared" si="31"/>
        <v>#N/A</v>
      </c>
      <c r="AR77" t="e">
        <f>IF(X77=0,NA(),-'Drilling Spec'!$C$29*0.1)</f>
        <v>#N/A</v>
      </c>
      <c r="AS77" t="e">
        <f>IF(Y77=0,NA(),-'Drilling Spec'!$C$29*0.1)</f>
        <v>#N/A</v>
      </c>
      <c r="AT77" t="e">
        <f>IF(AB77=0,NA(),-'Drilling Spec'!$C$29*0.2)</f>
        <v>#N/A</v>
      </c>
      <c r="AU77" t="e">
        <f>IF(AC77=0,NA(),-'Drilling Spec'!$C$29*0.2)</f>
        <v>#N/A</v>
      </c>
      <c r="AV77" t="e">
        <f>IF(AH77=0,NA(),-'Drilling Spec'!$C$29*0.3)</f>
        <v>#N/A</v>
      </c>
      <c r="AW77" t="e">
        <f>IF(AI77=0,NA(),-'Drilling Spec'!$C$29*0.3)</f>
        <v>#N/A</v>
      </c>
      <c r="AX77" s="29">
        <f t="shared" si="32"/>
        <v>4.4273170731707268</v>
      </c>
      <c r="AY77" s="29">
        <f t="shared" si="33"/>
        <v>41.676605068484115</v>
      </c>
      <c r="AZ77" s="29">
        <f t="shared" si="37"/>
        <v>8.9951764187746335</v>
      </c>
    </row>
    <row r="78" spans="1:52" x14ac:dyDescent="0.35">
      <c r="A78" s="28">
        <f t="shared" si="38"/>
        <v>46048</v>
      </c>
      <c r="B78" t="str">
        <f t="shared" si="20"/>
        <v>Mon</v>
      </c>
      <c r="C78" s="10" t="s">
        <v>70</v>
      </c>
      <c r="D78" s="10">
        <v>12</v>
      </c>
      <c r="E78" s="4">
        <f t="shared" si="21"/>
        <v>0</v>
      </c>
      <c r="F78" s="4">
        <f t="shared" si="22"/>
        <v>816</v>
      </c>
      <c r="G78" s="4">
        <f t="shared" si="23"/>
        <v>0</v>
      </c>
      <c r="H78" s="15">
        <f>(SQRT(4*I77*I77*V*V + 'Drilling Spec'!$C$42*I77 + W*('Drilling Spec'!$C$43 + 2*l*V*(s*W + 2*V*G78/(1+e)) + 'Drilling Spec'!$C$44)) - 'Drilling Spec'!$C$45)/(2*V)</f>
        <v>723.9710585126478</v>
      </c>
      <c r="I78" s="23">
        <f>IF(AND(OR(I77=0,I77=""),F78=0),IF(F79=0,"",'Drilling Spec'!$C$26),H78)</f>
        <v>723.9710585126478</v>
      </c>
      <c r="J78" s="16">
        <f>MAX(0,I78-'Drilling Spec'!$C$30)</f>
        <v>643.9710585126478</v>
      </c>
      <c r="K78" s="18">
        <f>IFERROR(J78/'Drilling Spec'!$C$31,0)</f>
        <v>42.931403900843186</v>
      </c>
      <c r="L78" s="21">
        <f t="shared" si="24"/>
        <v>0</v>
      </c>
      <c r="M78" s="4">
        <f t="shared" si="34"/>
        <v>132</v>
      </c>
      <c r="N78" s="21">
        <f t="shared" si="25"/>
        <v>0</v>
      </c>
      <c r="O78" s="18">
        <f>(SQRT(4*O77*O77*vB*vB + 'Drilling Spec'!$C$48*O77 + WB*('Drilling Spec'!$C$49 + 2*lB*vB*(sB*WB + 2*vB*N78/(1+eB)) + 'Drilling Spec'!$C$50)) - 'Drilling Spec'!$C$51)/(2*vB)</f>
        <v>723.46681615545504</v>
      </c>
      <c r="P78" s="18">
        <f>IFERROR(((S78-'Drilling Spec'!$C$30)/'Drilling Spec'!$C$31)*'Drilling Spec'!$C$32,0)</f>
        <v>38.608008969327301</v>
      </c>
      <c r="Q78" s="18">
        <f t="shared" si="35"/>
        <v>0</v>
      </c>
      <c r="R78" s="18"/>
      <c r="S78" s="26">
        <f>IF(AND(OR(T77=0,T77=""),M78=0),IF(M79=0,"",'Drilling Spec'!$C$30),O78)</f>
        <v>723.46681615545504</v>
      </c>
      <c r="U78" s="15">
        <f>E78*'Drilling Spec'!$C$22 + L78*'Drilling Spec'!$C$23</f>
        <v>0</v>
      </c>
      <c r="V78" s="15">
        <f t="shared" si="36"/>
        <v>19.572682926829266</v>
      </c>
      <c r="W78" s="15">
        <f t="shared" si="26"/>
        <v>4.4273170731707268</v>
      </c>
      <c r="X78" s="10"/>
      <c r="Y78" s="30">
        <f>IF(W78&lt;U79,'Drilling Spec'!$C$35,0)</f>
        <v>0</v>
      </c>
      <c r="AA78" s="4">
        <f t="shared" si="40"/>
        <v>46</v>
      </c>
      <c r="AB78" s="10"/>
      <c r="AC78" s="30">
        <f>IF('08-07-25-Scen7-GennyFail'!K79&gt;'08-07-25-Scen7-GennyFail'!AA78,'Drilling Spec'!$C$36,)</f>
        <v>0</v>
      </c>
      <c r="AE78" s="18">
        <f>(I78-'Drilling Spec'!$C$26)/'Drilling Spec'!$C$38</f>
        <v>108.99517641877463</v>
      </c>
      <c r="AF78" s="18">
        <f t="shared" si="27"/>
        <v>0</v>
      </c>
      <c r="AG78" s="34">
        <f t="shared" si="28"/>
        <v>8.9951764187746335</v>
      </c>
      <c r="AH78" s="10"/>
      <c r="AI78" s="26">
        <f>IF(C78="Camp Closed",AG78,IF(AG78&lt;'Drilling Spec'!$C$39,,'Drilling Spec'!$C$39))</f>
        <v>0</v>
      </c>
      <c r="AL78" s="16">
        <f t="shared" si="29"/>
        <v>-723.9710585126478</v>
      </c>
      <c r="AM78" s="16">
        <f t="shared" si="30"/>
        <v>-723.46681615545504</v>
      </c>
      <c r="AN78">
        <f>-'Drilling Spec'!$C$29</f>
        <v>-720</v>
      </c>
      <c r="AO78">
        <f>-'Drilling Spec'!$C$27</f>
        <v>-624</v>
      </c>
      <c r="AP78">
        <f>-'Drilling Spec'!$C$28</f>
        <v>-688</v>
      </c>
      <c r="AQ78" t="e">
        <f t="shared" si="31"/>
        <v>#N/A</v>
      </c>
      <c r="AR78" t="e">
        <f>IF(X78=0,NA(),-'Drilling Spec'!$C$29*0.1)</f>
        <v>#N/A</v>
      </c>
      <c r="AS78" t="e">
        <f>IF(Y78=0,NA(),-'Drilling Spec'!$C$29*0.1)</f>
        <v>#N/A</v>
      </c>
      <c r="AT78" t="e">
        <f>IF(AB78=0,NA(),-'Drilling Spec'!$C$29*0.2)</f>
        <v>#N/A</v>
      </c>
      <c r="AU78" t="e">
        <f>IF(AC78=0,NA(),-'Drilling Spec'!$C$29*0.2)</f>
        <v>#N/A</v>
      </c>
      <c r="AV78" t="e">
        <f>IF(AH78=0,NA(),-'Drilling Spec'!$C$29*0.3)</f>
        <v>#N/A</v>
      </c>
      <c r="AW78" t="e">
        <f>IF(AI78=0,NA(),-'Drilling Spec'!$C$29*0.3)</f>
        <v>#N/A</v>
      </c>
      <c r="AX78" s="29">
        <f t="shared" si="32"/>
        <v>4.4273170731707268</v>
      </c>
      <c r="AY78" s="29">
        <f t="shared" si="33"/>
        <v>41.676605068484115</v>
      </c>
      <c r="AZ78" s="29">
        <f t="shared" si="37"/>
        <v>8.9951764187746335</v>
      </c>
    </row>
    <row r="79" spans="1:52" x14ac:dyDescent="0.35">
      <c r="A79" s="28">
        <f t="shared" si="38"/>
        <v>46049</v>
      </c>
      <c r="B79" t="str">
        <f t="shared" si="20"/>
        <v>Tue</v>
      </c>
      <c r="C79" s="10" t="s">
        <v>70</v>
      </c>
      <c r="D79" s="10">
        <v>12</v>
      </c>
      <c r="E79" s="4">
        <f t="shared" si="21"/>
        <v>0</v>
      </c>
      <c r="F79" s="4">
        <f t="shared" si="22"/>
        <v>816</v>
      </c>
      <c r="G79" s="4">
        <f t="shared" si="23"/>
        <v>0</v>
      </c>
      <c r="H79" s="15">
        <f>(SQRT(4*I78*I78*V*V + 'Drilling Spec'!$C$42*I78 + W*('Drilling Spec'!$C$43 + 2*l*V*(s*W + 2*V*G79/(1+e)) + 'Drilling Spec'!$C$44)) - 'Drilling Spec'!$C$45)/(2*V)</f>
        <v>723.9710585126478</v>
      </c>
      <c r="I79" s="23">
        <f>IF(AND(OR(I78=0,I78=""),F79=0),IF(F80=0,"",'Drilling Spec'!$C$26),H79)</f>
        <v>723.9710585126478</v>
      </c>
      <c r="J79" s="16">
        <f>MAX(0,I79-'Drilling Spec'!$C$30)</f>
        <v>643.9710585126478</v>
      </c>
      <c r="K79" s="18">
        <f>IFERROR(J79/'Drilling Spec'!$C$31,0)</f>
        <v>42.931403900843186</v>
      </c>
      <c r="L79" s="21">
        <f t="shared" si="24"/>
        <v>0</v>
      </c>
      <c r="M79" s="4">
        <f t="shared" si="34"/>
        <v>132</v>
      </c>
      <c r="N79" s="21">
        <f t="shared" si="25"/>
        <v>0</v>
      </c>
      <c r="O79" s="18">
        <f>(SQRT(4*O78*O78*vB*vB + 'Drilling Spec'!$C$48*O78 + WB*('Drilling Spec'!$C$49 + 2*lB*vB*(sB*WB + 2*vB*N79/(1+eB)) + 'Drilling Spec'!$C$50)) - 'Drilling Spec'!$C$51)/(2*vB)</f>
        <v>723.46681615545504</v>
      </c>
      <c r="P79" s="18">
        <f>IFERROR(((S79-'Drilling Spec'!$C$30)/'Drilling Spec'!$C$31)*'Drilling Spec'!$C$32,0)</f>
        <v>38.608008969327301</v>
      </c>
      <c r="Q79" s="18">
        <f t="shared" si="35"/>
        <v>0</v>
      </c>
      <c r="R79" s="18"/>
      <c r="S79" s="26">
        <f>IF(AND(OR(T78=0,T78=""),M79=0),IF(M80=0,"",'Drilling Spec'!$C$30),O79)</f>
        <v>723.46681615545504</v>
      </c>
      <c r="U79" s="15">
        <f>E79*'Drilling Spec'!$C$22 + L79*'Drilling Spec'!$C$23</f>
        <v>0</v>
      </c>
      <c r="V79" s="15">
        <f t="shared" si="36"/>
        <v>19.572682926829266</v>
      </c>
      <c r="W79" s="15">
        <f t="shared" si="26"/>
        <v>4.4273170731707268</v>
      </c>
      <c r="X79" s="10"/>
      <c r="Y79" s="30">
        <f>IF(W79&lt;U80,'Drilling Spec'!$C$35,0)</f>
        <v>0</v>
      </c>
      <c r="AA79" s="4">
        <f t="shared" si="40"/>
        <v>46</v>
      </c>
      <c r="AB79" s="10"/>
      <c r="AC79" s="30">
        <f>IF('08-07-25-Scen7-GennyFail'!K80&gt;'08-07-25-Scen7-GennyFail'!AA79,'Drilling Spec'!$C$36,)</f>
        <v>0</v>
      </c>
      <c r="AE79" s="18">
        <f>(I79-'Drilling Spec'!$C$26)/'Drilling Spec'!$C$38</f>
        <v>108.99517641877463</v>
      </c>
      <c r="AF79" s="18">
        <f t="shared" si="27"/>
        <v>0</v>
      </c>
      <c r="AG79" s="34">
        <f t="shared" si="28"/>
        <v>8.9951764187746335</v>
      </c>
      <c r="AH79" s="10"/>
      <c r="AI79" s="26">
        <f>IF(C79="Camp Closed",AG79,IF(AG79&lt;'Drilling Spec'!$C$39,,'Drilling Spec'!$C$39))</f>
        <v>0</v>
      </c>
      <c r="AL79" s="16">
        <f t="shared" si="29"/>
        <v>-723.9710585126478</v>
      </c>
      <c r="AM79" s="16">
        <f t="shared" si="30"/>
        <v>-723.46681615545504</v>
      </c>
      <c r="AN79">
        <f>-'Drilling Spec'!$C$29</f>
        <v>-720</v>
      </c>
      <c r="AO79">
        <f>-'Drilling Spec'!$C$27</f>
        <v>-624</v>
      </c>
      <c r="AP79">
        <f>-'Drilling Spec'!$C$28</f>
        <v>-688</v>
      </c>
      <c r="AQ79" t="e">
        <f t="shared" si="31"/>
        <v>#N/A</v>
      </c>
      <c r="AR79" t="e">
        <f>IF(X79=0,NA(),-'Drilling Spec'!$C$29*0.1)</f>
        <v>#N/A</v>
      </c>
      <c r="AS79" t="e">
        <f>IF(Y79=0,NA(),-'Drilling Spec'!$C$29*0.1)</f>
        <v>#N/A</v>
      </c>
      <c r="AT79" t="e">
        <f>IF(AB79=0,NA(),-'Drilling Spec'!$C$29*0.2)</f>
        <v>#N/A</v>
      </c>
      <c r="AU79" t="e">
        <f>IF(AC79=0,NA(),-'Drilling Spec'!$C$29*0.2)</f>
        <v>#N/A</v>
      </c>
      <c r="AV79" t="e">
        <f>IF(AH79=0,NA(),-'Drilling Spec'!$C$29*0.3)</f>
        <v>#N/A</v>
      </c>
      <c r="AW79" t="e">
        <f>IF(AI79=0,NA(),-'Drilling Spec'!$C$29*0.3)</f>
        <v>#N/A</v>
      </c>
      <c r="AX79" s="29">
        <f t="shared" si="32"/>
        <v>4.4273170731707268</v>
      </c>
      <c r="AY79" s="29">
        <f t="shared" si="33"/>
        <v>41.676605068484115</v>
      </c>
      <c r="AZ79" s="29">
        <f t="shared" si="37"/>
        <v>8.9951764187746335</v>
      </c>
    </row>
    <row r="80" spans="1:52" x14ac:dyDescent="0.35">
      <c r="A80" s="28">
        <f t="shared" si="38"/>
        <v>46050</v>
      </c>
      <c r="B80" t="str">
        <f t="shared" si="20"/>
        <v>Wed</v>
      </c>
      <c r="C80" s="10" t="s">
        <v>70</v>
      </c>
      <c r="D80" s="10">
        <v>12</v>
      </c>
      <c r="E80" s="4">
        <f t="shared" si="21"/>
        <v>0</v>
      </c>
      <c r="F80" s="4">
        <f t="shared" si="22"/>
        <v>816</v>
      </c>
      <c r="G80" s="4">
        <f t="shared" si="23"/>
        <v>0</v>
      </c>
      <c r="H80" s="15">
        <f>(SQRT(4*I79*I79*V*V + 'Drilling Spec'!$C$42*I79 + W*('Drilling Spec'!$C$43 + 2*l*V*(s*W + 2*V*G80/(1+e)) + 'Drilling Spec'!$C$44)) - 'Drilling Spec'!$C$45)/(2*V)</f>
        <v>723.9710585126478</v>
      </c>
      <c r="I80" s="23">
        <f>IF(AND(OR(I79=0,I79=""),F80=0),IF(F81=0,"",'Drilling Spec'!$C$26),H80)</f>
        <v>723.9710585126478</v>
      </c>
      <c r="J80" s="16">
        <f>MAX(0,I80-'Drilling Spec'!$C$30)</f>
        <v>643.9710585126478</v>
      </c>
      <c r="K80" s="18">
        <f>IFERROR(J80/'Drilling Spec'!$C$31,0)</f>
        <v>42.931403900843186</v>
      </c>
      <c r="L80" s="21">
        <f t="shared" si="24"/>
        <v>0</v>
      </c>
      <c r="M80" s="4">
        <f t="shared" si="34"/>
        <v>132</v>
      </c>
      <c r="N80" s="21">
        <f t="shared" si="25"/>
        <v>0</v>
      </c>
      <c r="O80" s="18">
        <f>(SQRT(4*O79*O79*vB*vB + 'Drilling Spec'!$C$48*O79 + WB*('Drilling Spec'!$C$49 + 2*lB*vB*(sB*WB + 2*vB*N80/(1+eB)) + 'Drilling Spec'!$C$50)) - 'Drilling Spec'!$C$51)/(2*vB)</f>
        <v>723.46681615545504</v>
      </c>
      <c r="P80" s="18">
        <f>IFERROR(((S80-'Drilling Spec'!$C$30)/'Drilling Spec'!$C$31)*'Drilling Spec'!$C$32,0)</f>
        <v>38.608008969327301</v>
      </c>
      <c r="Q80" s="18">
        <f t="shared" si="35"/>
        <v>0</v>
      </c>
      <c r="R80" s="18"/>
      <c r="S80" s="26">
        <f>IF(AND(OR(T79=0,T79=""),M80=0),IF(M81=0,"",'Drilling Spec'!$C$30),O80)</f>
        <v>723.46681615545504</v>
      </c>
      <c r="U80" s="15">
        <f>E80*'Drilling Spec'!$C$22 + L80*'Drilling Spec'!$C$23</f>
        <v>0</v>
      </c>
      <c r="V80" s="15">
        <f t="shared" si="36"/>
        <v>19.572682926829266</v>
      </c>
      <c r="W80" s="15">
        <f t="shared" si="26"/>
        <v>4.4273170731707268</v>
      </c>
      <c r="X80" s="10"/>
      <c r="Y80" s="30">
        <f>IF(W80&lt;U81,'Drilling Spec'!$C$35,0)</f>
        <v>0</v>
      </c>
      <c r="AA80" s="4">
        <f t="shared" si="40"/>
        <v>46</v>
      </c>
      <c r="AB80" s="10"/>
      <c r="AC80" s="30">
        <f>IF('08-07-25-Scen7-GennyFail'!K81&gt;'08-07-25-Scen7-GennyFail'!AA80,'Drilling Spec'!$C$36,)</f>
        <v>0</v>
      </c>
      <c r="AE80" s="18">
        <f>(I80-'Drilling Spec'!$C$26)/'Drilling Spec'!$C$38</f>
        <v>108.99517641877463</v>
      </c>
      <c r="AF80" s="18">
        <f t="shared" si="27"/>
        <v>0</v>
      </c>
      <c r="AG80" s="34">
        <f t="shared" si="28"/>
        <v>8.9951764187746335</v>
      </c>
      <c r="AH80" s="10"/>
      <c r="AI80" s="26">
        <f>IF(C80="Camp Closed",AG80,IF(AG80&lt;'Drilling Spec'!$C$39,,'Drilling Spec'!$C$39))</f>
        <v>0</v>
      </c>
      <c r="AL80" s="16">
        <f t="shared" si="29"/>
        <v>-723.9710585126478</v>
      </c>
      <c r="AM80" s="16">
        <f t="shared" si="30"/>
        <v>-723.46681615545504</v>
      </c>
      <c r="AN80">
        <f>-'Drilling Spec'!$C$29</f>
        <v>-720</v>
      </c>
      <c r="AO80">
        <f>-'Drilling Spec'!$C$27</f>
        <v>-624</v>
      </c>
      <c r="AP80">
        <f>-'Drilling Spec'!$C$28</f>
        <v>-688</v>
      </c>
      <c r="AQ80" t="e">
        <f t="shared" si="31"/>
        <v>#N/A</v>
      </c>
      <c r="AR80" t="e">
        <f>IF(X80=0,NA(),-'Drilling Spec'!$C$29*0.1)</f>
        <v>#N/A</v>
      </c>
      <c r="AS80" t="e">
        <f>IF(Y80=0,NA(),-'Drilling Spec'!$C$29*0.1)</f>
        <v>#N/A</v>
      </c>
      <c r="AT80" t="e">
        <f>IF(AB80=0,NA(),-'Drilling Spec'!$C$29*0.2)</f>
        <v>#N/A</v>
      </c>
      <c r="AU80" t="e">
        <f>IF(AC80=0,NA(),-'Drilling Spec'!$C$29*0.2)</f>
        <v>#N/A</v>
      </c>
      <c r="AV80" t="e">
        <f>IF(AH80=0,NA(),-'Drilling Spec'!$C$29*0.3)</f>
        <v>#N/A</v>
      </c>
      <c r="AW80" t="e">
        <f>IF(AI80=0,NA(),-'Drilling Spec'!$C$29*0.3)</f>
        <v>#N/A</v>
      </c>
      <c r="AX80" s="29">
        <f t="shared" si="32"/>
        <v>4.4273170731707268</v>
      </c>
      <c r="AY80" s="29">
        <f t="shared" si="33"/>
        <v>41.676605068484115</v>
      </c>
      <c r="AZ80" s="29">
        <f t="shared" si="37"/>
        <v>8.9951764187746335</v>
      </c>
    </row>
    <row r="81" spans="1:52" x14ac:dyDescent="0.35">
      <c r="A81" s="28">
        <f t="shared" si="38"/>
        <v>46051</v>
      </c>
      <c r="B81" t="str">
        <f t="shared" si="20"/>
        <v>Thu</v>
      </c>
      <c r="C81" s="10" t="s">
        <v>70</v>
      </c>
      <c r="D81" s="10">
        <v>12</v>
      </c>
      <c r="E81" s="4">
        <f t="shared" si="21"/>
        <v>0</v>
      </c>
      <c r="F81" s="4">
        <f t="shared" si="22"/>
        <v>816</v>
      </c>
      <c r="G81" s="4">
        <f t="shared" si="23"/>
        <v>0</v>
      </c>
      <c r="H81" s="15">
        <f>(SQRT(4*I80*I80*V*V + 'Drilling Spec'!$C$42*I80 + W*('Drilling Spec'!$C$43 + 2*l*V*(s*W + 2*V*G81/(1+e)) + 'Drilling Spec'!$C$44)) - 'Drilling Spec'!$C$45)/(2*V)</f>
        <v>723.9710585126478</v>
      </c>
      <c r="I81" s="23">
        <f>IF(AND(OR(I80=0,I80=""),F81=0),IF(F82=0,"",'Drilling Spec'!$C$26),H81)</f>
        <v>723.9710585126478</v>
      </c>
      <c r="J81" s="16">
        <f>MAX(0,I81-'Drilling Spec'!$C$30)</f>
        <v>643.9710585126478</v>
      </c>
      <c r="K81" s="18">
        <f>IFERROR(J81/'Drilling Spec'!$C$31,0)</f>
        <v>42.931403900843186</v>
      </c>
      <c r="L81" s="21">
        <f t="shared" si="24"/>
        <v>0</v>
      </c>
      <c r="M81" s="4">
        <f t="shared" si="34"/>
        <v>132</v>
      </c>
      <c r="N81" s="21">
        <f t="shared" si="25"/>
        <v>0</v>
      </c>
      <c r="O81" s="18">
        <f>(SQRT(4*O80*O80*vB*vB + 'Drilling Spec'!$C$48*O80 + WB*('Drilling Spec'!$C$49 + 2*lB*vB*(sB*WB + 2*vB*N81/(1+eB)) + 'Drilling Spec'!$C$50)) - 'Drilling Spec'!$C$51)/(2*vB)</f>
        <v>723.46681615545504</v>
      </c>
      <c r="P81" s="18">
        <f>IFERROR(((S81-'Drilling Spec'!$C$30)/'Drilling Spec'!$C$31)*'Drilling Spec'!$C$32,0)</f>
        <v>38.608008969327301</v>
      </c>
      <c r="Q81" s="18">
        <f t="shared" si="35"/>
        <v>0</v>
      </c>
      <c r="R81" s="18"/>
      <c r="S81" s="26">
        <f>IF(AND(OR(T80=0,T80=""),M81=0),IF(M82=0,"",'Drilling Spec'!$C$30),O81)</f>
        <v>723.46681615545504</v>
      </c>
      <c r="U81" s="15">
        <f>E81*'Drilling Spec'!$C$22 + L81*'Drilling Spec'!$C$23</f>
        <v>0</v>
      </c>
      <c r="V81" s="15">
        <f t="shared" si="36"/>
        <v>19.572682926829266</v>
      </c>
      <c r="W81" s="15">
        <f t="shared" si="26"/>
        <v>4.4273170731707268</v>
      </c>
      <c r="X81" s="10"/>
      <c r="Y81" s="30">
        <f>IF(W81&lt;U82,'Drilling Spec'!$C$35,0)</f>
        <v>0</v>
      </c>
      <c r="AA81" s="4">
        <f t="shared" si="40"/>
        <v>46</v>
      </c>
      <c r="AB81" s="10"/>
      <c r="AC81" s="30">
        <f>IF('08-07-25-Scen7-GennyFail'!K82&gt;'08-07-25-Scen7-GennyFail'!AA81,'Drilling Spec'!$C$36,)</f>
        <v>0</v>
      </c>
      <c r="AE81" s="18">
        <f>(I81-'Drilling Spec'!$C$26)/'Drilling Spec'!$C$38</f>
        <v>108.99517641877463</v>
      </c>
      <c r="AF81" s="18">
        <f t="shared" si="27"/>
        <v>0</v>
      </c>
      <c r="AG81" s="34">
        <f t="shared" si="28"/>
        <v>8.9951764187746335</v>
      </c>
      <c r="AH81" s="10"/>
      <c r="AI81" s="26">
        <f>IF(C81="Camp Closed",AG81,IF(AG81&lt;'Drilling Spec'!$C$39,,'Drilling Spec'!$C$39))</f>
        <v>0</v>
      </c>
      <c r="AL81" s="16">
        <f t="shared" si="29"/>
        <v>-723.9710585126478</v>
      </c>
      <c r="AM81" s="16">
        <f t="shared" si="30"/>
        <v>-723.46681615545504</v>
      </c>
      <c r="AN81">
        <f>-'Drilling Spec'!$C$29</f>
        <v>-720</v>
      </c>
      <c r="AO81">
        <f>-'Drilling Spec'!$C$27</f>
        <v>-624</v>
      </c>
      <c r="AP81">
        <f>-'Drilling Spec'!$C$28</f>
        <v>-688</v>
      </c>
      <c r="AQ81" t="e">
        <f t="shared" si="31"/>
        <v>#N/A</v>
      </c>
      <c r="AR81" t="e">
        <f>IF(X81=0,NA(),-'Drilling Spec'!$C$29*0.1)</f>
        <v>#N/A</v>
      </c>
      <c r="AS81" t="e">
        <f>IF(Y81=0,NA(),-'Drilling Spec'!$C$29*0.1)</f>
        <v>#N/A</v>
      </c>
      <c r="AT81" t="e">
        <f>IF(AB81=0,NA(),-'Drilling Spec'!$C$29*0.2)</f>
        <v>#N/A</v>
      </c>
      <c r="AU81" t="e">
        <f>IF(AC81=0,NA(),-'Drilling Spec'!$C$29*0.2)</f>
        <v>#N/A</v>
      </c>
      <c r="AV81" t="e">
        <f>IF(AH81=0,NA(),-'Drilling Spec'!$C$29*0.3)</f>
        <v>#N/A</v>
      </c>
      <c r="AW81" t="e">
        <f>IF(AI81=0,NA(),-'Drilling Spec'!$C$29*0.3)</f>
        <v>#N/A</v>
      </c>
      <c r="AX81" s="29">
        <f t="shared" si="32"/>
        <v>4.4273170731707268</v>
      </c>
      <c r="AY81" s="29">
        <f t="shared" si="33"/>
        <v>41.676605068484115</v>
      </c>
      <c r="AZ81" s="29">
        <f t="shared" si="37"/>
        <v>8.9951764187746335</v>
      </c>
    </row>
    <row r="82" spans="1:52" x14ac:dyDescent="0.35">
      <c r="A82" s="28">
        <f t="shared" si="38"/>
        <v>46052</v>
      </c>
      <c r="B82" t="str">
        <f t="shared" si="20"/>
        <v>Fri</v>
      </c>
      <c r="C82" s="10" t="s">
        <v>71</v>
      </c>
      <c r="D82" s="10">
        <v>12</v>
      </c>
      <c r="E82" s="4">
        <f t="shared" si="21"/>
        <v>0</v>
      </c>
      <c r="F82" s="4">
        <f t="shared" si="22"/>
        <v>816</v>
      </c>
      <c r="G82" s="4">
        <f t="shared" si="23"/>
        <v>0</v>
      </c>
      <c r="H82" s="15">
        <f>(SQRT(4*I81*I81*V*V + 'Drilling Spec'!$C$42*I81 + W*('Drilling Spec'!$C$43 + 2*l*V*(s*W + 2*V*G82/(1+e)) + 'Drilling Spec'!$C$44)) - 'Drilling Spec'!$C$45)/(2*V)</f>
        <v>723.9710585126478</v>
      </c>
      <c r="I82" s="23">
        <f>IF(AND(OR(I81=0,I81=""),F82=0),IF(F83=0,"",'Drilling Spec'!$C$26),H82)</f>
        <v>723.9710585126478</v>
      </c>
      <c r="J82" s="16">
        <f>MAX(0,I82-'Drilling Spec'!$C$30)</f>
        <v>643.9710585126478</v>
      </c>
      <c r="K82" s="18">
        <f>IFERROR(J82/'Drilling Spec'!$C$31,0)</f>
        <v>42.931403900843186</v>
      </c>
      <c r="L82" s="21">
        <f t="shared" si="24"/>
        <v>0</v>
      </c>
      <c r="M82" s="4">
        <f t="shared" si="34"/>
        <v>132</v>
      </c>
      <c r="N82" s="21">
        <f t="shared" si="25"/>
        <v>0</v>
      </c>
      <c r="O82" s="18">
        <f>(SQRT(4*O81*O81*vB*vB + 'Drilling Spec'!$C$48*O81 + WB*('Drilling Spec'!$C$49 + 2*lB*vB*(sB*WB + 2*vB*N82/(1+eB)) + 'Drilling Spec'!$C$50)) - 'Drilling Spec'!$C$51)/(2*vB)</f>
        <v>723.46681615545504</v>
      </c>
      <c r="P82" s="18">
        <f>IFERROR(((S82-'Drilling Spec'!$C$30)/'Drilling Spec'!$C$31)*'Drilling Spec'!$C$32,0)</f>
        <v>38.608008969327301</v>
      </c>
      <c r="Q82" s="18">
        <f t="shared" si="35"/>
        <v>0</v>
      </c>
      <c r="R82" s="18"/>
      <c r="S82" s="26">
        <f>IF(AND(OR(T81=0,T81=""),M82=0),IF(M83=0,"",'Drilling Spec'!$C$30),O82)</f>
        <v>723.46681615545504</v>
      </c>
      <c r="U82" s="15">
        <f>E82*'Drilling Spec'!$C$22 + L82*'Drilling Spec'!$C$23</f>
        <v>0</v>
      </c>
      <c r="V82" s="15">
        <f t="shared" si="36"/>
        <v>19.572682926829266</v>
      </c>
      <c r="W82" s="15">
        <f t="shared" si="26"/>
        <v>4.4273170731707268</v>
      </c>
      <c r="X82" s="10"/>
      <c r="Y82" s="30">
        <f>IF(W82&lt;U83,'Drilling Spec'!$C$35,0)</f>
        <v>0</v>
      </c>
      <c r="AA82" s="4">
        <f t="shared" si="40"/>
        <v>46</v>
      </c>
      <c r="AB82" s="10"/>
      <c r="AC82" s="30">
        <f>IF('08-07-25-Scen7-GennyFail'!K83&gt;'08-07-25-Scen7-GennyFail'!AA82,'Drilling Spec'!$C$36,)</f>
        <v>0</v>
      </c>
      <c r="AE82" s="18">
        <f>(I82-'Drilling Spec'!$C$26)/'Drilling Spec'!$C$38</f>
        <v>108.99517641877463</v>
      </c>
      <c r="AF82" s="18">
        <f t="shared" si="27"/>
        <v>0</v>
      </c>
      <c r="AG82" s="34">
        <f t="shared" si="28"/>
        <v>8.9951764187746335</v>
      </c>
      <c r="AH82" s="10"/>
      <c r="AI82" s="26">
        <f>IF(C82="Camp Closed",AG82,IF(AG82&lt;'Drilling Spec'!$C$39,,'Drilling Spec'!$C$39))</f>
        <v>8.9951764187746335</v>
      </c>
      <c r="AL82" s="16">
        <f t="shared" si="29"/>
        <v>-723.9710585126478</v>
      </c>
      <c r="AM82" s="16">
        <f t="shared" si="30"/>
        <v>-723.46681615545504</v>
      </c>
      <c r="AN82">
        <f>-'Drilling Spec'!$C$29</f>
        <v>-720</v>
      </c>
      <c r="AO82">
        <f>-'Drilling Spec'!$C$27</f>
        <v>-624</v>
      </c>
      <c r="AP82">
        <f>-'Drilling Spec'!$C$28</f>
        <v>-688</v>
      </c>
      <c r="AQ82">
        <f t="shared" si="31"/>
        <v>0</v>
      </c>
      <c r="AR82" t="e">
        <f>IF(X82=0,NA(),-'Drilling Spec'!$C$29*0.1)</f>
        <v>#N/A</v>
      </c>
      <c r="AS82" t="e">
        <f>IF(Y82=0,NA(),-'Drilling Spec'!$C$29*0.1)</f>
        <v>#N/A</v>
      </c>
      <c r="AT82" t="e">
        <f>IF(AB82=0,NA(),-'Drilling Spec'!$C$29*0.2)</f>
        <v>#N/A</v>
      </c>
      <c r="AU82" t="e">
        <f>IF(AC82=0,NA(),-'Drilling Spec'!$C$29*0.2)</f>
        <v>#N/A</v>
      </c>
      <c r="AV82" t="e">
        <f>IF(AH82=0,NA(),-'Drilling Spec'!$C$29*0.3)</f>
        <v>#N/A</v>
      </c>
      <c r="AW82">
        <f>IF(AI82=0,NA(),-'Drilling Spec'!$C$29*0.3)</f>
        <v>-216</v>
      </c>
      <c r="AX82" s="29">
        <f t="shared" si="32"/>
        <v>4.4273170731707268</v>
      </c>
      <c r="AY82" s="29">
        <f t="shared" si="33"/>
        <v>41.676605068484115</v>
      </c>
      <c r="AZ82" s="29">
        <f t="shared" si="37"/>
        <v>8.9951764187746335</v>
      </c>
    </row>
    <row r="83" spans="1:52" x14ac:dyDescent="0.35">
      <c r="A83" s="28">
        <f t="shared" si="38"/>
        <v>46053</v>
      </c>
      <c r="B83" t="str">
        <f t="shared" si="20"/>
        <v>Sat</v>
      </c>
      <c r="C83" s="10"/>
      <c r="D83" s="10"/>
      <c r="E83" s="4">
        <f t="shared" si="21"/>
        <v>0</v>
      </c>
      <c r="F83" s="4">
        <f t="shared" si="22"/>
        <v>816</v>
      </c>
      <c r="G83" s="4">
        <f t="shared" si="23"/>
        <v>0</v>
      </c>
      <c r="H83" s="15">
        <f>(SQRT(4*I82*I82*V*V + 'Drilling Spec'!$C$42*I82 + W*('Drilling Spec'!$C$43 + 2*l*V*(s*W + 2*V*G83/(1+e)) + 'Drilling Spec'!$C$44)) - 'Drilling Spec'!$C$45)/(2*V)</f>
        <v>723.9710585126478</v>
      </c>
      <c r="I83" s="23">
        <f>IF(AND(OR(I82=0,I82=""),F83=0),IF(F84=0,"",'Drilling Spec'!$C$26),H83)</f>
        <v>723.9710585126478</v>
      </c>
      <c r="J83" s="16">
        <f>MAX(0,I83-'Drilling Spec'!$C$30)</f>
        <v>643.9710585126478</v>
      </c>
      <c r="K83" s="18">
        <f>IFERROR(J83/'Drilling Spec'!$C$31,0)</f>
        <v>42.931403900843186</v>
      </c>
      <c r="L83" s="21">
        <f t="shared" si="24"/>
        <v>0</v>
      </c>
      <c r="M83" s="4">
        <f t="shared" si="34"/>
        <v>132</v>
      </c>
      <c r="N83" s="21">
        <f t="shared" si="25"/>
        <v>0</v>
      </c>
      <c r="O83" s="18">
        <f>(SQRT(4*O82*O82*vB*vB + 'Drilling Spec'!$C$48*O82 + WB*('Drilling Spec'!$C$49 + 2*lB*vB*(sB*WB + 2*vB*N83/(1+eB)) + 'Drilling Spec'!$C$50)) - 'Drilling Spec'!$C$51)/(2*vB)</f>
        <v>723.46681615545504</v>
      </c>
      <c r="P83" s="18">
        <f>IFERROR(((S83-'Drilling Spec'!$C$30)/'Drilling Spec'!$C$31)*'Drilling Spec'!$C$32,0)</f>
        <v>38.608008969327301</v>
      </c>
      <c r="Q83" s="18">
        <f t="shared" si="35"/>
        <v>0</v>
      </c>
      <c r="R83" s="18"/>
      <c r="S83" s="26">
        <f>IF(AND(OR(T82=0,T82=""),M83=0),IF(M84=0,"",'Drilling Spec'!$C$30),O83)</f>
        <v>723.46681615545504</v>
      </c>
      <c r="U83" s="15">
        <f>E83*'Drilling Spec'!$C$22 + L83*'Drilling Spec'!$C$23</f>
        <v>0</v>
      </c>
      <c r="V83" s="15">
        <f t="shared" si="36"/>
        <v>19.572682926829266</v>
      </c>
      <c r="W83" s="15">
        <f t="shared" si="26"/>
        <v>4.4273170731707268</v>
      </c>
      <c r="X83" s="10"/>
      <c r="Y83" s="30">
        <f>IF(W83&lt;U84,'Drilling Spec'!$C$35,0)</f>
        <v>0</v>
      </c>
      <c r="AA83" s="4">
        <f t="shared" si="40"/>
        <v>46</v>
      </c>
      <c r="AB83" s="10"/>
      <c r="AC83" s="30">
        <f>IF('08-07-25-Scen7-GennyFail'!K84&gt;'08-07-25-Scen7-GennyFail'!AA83,'Drilling Spec'!$C$36,)</f>
        <v>0</v>
      </c>
      <c r="AE83" s="18">
        <f>(I83-'Drilling Spec'!$C$26)/'Drilling Spec'!$C$38</f>
        <v>108.99517641877463</v>
      </c>
      <c r="AF83" s="18">
        <f t="shared" si="27"/>
        <v>0</v>
      </c>
      <c r="AG83" s="34">
        <f t="shared" si="28"/>
        <v>0</v>
      </c>
      <c r="AH83" s="10"/>
      <c r="AI83" s="26">
        <f>IF(C83="Camp Closed",AG83,IF(AG83&lt;'Drilling Spec'!$C$39,,'Drilling Spec'!$C$39))</f>
        <v>0</v>
      </c>
      <c r="AL83" s="16">
        <f t="shared" si="29"/>
        <v>-723.9710585126478</v>
      </c>
      <c r="AM83" s="16">
        <f t="shared" si="30"/>
        <v>-723.46681615545504</v>
      </c>
      <c r="AN83">
        <f>-'Drilling Spec'!$C$29</f>
        <v>-720</v>
      </c>
      <c r="AO83">
        <f>-'Drilling Spec'!$C$27</f>
        <v>-624</v>
      </c>
      <c r="AP83">
        <f>-'Drilling Spec'!$C$28</f>
        <v>-688</v>
      </c>
      <c r="AQ83" t="e">
        <f t="shared" si="31"/>
        <v>#N/A</v>
      </c>
      <c r="AR83" t="e">
        <f>IF(X83=0,NA(),-'Drilling Spec'!$C$29*0.1)</f>
        <v>#N/A</v>
      </c>
      <c r="AS83" t="e">
        <f>IF(Y83=0,NA(),-'Drilling Spec'!$C$29*0.1)</f>
        <v>#N/A</v>
      </c>
      <c r="AT83" t="e">
        <f>IF(AB83=0,NA(),-'Drilling Spec'!$C$29*0.2)</f>
        <v>#N/A</v>
      </c>
      <c r="AU83" t="e">
        <f>IF(AC83=0,NA(),-'Drilling Spec'!$C$29*0.2)</f>
        <v>#N/A</v>
      </c>
      <c r="AV83" t="e">
        <f>IF(AH83=0,NA(),-'Drilling Spec'!$C$29*0.3)</f>
        <v>#N/A</v>
      </c>
      <c r="AW83" t="e">
        <f>IF(AI83=0,NA(),-'Drilling Spec'!$C$29*0.3)</f>
        <v>#N/A</v>
      </c>
      <c r="AX83" s="29">
        <f t="shared" si="32"/>
        <v>4.4273170731707268</v>
      </c>
      <c r="AY83" s="29">
        <f t="shared" si="33"/>
        <v>41.676605068484115</v>
      </c>
      <c r="AZ83" s="29">
        <f t="shared" si="37"/>
        <v>0</v>
      </c>
    </row>
    <row r="84" spans="1:52" x14ac:dyDescent="0.35">
      <c r="A84" s="28">
        <f t="shared" si="38"/>
        <v>46054</v>
      </c>
      <c r="B84" t="str">
        <f t="shared" si="20"/>
        <v>Sun</v>
      </c>
      <c r="C84" s="10"/>
      <c r="D84" s="10"/>
      <c r="E84" s="4">
        <f t="shared" si="21"/>
        <v>0</v>
      </c>
      <c r="F84" s="4">
        <f t="shared" si="22"/>
        <v>816</v>
      </c>
      <c r="G84" s="4">
        <f t="shared" si="23"/>
        <v>0</v>
      </c>
      <c r="H84" s="15">
        <f>(SQRT(4*I83*I83*V*V + 'Drilling Spec'!$C$42*I83 + W*('Drilling Spec'!$C$43 + 2*l*V*(s*W + 2*V*G84/(1+e)) + 'Drilling Spec'!$C$44)) - 'Drilling Spec'!$C$45)/(2*V)</f>
        <v>723.9710585126478</v>
      </c>
      <c r="I84" s="23">
        <f>IF(AND(OR(I83=0,I83=""),F84=0),IF(F85=0,"",'Drilling Spec'!$C$26),H84)</f>
        <v>723.9710585126478</v>
      </c>
      <c r="J84" s="16">
        <f>MAX(0,I84-'Drilling Spec'!$C$30)</f>
        <v>643.9710585126478</v>
      </c>
      <c r="K84" s="18">
        <f>IFERROR(J84/'Drilling Spec'!$C$31,0)</f>
        <v>42.931403900843186</v>
      </c>
      <c r="L84" s="21">
        <f t="shared" si="24"/>
        <v>0</v>
      </c>
      <c r="M84" s="4">
        <f t="shared" si="34"/>
        <v>132</v>
      </c>
      <c r="N84" s="21">
        <f t="shared" si="25"/>
        <v>0</v>
      </c>
      <c r="O84" s="18">
        <f>(SQRT(4*O83*O83*vB*vB + 'Drilling Spec'!$C$48*O83 + WB*('Drilling Spec'!$C$49 + 2*lB*vB*(sB*WB + 2*vB*N84/(1+eB)) + 'Drilling Spec'!$C$50)) - 'Drilling Spec'!$C$51)/(2*vB)</f>
        <v>723.46681615545504</v>
      </c>
      <c r="P84" s="18">
        <f>IFERROR(((S84-'Drilling Spec'!$C$30)/'Drilling Spec'!$C$31)*'Drilling Spec'!$C$32,0)</f>
        <v>38.608008969327301</v>
      </c>
      <c r="Q84" s="18">
        <f t="shared" si="35"/>
        <v>0</v>
      </c>
      <c r="R84" s="18"/>
      <c r="S84" s="26">
        <f>IF(AND(OR(T83=0,T83=""),M84=0),IF(M85=0,"",'Drilling Spec'!$C$30),O84)</f>
        <v>723.46681615545504</v>
      </c>
      <c r="U84" s="15">
        <f>E84*'Drilling Spec'!$C$22 + L84*'Drilling Spec'!$C$23</f>
        <v>0</v>
      </c>
      <c r="V84" s="15">
        <f t="shared" si="36"/>
        <v>19.572682926829266</v>
      </c>
      <c r="W84" s="15">
        <f t="shared" si="26"/>
        <v>4.4273170731707268</v>
      </c>
      <c r="X84" s="10"/>
      <c r="Y84" s="30">
        <f>IF(W84&lt;U85,'Drilling Spec'!$C$35,0)</f>
        <v>0</v>
      </c>
      <c r="AA84" s="4">
        <f t="shared" si="40"/>
        <v>46</v>
      </c>
      <c r="AB84" s="10"/>
      <c r="AC84" s="30">
        <f>IF('08-07-25-Scen7-GennyFail'!K85&gt;'08-07-25-Scen7-GennyFail'!AA84,'Drilling Spec'!$C$36,)</f>
        <v>0</v>
      </c>
      <c r="AE84" s="18">
        <f>(I84-'Drilling Spec'!$C$26)/'Drilling Spec'!$C$38</f>
        <v>108.99517641877463</v>
      </c>
      <c r="AF84" s="18">
        <f t="shared" si="27"/>
        <v>0</v>
      </c>
      <c r="AG84" s="34">
        <f t="shared" si="28"/>
        <v>0</v>
      </c>
      <c r="AH84" s="10"/>
      <c r="AI84" s="26">
        <f>IF(C84="Camp Closed",AG84,IF(AG84&lt;'Drilling Spec'!$C$39,,'Drilling Spec'!$C$39))</f>
        <v>0</v>
      </c>
      <c r="AL84" s="16">
        <f t="shared" si="29"/>
        <v>-723.9710585126478</v>
      </c>
      <c r="AM84" s="16">
        <f t="shared" si="30"/>
        <v>-723.46681615545504</v>
      </c>
      <c r="AN84">
        <f>-'Drilling Spec'!$C$29</f>
        <v>-720</v>
      </c>
      <c r="AO84">
        <f>-'Drilling Spec'!$C$27</f>
        <v>-624</v>
      </c>
      <c r="AP84">
        <f>-'Drilling Spec'!$C$28</f>
        <v>-688</v>
      </c>
      <c r="AQ84" t="e">
        <f t="shared" si="31"/>
        <v>#N/A</v>
      </c>
      <c r="AR84" t="e">
        <f>IF(X84=0,NA(),-'Drilling Spec'!$C$29*0.1)</f>
        <v>#N/A</v>
      </c>
      <c r="AS84" t="e">
        <f>IF(Y84=0,NA(),-'Drilling Spec'!$C$29*0.1)</f>
        <v>#N/A</v>
      </c>
      <c r="AT84" t="e">
        <f>IF(AB84=0,NA(),-'Drilling Spec'!$C$29*0.2)</f>
        <v>#N/A</v>
      </c>
      <c r="AU84" t="e">
        <f>IF(AC84=0,NA(),-'Drilling Spec'!$C$29*0.2)</f>
        <v>#N/A</v>
      </c>
      <c r="AV84" t="e">
        <f>IF(AH84=0,NA(),-'Drilling Spec'!$C$29*0.3)</f>
        <v>#N/A</v>
      </c>
      <c r="AW84" t="e">
        <f>IF(AI84=0,NA(),-'Drilling Spec'!$C$29*0.3)</f>
        <v>#N/A</v>
      </c>
      <c r="AX84" s="29">
        <f t="shared" si="32"/>
        <v>4.4273170731707268</v>
      </c>
      <c r="AY84" s="29">
        <f t="shared" si="33"/>
        <v>41.676605068484115</v>
      </c>
      <c r="AZ84" s="29">
        <f t="shared" si="37"/>
        <v>0</v>
      </c>
    </row>
    <row r="85" spans="1:52" x14ac:dyDescent="0.35">
      <c r="A85" s="28">
        <f>A84+1</f>
        <v>46055</v>
      </c>
      <c r="B85" t="str">
        <f t="shared" si="20"/>
        <v>Mon</v>
      </c>
      <c r="C85" s="10"/>
      <c r="D85" s="10"/>
      <c r="E85" s="4">
        <f t="shared" si="21"/>
        <v>0</v>
      </c>
      <c r="F85" s="4">
        <f t="shared" si="22"/>
        <v>816</v>
      </c>
      <c r="G85" s="4">
        <f t="shared" si="23"/>
        <v>0</v>
      </c>
      <c r="H85" s="15">
        <f>(SQRT(4*I84*I84*V*V + 'Drilling Spec'!$C$42*I84 + W*('Drilling Spec'!$C$43 + 2*l*V*(s*W + 2*V*G85/(1+e)) + 'Drilling Spec'!$C$44)) - 'Drilling Spec'!$C$45)/(2*V)</f>
        <v>723.9710585126478</v>
      </c>
      <c r="I85" s="23">
        <f>IF(AND(OR(I84=0,I84=""),F85=0),IF(F86=0,"",'Drilling Spec'!$C$26),H85)</f>
        <v>723.9710585126478</v>
      </c>
      <c r="J85" s="16">
        <f>MAX(0,I85-'Drilling Spec'!$C$30)</f>
        <v>643.9710585126478</v>
      </c>
      <c r="K85" s="18">
        <f>IFERROR(J85/'Drilling Spec'!$C$31,0)</f>
        <v>42.931403900843186</v>
      </c>
      <c r="L85" s="21">
        <f t="shared" si="24"/>
        <v>0</v>
      </c>
      <c r="M85" s="4">
        <f t="shared" si="34"/>
        <v>132</v>
      </c>
      <c r="N85" s="21">
        <f t="shared" si="25"/>
        <v>0</v>
      </c>
      <c r="O85" s="18">
        <f>(SQRT(4*O84*O84*vB*vB + 'Drilling Spec'!$C$48*O84 + WB*('Drilling Spec'!$C$49 + 2*lB*vB*(sB*WB + 2*vB*N85/(1+eB)) + 'Drilling Spec'!$C$50)) - 'Drilling Spec'!$C$51)/(2*vB)</f>
        <v>723.46681615545504</v>
      </c>
      <c r="P85" s="18">
        <f>IFERROR(((S85-'Drilling Spec'!$C$30)/'Drilling Spec'!$C$31)*'Drilling Spec'!$C$32,0)</f>
        <v>38.608008969327301</v>
      </c>
      <c r="Q85" s="18">
        <f t="shared" si="35"/>
        <v>0</v>
      </c>
      <c r="R85" s="18"/>
      <c r="S85" s="26">
        <f>IF(AND(OR(T84=0,T84=""),M85=0),IF(M86=0,"",'Drilling Spec'!$C$30),O85)</f>
        <v>723.46681615545504</v>
      </c>
      <c r="U85" s="15">
        <f>E85*'Drilling Spec'!$C$22 + L85*'Drilling Spec'!$C$23</f>
        <v>0</v>
      </c>
      <c r="V85" s="15">
        <f t="shared" si="36"/>
        <v>19.572682926829266</v>
      </c>
      <c r="W85" s="15">
        <f t="shared" si="26"/>
        <v>4.4273170731707268</v>
      </c>
      <c r="X85" s="10"/>
      <c r="Y85" s="30">
        <f>IF(W85&lt;U86,'Drilling Spec'!$C$35,0)</f>
        <v>0</v>
      </c>
      <c r="AA85" s="4">
        <f t="shared" si="40"/>
        <v>46</v>
      </c>
      <c r="AB85" s="10"/>
      <c r="AC85" s="30">
        <f>IF('08-07-25-Scen7-GennyFail'!K86&gt;'08-07-25-Scen7-GennyFail'!AA85,'Drilling Spec'!$C$36,)</f>
        <v>0</v>
      </c>
      <c r="AE85" s="18">
        <f>(I85-'Drilling Spec'!$C$26)/'Drilling Spec'!$C$38</f>
        <v>108.99517641877463</v>
      </c>
      <c r="AF85" s="18">
        <f t="shared" si="27"/>
        <v>0</v>
      </c>
      <c r="AG85" s="34">
        <f t="shared" si="28"/>
        <v>0</v>
      </c>
      <c r="AH85" s="10"/>
      <c r="AI85" s="26">
        <f>IF(C85="Camp Closed",AG85,IF(AG85&lt;'Drilling Spec'!$C$39,,'Drilling Spec'!$C$39))</f>
        <v>0</v>
      </c>
      <c r="AL85" s="16">
        <f t="shared" si="29"/>
        <v>-723.9710585126478</v>
      </c>
      <c r="AM85" s="16">
        <f t="shared" si="30"/>
        <v>-723.46681615545504</v>
      </c>
      <c r="AN85">
        <f>-'Drilling Spec'!$C$29</f>
        <v>-720</v>
      </c>
      <c r="AO85">
        <f>-'Drilling Spec'!$C$27</f>
        <v>-624</v>
      </c>
      <c r="AP85">
        <f>-'Drilling Spec'!$C$28</f>
        <v>-688</v>
      </c>
      <c r="AQ85" t="e">
        <f t="shared" si="31"/>
        <v>#N/A</v>
      </c>
      <c r="AR85" t="e">
        <f>IF(X85=0,NA(),-'Drilling Spec'!$C$29*0.1)</f>
        <v>#N/A</v>
      </c>
      <c r="AS85" t="e">
        <f>IF(Y85=0,NA(),-'Drilling Spec'!$C$29*0.1)</f>
        <v>#N/A</v>
      </c>
      <c r="AT85" t="e">
        <f>IF(AB85=0,NA(),-'Drilling Spec'!$C$29*0.2)</f>
        <v>#N/A</v>
      </c>
      <c r="AU85" t="e">
        <f>IF(AC85=0,NA(),-'Drilling Spec'!$C$29*0.2)</f>
        <v>#N/A</v>
      </c>
      <c r="AV85" t="e">
        <f>IF(AH85=0,NA(),-'Drilling Spec'!$C$29*0.3)</f>
        <v>#N/A</v>
      </c>
      <c r="AW85" t="e">
        <f>IF(AI85=0,NA(),-'Drilling Spec'!$C$29*0.3)</f>
        <v>#N/A</v>
      </c>
      <c r="AX85" s="29">
        <f t="shared" si="32"/>
        <v>4.4273170731707268</v>
      </c>
      <c r="AY85" s="29">
        <f t="shared" si="33"/>
        <v>41.676605068484115</v>
      </c>
      <c r="AZ85" s="29">
        <f t="shared" si="37"/>
        <v>0</v>
      </c>
    </row>
    <row r="86" spans="1:52" x14ac:dyDescent="0.35">
      <c r="A86" s="28">
        <f t="shared" ref="A86" si="41">A85+1</f>
        <v>46056</v>
      </c>
      <c r="B86" t="str">
        <f t="shared" si="20"/>
        <v>Tue</v>
      </c>
      <c r="C86" s="10"/>
      <c r="D86" s="10"/>
      <c r="E86" s="4">
        <f t="shared" si="21"/>
        <v>0</v>
      </c>
      <c r="F86" s="4">
        <f t="shared" si="22"/>
        <v>816</v>
      </c>
      <c r="G86" s="4">
        <f t="shared" si="23"/>
        <v>0</v>
      </c>
      <c r="H86" s="15">
        <f>(SQRT(4*I85*I85*V*V + 'Drilling Spec'!$C$42*I85 + W*('Drilling Spec'!$C$43 + 2*l*V*(s*W + 2*V*G86/(1+e)) + 'Drilling Spec'!$C$44)) - 'Drilling Spec'!$C$45)/(2*V)</f>
        <v>723.9710585126478</v>
      </c>
      <c r="I86" s="23">
        <f>IF(AND(OR(I85=0,I85=""),F86=0),IF(F87=0,"",'Drilling Spec'!$C$26),H86)</f>
        <v>723.9710585126478</v>
      </c>
      <c r="J86" s="16">
        <f>MAX(0,I86-'Drilling Spec'!$C$30)</f>
        <v>643.9710585126478</v>
      </c>
      <c r="K86" s="18">
        <f>IFERROR(J86/'Drilling Spec'!$C$31,0)</f>
        <v>42.931403900843186</v>
      </c>
      <c r="L86" s="21">
        <f t="shared" si="24"/>
        <v>0</v>
      </c>
      <c r="M86" s="4">
        <f t="shared" si="34"/>
        <v>132</v>
      </c>
      <c r="N86" s="21">
        <f t="shared" si="25"/>
        <v>0</v>
      </c>
      <c r="O86" s="18">
        <f>(SQRT(4*O85*O85*vB*vB + 'Drilling Spec'!$C$48*O85 + WB*('Drilling Spec'!$C$49 + 2*lB*vB*(sB*WB + 2*vB*N86/(1+eB)) + 'Drilling Spec'!$C$50)) - 'Drilling Spec'!$C$51)/(2*vB)</f>
        <v>723.46681615545504</v>
      </c>
      <c r="P86" s="18">
        <f>IFERROR(((S86-'Drilling Spec'!$C$30)/'Drilling Spec'!$C$31)*'Drilling Spec'!$C$32,0)</f>
        <v>38.608008969327301</v>
      </c>
      <c r="Q86" s="18">
        <f t="shared" si="35"/>
        <v>0</v>
      </c>
      <c r="R86" s="18"/>
      <c r="S86" s="26">
        <f>IF(AND(OR(T85=0,T85=""),M86=0),IF(M87=0,"",'Drilling Spec'!$C$30),O86)</f>
        <v>723.46681615545504</v>
      </c>
      <c r="U86" s="15">
        <f>E86*'Drilling Spec'!$C$22 + L86*'Drilling Spec'!$C$23</f>
        <v>0</v>
      </c>
      <c r="V86" s="15">
        <f t="shared" si="36"/>
        <v>19.572682926829266</v>
      </c>
      <c r="W86" s="15">
        <f t="shared" si="26"/>
        <v>4.4273170731707268</v>
      </c>
      <c r="X86" s="10"/>
      <c r="Y86" s="30">
        <f>IF(W86&lt;U87,'Drilling Spec'!$C$35,0)</f>
        <v>0</v>
      </c>
      <c r="AA86" s="4">
        <f t="shared" si="40"/>
        <v>46</v>
      </c>
      <c r="AB86" s="10"/>
      <c r="AC86" s="30">
        <f>IF('08-07-25-Scen7-GennyFail'!K87&gt;'08-07-25-Scen7-GennyFail'!AA86,'Drilling Spec'!$C$36,)</f>
        <v>0</v>
      </c>
      <c r="AE86" s="18">
        <f>(I86-'Drilling Spec'!$C$26)/'Drilling Spec'!$C$38</f>
        <v>108.99517641877463</v>
      </c>
      <c r="AF86" s="18">
        <f t="shared" si="27"/>
        <v>0</v>
      </c>
      <c r="AG86" s="34">
        <f t="shared" si="28"/>
        <v>0</v>
      </c>
      <c r="AH86" s="10"/>
      <c r="AI86" s="26">
        <f>IF(C86="Camp Closed",AG86,IF(AG86&lt;'Drilling Spec'!$C$39,,'Drilling Spec'!$C$39))</f>
        <v>0</v>
      </c>
      <c r="AL86" s="16">
        <f t="shared" si="29"/>
        <v>-723.9710585126478</v>
      </c>
      <c r="AM86" s="16">
        <f t="shared" si="30"/>
        <v>-723.46681615545504</v>
      </c>
      <c r="AN86">
        <f>-'Drilling Spec'!$C$29</f>
        <v>-720</v>
      </c>
      <c r="AO86">
        <f>-'Drilling Spec'!$C$27</f>
        <v>-624</v>
      </c>
      <c r="AP86">
        <f>-'Drilling Spec'!$C$28</f>
        <v>-688</v>
      </c>
      <c r="AQ86" t="e">
        <f t="shared" si="31"/>
        <v>#N/A</v>
      </c>
      <c r="AR86" t="e">
        <f>IF(X86=0,NA(),-'Drilling Spec'!$C$29*0.1)</f>
        <v>#N/A</v>
      </c>
      <c r="AS86" t="e">
        <f>IF(Y86=0,NA(),-'Drilling Spec'!$C$29*0.1)</f>
        <v>#N/A</v>
      </c>
      <c r="AT86" t="e">
        <f>IF(AB86=0,NA(),-'Drilling Spec'!$C$29*0.2)</f>
        <v>#N/A</v>
      </c>
      <c r="AU86" t="e">
        <f>IF(AC86=0,NA(),-'Drilling Spec'!$C$29*0.2)</f>
        <v>#N/A</v>
      </c>
      <c r="AV86" t="e">
        <f>IF(AH86=0,NA(),-'Drilling Spec'!$C$29*0.3)</f>
        <v>#N/A</v>
      </c>
      <c r="AW86" t="e">
        <f>IF(AI86=0,NA(),-'Drilling Spec'!$C$29*0.3)</f>
        <v>#N/A</v>
      </c>
      <c r="AX86" s="29">
        <f t="shared" si="32"/>
        <v>4.4273170731707268</v>
      </c>
      <c r="AY86" s="29">
        <f t="shared" si="33"/>
        <v>41.676605068484115</v>
      </c>
      <c r="AZ86" s="29">
        <f t="shared" si="37"/>
        <v>0</v>
      </c>
    </row>
    <row r="87" spans="1:52" x14ac:dyDescent="0.35">
      <c r="A87" s="28">
        <f>A86+1</f>
        <v>46057</v>
      </c>
      <c r="B87" t="str">
        <f t="shared" si="20"/>
        <v>Wed</v>
      </c>
      <c r="C87" s="10"/>
      <c r="D87" s="10"/>
      <c r="E87" s="4">
        <f t="shared" si="21"/>
        <v>0</v>
      </c>
      <c r="F87" s="4">
        <f t="shared" si="22"/>
        <v>816</v>
      </c>
      <c r="G87" s="4">
        <f t="shared" si="23"/>
        <v>0</v>
      </c>
      <c r="H87" s="15">
        <f>(SQRT(4*I86*I86*V*V + 'Drilling Spec'!$C$42*I86 + W*('Drilling Spec'!$C$43 + 2*l*V*(s*W + 2*V*G87/(1+e)) + 'Drilling Spec'!$C$44)) - 'Drilling Spec'!$C$45)/(2*V)</f>
        <v>723.9710585126478</v>
      </c>
      <c r="I87" s="23">
        <f>IF(AND(OR(I86=0,I86=""),F87=0),IF(F88=0,"",'Drilling Spec'!$C$26),H87)</f>
        <v>723.9710585126478</v>
      </c>
      <c r="J87" s="16">
        <f>MAX(0,I87-'Drilling Spec'!$C$30)</f>
        <v>643.9710585126478</v>
      </c>
      <c r="K87" s="18">
        <f>IFERROR(J87/'Drilling Spec'!$C$31,0)</f>
        <v>42.931403900843186</v>
      </c>
      <c r="L87" s="21">
        <f t="shared" si="24"/>
        <v>0</v>
      </c>
      <c r="M87" s="4">
        <f t="shared" si="34"/>
        <v>132</v>
      </c>
      <c r="N87" s="21">
        <f t="shared" si="25"/>
        <v>0</v>
      </c>
      <c r="O87" s="18">
        <f>(SQRT(4*O86*O86*vB*vB + 'Drilling Spec'!$C$48*O86 + WB*('Drilling Spec'!$C$49 + 2*lB*vB*(sB*WB + 2*vB*N87/(1+eB)) + 'Drilling Spec'!$C$50)) - 'Drilling Spec'!$C$51)/(2*vB)</f>
        <v>723.46681615545504</v>
      </c>
      <c r="P87" s="18">
        <f>IFERROR(((S87-'Drilling Spec'!$C$30)/'Drilling Spec'!$C$31)*'Drilling Spec'!$C$32,0)</f>
        <v>38.608008969327301</v>
      </c>
      <c r="Q87" s="18">
        <f t="shared" si="35"/>
        <v>0</v>
      </c>
      <c r="R87" s="18"/>
      <c r="S87" s="26">
        <f>IF(AND(OR(T86=0,T86=""),M87=0),IF(M88=0,"",'Drilling Spec'!$C$30),O87)</f>
        <v>723.46681615545504</v>
      </c>
      <c r="U87" s="15">
        <f>E87*'Drilling Spec'!$C$22 + L87*'Drilling Spec'!$C$23</f>
        <v>0</v>
      </c>
      <c r="V87" s="15">
        <f t="shared" si="36"/>
        <v>19.572682926829266</v>
      </c>
      <c r="W87" s="15">
        <f t="shared" si="26"/>
        <v>4.4273170731707268</v>
      </c>
      <c r="X87" s="10"/>
      <c r="Y87" s="30">
        <f>IF(W87&lt;U88,'Drilling Spec'!$C$35,0)</f>
        <v>0</v>
      </c>
      <c r="AA87" s="4">
        <f t="shared" si="40"/>
        <v>46</v>
      </c>
      <c r="AB87" s="10"/>
      <c r="AC87" s="30">
        <f>IF('08-07-25-Scen7-GennyFail'!K88&gt;'08-07-25-Scen7-GennyFail'!AA87,'Drilling Spec'!$C$36,)</f>
        <v>0</v>
      </c>
      <c r="AE87" s="18">
        <f>(I87-'Drilling Spec'!$C$26)/'Drilling Spec'!$C$38</f>
        <v>108.99517641877463</v>
      </c>
      <c r="AF87" s="18">
        <f t="shared" si="27"/>
        <v>0</v>
      </c>
      <c r="AG87" s="34">
        <f t="shared" si="28"/>
        <v>0</v>
      </c>
      <c r="AH87" s="10"/>
      <c r="AI87" s="26">
        <f>IF(C87="Camp Closed",AG87,IF(AG87&lt;'Drilling Spec'!$C$39,,'Drilling Spec'!$C$39))</f>
        <v>0</v>
      </c>
      <c r="AL87" s="16">
        <f t="shared" si="29"/>
        <v>-723.9710585126478</v>
      </c>
      <c r="AM87" s="16">
        <f t="shared" si="30"/>
        <v>-723.46681615545504</v>
      </c>
      <c r="AN87">
        <f>-'Drilling Spec'!$C$29</f>
        <v>-720</v>
      </c>
      <c r="AO87">
        <f>-'Drilling Spec'!$C$27</f>
        <v>-624</v>
      </c>
      <c r="AP87">
        <f>-'Drilling Spec'!$C$28</f>
        <v>-688</v>
      </c>
      <c r="AQ87" t="e">
        <f t="shared" si="31"/>
        <v>#N/A</v>
      </c>
      <c r="AR87" t="e">
        <f>IF(X87=0,NA(),-'Drilling Spec'!$C$29*0.1)</f>
        <v>#N/A</v>
      </c>
      <c r="AS87" t="e">
        <f>IF(Y87=0,NA(),-'Drilling Spec'!$C$29*0.1)</f>
        <v>#N/A</v>
      </c>
      <c r="AT87" t="e">
        <f>IF(AB87=0,NA(),-'Drilling Spec'!$C$29*0.2)</f>
        <v>#N/A</v>
      </c>
      <c r="AU87" t="e">
        <f>IF(AC87=0,NA(),-'Drilling Spec'!$C$29*0.2)</f>
        <v>#N/A</v>
      </c>
      <c r="AV87" t="e">
        <f>IF(AH87=0,NA(),-'Drilling Spec'!$C$29*0.3)</f>
        <v>#N/A</v>
      </c>
      <c r="AW87" t="e">
        <f>IF(AI87=0,NA(),-'Drilling Spec'!$C$29*0.3)</f>
        <v>#N/A</v>
      </c>
      <c r="AX87" s="29">
        <f t="shared" si="32"/>
        <v>4.4273170731707268</v>
      </c>
      <c r="AY87" s="29">
        <f t="shared" si="33"/>
        <v>41.676605068484115</v>
      </c>
      <c r="AZ87" s="29">
        <f t="shared" si="37"/>
        <v>0</v>
      </c>
    </row>
    <row r="88" spans="1:52" x14ac:dyDescent="0.35">
      <c r="A88" s="28">
        <f t="shared" ref="A88:A112" si="42">A87+1</f>
        <v>46058</v>
      </c>
      <c r="B88" t="str">
        <f t="shared" si="20"/>
        <v>Thu</v>
      </c>
      <c r="C88" s="10"/>
      <c r="D88" s="10"/>
      <c r="E88" s="4">
        <f t="shared" si="21"/>
        <v>0</v>
      </c>
      <c r="F88" s="4">
        <f t="shared" si="22"/>
        <v>816</v>
      </c>
      <c r="G88" s="4">
        <f t="shared" si="23"/>
        <v>0</v>
      </c>
      <c r="H88" s="15">
        <f>(SQRT(4*I87*I87*V*V + 'Drilling Spec'!$C$42*I87 + W*('Drilling Spec'!$C$43 + 2*l*V*(s*W + 2*V*G88/(1+e)) + 'Drilling Spec'!$C$44)) - 'Drilling Spec'!$C$45)/(2*V)</f>
        <v>723.9710585126478</v>
      </c>
      <c r="I88" s="23">
        <f>IF(AND(OR(I87=0,I87=""),F88=0),IF(F89=0,"",'Drilling Spec'!$C$26),H88)</f>
        <v>723.9710585126478</v>
      </c>
      <c r="J88" s="16">
        <f>MAX(0,I88-'Drilling Spec'!$C$30)</f>
        <v>643.9710585126478</v>
      </c>
      <c r="K88" s="18">
        <f>IFERROR(J88/'Drilling Spec'!$C$31,0)</f>
        <v>42.931403900843186</v>
      </c>
      <c r="L88" s="21">
        <f t="shared" si="24"/>
        <v>0</v>
      </c>
      <c r="M88" s="4">
        <f t="shared" si="34"/>
        <v>132</v>
      </c>
      <c r="N88" s="21">
        <f t="shared" si="25"/>
        <v>0</v>
      </c>
      <c r="O88" s="18">
        <f>(SQRT(4*O87*O87*vB*vB + 'Drilling Spec'!$C$48*O87 + WB*('Drilling Spec'!$C$49 + 2*lB*vB*(sB*WB + 2*vB*N88/(1+eB)) + 'Drilling Spec'!$C$50)) - 'Drilling Spec'!$C$51)/(2*vB)</f>
        <v>723.46681615545504</v>
      </c>
      <c r="P88" s="18">
        <f>IFERROR(((S88-'Drilling Spec'!$C$30)/'Drilling Spec'!$C$31)*'Drilling Spec'!$C$32,0)</f>
        <v>38.608008969327301</v>
      </c>
      <c r="Q88" s="18">
        <f t="shared" si="35"/>
        <v>0</v>
      </c>
      <c r="R88" s="18"/>
      <c r="S88" s="26">
        <f>IF(AND(OR(T87=0,T87=""),M88=0),IF(M89=0,"",'Drilling Spec'!$C$30),O88)</f>
        <v>723.46681615545504</v>
      </c>
      <c r="U88" s="15">
        <f>E88*'Drilling Spec'!$C$22 + L88*'Drilling Spec'!$C$23</f>
        <v>0</v>
      </c>
      <c r="V88" s="15">
        <f t="shared" si="36"/>
        <v>19.572682926829266</v>
      </c>
      <c r="W88" s="15">
        <f t="shared" si="26"/>
        <v>4.4273170731707268</v>
      </c>
      <c r="X88" s="10"/>
      <c r="Y88" s="30">
        <f>IF(W88&lt;U89,'Drilling Spec'!$C$35,0)</f>
        <v>0</v>
      </c>
      <c r="AA88" s="4">
        <f t="shared" si="40"/>
        <v>46</v>
      </c>
      <c r="AB88" s="10"/>
      <c r="AC88" s="30">
        <f>IF('08-07-25-Scen7-GennyFail'!K89&gt;'08-07-25-Scen7-GennyFail'!AA88,'Drilling Spec'!$C$36,)</f>
        <v>0</v>
      </c>
      <c r="AE88" s="18">
        <f>(I88-'Drilling Spec'!$C$26)/'Drilling Spec'!$C$38</f>
        <v>108.99517641877463</v>
      </c>
      <c r="AF88" s="18">
        <f t="shared" si="27"/>
        <v>0</v>
      </c>
      <c r="AG88" s="34">
        <f t="shared" si="28"/>
        <v>0</v>
      </c>
      <c r="AH88" s="10"/>
      <c r="AI88" s="26">
        <f>IF(C88="Camp Closed",AG88,IF(AG88&lt;'Drilling Spec'!$C$39,,'Drilling Spec'!$C$39))</f>
        <v>0</v>
      </c>
      <c r="AL88" s="16">
        <f t="shared" si="29"/>
        <v>-723.9710585126478</v>
      </c>
      <c r="AM88" s="16">
        <f t="shared" si="30"/>
        <v>-723.46681615545504</v>
      </c>
      <c r="AN88">
        <f>-'Drilling Spec'!$C$29</f>
        <v>-720</v>
      </c>
      <c r="AO88">
        <f>-'Drilling Spec'!$C$27</f>
        <v>-624</v>
      </c>
      <c r="AP88">
        <f>-'Drilling Spec'!$C$28</f>
        <v>-688</v>
      </c>
      <c r="AQ88" t="e">
        <f t="shared" si="31"/>
        <v>#N/A</v>
      </c>
      <c r="AR88" t="e">
        <f>IF(X88=0,NA(),-'Drilling Spec'!$C$29*0.1)</f>
        <v>#N/A</v>
      </c>
      <c r="AS88" t="e">
        <f>IF(Y88=0,NA(),-'Drilling Spec'!$C$29*0.1)</f>
        <v>#N/A</v>
      </c>
      <c r="AT88" t="e">
        <f>IF(AB88=0,NA(),-'Drilling Spec'!$C$29*0.2)</f>
        <v>#N/A</v>
      </c>
      <c r="AU88" t="e">
        <f>IF(AC88=0,NA(),-'Drilling Spec'!$C$29*0.2)</f>
        <v>#N/A</v>
      </c>
      <c r="AV88" t="e">
        <f>IF(AH88=0,NA(),-'Drilling Spec'!$C$29*0.3)</f>
        <v>#N/A</v>
      </c>
      <c r="AW88" t="e">
        <f>IF(AI88=0,NA(),-'Drilling Spec'!$C$29*0.3)</f>
        <v>#N/A</v>
      </c>
      <c r="AX88" s="29">
        <f t="shared" si="32"/>
        <v>4.4273170731707268</v>
      </c>
      <c r="AY88" s="29">
        <f t="shared" si="33"/>
        <v>41.676605068484115</v>
      </c>
      <c r="AZ88" s="29">
        <f t="shared" si="37"/>
        <v>0</v>
      </c>
    </row>
    <row r="89" spans="1:52" x14ac:dyDescent="0.35">
      <c r="A89" s="28">
        <f t="shared" si="42"/>
        <v>46059</v>
      </c>
      <c r="B89" t="str">
        <f t="shared" si="20"/>
        <v>Fri</v>
      </c>
      <c r="C89" s="10"/>
      <c r="D89" s="10"/>
      <c r="E89" s="4">
        <f t="shared" si="21"/>
        <v>0</v>
      </c>
      <c r="F89" s="4">
        <f t="shared" si="22"/>
        <v>816</v>
      </c>
      <c r="G89" s="4">
        <f t="shared" si="23"/>
        <v>0</v>
      </c>
      <c r="H89" s="15">
        <f>(SQRT(4*I88*I88*V*V + 'Drilling Spec'!$C$42*I88 + W*('Drilling Spec'!$C$43 + 2*l*V*(s*W + 2*V*G89/(1+e)) + 'Drilling Spec'!$C$44)) - 'Drilling Spec'!$C$45)/(2*V)</f>
        <v>723.9710585126478</v>
      </c>
      <c r="I89" s="23">
        <f>IF(AND(OR(I88=0,I88=""),F89=0),IF(F90=0,"",'Drilling Spec'!$C$26),H89)</f>
        <v>723.9710585126478</v>
      </c>
      <c r="J89" s="16">
        <f>MAX(0,I89-'Drilling Spec'!$C$30)</f>
        <v>643.9710585126478</v>
      </c>
      <c r="K89" s="18">
        <f>IFERROR(J89/'Drilling Spec'!$C$31,0)</f>
        <v>42.931403900843186</v>
      </c>
      <c r="L89" s="21">
        <f t="shared" si="24"/>
        <v>0</v>
      </c>
      <c r="M89" s="4">
        <f t="shared" si="34"/>
        <v>132</v>
      </c>
      <c r="N89" s="21">
        <f t="shared" si="25"/>
        <v>0</v>
      </c>
      <c r="O89" s="18">
        <f>(SQRT(4*O88*O88*vB*vB + 'Drilling Spec'!$C$48*O88 + WB*('Drilling Spec'!$C$49 + 2*lB*vB*(sB*WB + 2*vB*N89/(1+eB)) + 'Drilling Spec'!$C$50)) - 'Drilling Spec'!$C$51)/(2*vB)</f>
        <v>723.46681615545504</v>
      </c>
      <c r="P89" s="18">
        <f>IFERROR(((S89-'Drilling Spec'!$C$30)/'Drilling Spec'!$C$31)*'Drilling Spec'!$C$32,0)</f>
        <v>38.608008969327301</v>
      </c>
      <c r="Q89" s="18">
        <f t="shared" si="35"/>
        <v>0</v>
      </c>
      <c r="R89" s="18"/>
      <c r="S89" s="26">
        <f>IF(AND(OR(T88=0,T88=""),M89=0),IF(M90=0,"",'Drilling Spec'!$C$30),O89)</f>
        <v>723.46681615545504</v>
      </c>
      <c r="U89" s="15">
        <f>E89*'Drilling Spec'!$C$22 + L89*'Drilling Spec'!$C$23</f>
        <v>0</v>
      </c>
      <c r="V89" s="15">
        <f t="shared" si="36"/>
        <v>19.572682926829266</v>
      </c>
      <c r="W89" s="15">
        <f t="shared" si="26"/>
        <v>4.4273170731707268</v>
      </c>
      <c r="X89" s="10"/>
      <c r="Y89" s="30">
        <f>IF(W89&lt;U90,'Drilling Spec'!$C$35,0)</f>
        <v>0</v>
      </c>
      <c r="AA89" s="4">
        <f t="shared" si="40"/>
        <v>46</v>
      </c>
      <c r="AB89" s="10"/>
      <c r="AC89" s="30">
        <f>IF('08-07-25-Scen7-GennyFail'!K90&gt;'08-07-25-Scen7-GennyFail'!AA89,'Drilling Spec'!$C$36,)</f>
        <v>0</v>
      </c>
      <c r="AE89" s="18">
        <f>(I89-'Drilling Spec'!$C$26)/'Drilling Spec'!$C$38</f>
        <v>108.99517641877463</v>
      </c>
      <c r="AF89" s="18">
        <f t="shared" si="27"/>
        <v>0</v>
      </c>
      <c r="AG89" s="34">
        <f t="shared" si="28"/>
        <v>0</v>
      </c>
      <c r="AH89" s="10"/>
      <c r="AI89" s="26">
        <f>IF(C89="Camp Closed",AG89,IF(AG89&lt;'Drilling Spec'!$C$39,,'Drilling Spec'!$C$39))</f>
        <v>0</v>
      </c>
      <c r="AL89" s="16">
        <f t="shared" si="29"/>
        <v>-723.9710585126478</v>
      </c>
      <c r="AM89" s="16">
        <f t="shared" si="30"/>
        <v>-723.46681615545504</v>
      </c>
      <c r="AN89">
        <f>-'Drilling Spec'!$C$29</f>
        <v>-720</v>
      </c>
      <c r="AO89">
        <f>-'Drilling Spec'!$C$27</f>
        <v>-624</v>
      </c>
      <c r="AP89">
        <f>-'Drilling Spec'!$C$28</f>
        <v>-688</v>
      </c>
      <c r="AQ89" t="e">
        <f t="shared" si="31"/>
        <v>#N/A</v>
      </c>
      <c r="AR89" t="e">
        <f>IF(X89=0,NA(),-'Drilling Spec'!$C$29*0.1)</f>
        <v>#N/A</v>
      </c>
      <c r="AS89" t="e">
        <f>IF(Y89=0,NA(),-'Drilling Spec'!$C$29*0.1)</f>
        <v>#N/A</v>
      </c>
      <c r="AT89" t="e">
        <f>IF(AB89=0,NA(),-'Drilling Spec'!$C$29*0.2)</f>
        <v>#N/A</v>
      </c>
      <c r="AU89" t="e">
        <f>IF(AC89=0,NA(),-'Drilling Spec'!$C$29*0.2)</f>
        <v>#N/A</v>
      </c>
      <c r="AV89" t="e">
        <f>IF(AH89=0,NA(),-'Drilling Spec'!$C$29*0.3)</f>
        <v>#N/A</v>
      </c>
      <c r="AW89" t="e">
        <f>IF(AI89=0,NA(),-'Drilling Spec'!$C$29*0.3)</f>
        <v>#N/A</v>
      </c>
      <c r="AX89" s="29">
        <f t="shared" si="32"/>
        <v>4.4273170731707268</v>
      </c>
      <c r="AY89" s="29">
        <f t="shared" si="33"/>
        <v>41.676605068484115</v>
      </c>
      <c r="AZ89" s="29">
        <f t="shared" si="37"/>
        <v>0</v>
      </c>
    </row>
    <row r="90" spans="1:52" x14ac:dyDescent="0.35">
      <c r="A90" s="28">
        <f t="shared" si="42"/>
        <v>46060</v>
      </c>
      <c r="B90" t="str">
        <f t="shared" si="20"/>
        <v>Sat</v>
      </c>
      <c r="C90" s="10"/>
      <c r="D90" s="10"/>
      <c r="E90" s="4">
        <f t="shared" si="21"/>
        <v>0</v>
      </c>
      <c r="F90" s="4">
        <f t="shared" si="22"/>
        <v>816</v>
      </c>
      <c r="G90" s="4">
        <f t="shared" si="23"/>
        <v>0</v>
      </c>
      <c r="H90" s="15">
        <f>(SQRT(4*I89*I89*V*V + 'Drilling Spec'!$C$42*I89 + W*('Drilling Spec'!$C$43 + 2*l*V*(s*W + 2*V*G90/(1+e)) + 'Drilling Spec'!$C$44)) - 'Drilling Spec'!$C$45)/(2*V)</f>
        <v>723.9710585126478</v>
      </c>
      <c r="I90" s="23">
        <f>IF(AND(OR(I89=0,I89=""),F90=0),IF(F91=0,"",'Drilling Spec'!$C$26),H90)</f>
        <v>723.9710585126478</v>
      </c>
      <c r="J90" s="16">
        <f>MAX(0,I90-'Drilling Spec'!$C$30)</f>
        <v>643.9710585126478</v>
      </c>
      <c r="K90" s="18">
        <f>IFERROR(J90/'Drilling Spec'!$C$31,0)</f>
        <v>42.931403900843186</v>
      </c>
      <c r="L90" s="21">
        <f t="shared" si="24"/>
        <v>0</v>
      </c>
      <c r="M90" s="4">
        <f t="shared" si="34"/>
        <v>132</v>
      </c>
      <c r="N90" s="21">
        <f t="shared" si="25"/>
        <v>0</v>
      </c>
      <c r="O90" s="18">
        <f>(SQRT(4*O89*O89*vB*vB + 'Drilling Spec'!$C$48*O89 + WB*('Drilling Spec'!$C$49 + 2*lB*vB*(sB*WB + 2*vB*N90/(1+eB)) + 'Drilling Spec'!$C$50)) - 'Drilling Spec'!$C$51)/(2*vB)</f>
        <v>723.46681615545504</v>
      </c>
      <c r="P90" s="18">
        <f>IFERROR(((S90-'Drilling Spec'!$C$30)/'Drilling Spec'!$C$31)*'Drilling Spec'!$C$32,0)</f>
        <v>38.608008969327301</v>
      </c>
      <c r="Q90" s="18">
        <f t="shared" si="35"/>
        <v>0</v>
      </c>
      <c r="R90" s="18"/>
      <c r="S90" s="26">
        <f>IF(AND(OR(T89=0,T89=""),M90=0),IF(M91=0,"",'Drilling Spec'!$C$30),O90)</f>
        <v>723.46681615545504</v>
      </c>
      <c r="U90" s="15">
        <f>E90*'Drilling Spec'!$C$22 + L90*'Drilling Spec'!$C$23</f>
        <v>0</v>
      </c>
      <c r="V90" s="15">
        <f t="shared" si="36"/>
        <v>19.572682926829266</v>
      </c>
      <c r="W90" s="15">
        <f t="shared" si="26"/>
        <v>4.4273170731707268</v>
      </c>
      <c r="X90" s="10"/>
      <c r="Y90" s="30">
        <f>IF(W90&lt;U91,'Drilling Spec'!$C$35,0)</f>
        <v>0</v>
      </c>
      <c r="AA90" s="4">
        <f t="shared" si="40"/>
        <v>46</v>
      </c>
      <c r="AB90" s="10"/>
      <c r="AC90" s="30">
        <f>IF('08-07-25-Scen7-GennyFail'!K91&gt;'08-07-25-Scen7-GennyFail'!AA90,'Drilling Spec'!$C$36,)</f>
        <v>0</v>
      </c>
      <c r="AE90" s="18">
        <f>(I90-'Drilling Spec'!$C$26)/'Drilling Spec'!$C$38</f>
        <v>108.99517641877463</v>
      </c>
      <c r="AF90" s="18">
        <f t="shared" si="27"/>
        <v>0</v>
      </c>
      <c r="AG90" s="34">
        <f t="shared" si="28"/>
        <v>0</v>
      </c>
      <c r="AH90" s="10"/>
      <c r="AI90" s="26">
        <f>IF(C90="Camp Closed",AG90,IF(AG90&lt;'Drilling Spec'!$C$39,,'Drilling Spec'!$C$39))</f>
        <v>0</v>
      </c>
      <c r="AL90" s="16">
        <f t="shared" si="29"/>
        <v>-723.9710585126478</v>
      </c>
      <c r="AM90" s="16">
        <f t="shared" si="30"/>
        <v>-723.46681615545504</v>
      </c>
      <c r="AN90">
        <f>-'Drilling Spec'!$C$29</f>
        <v>-720</v>
      </c>
      <c r="AO90">
        <f>-'Drilling Spec'!$C$27</f>
        <v>-624</v>
      </c>
      <c r="AP90">
        <f>-'Drilling Spec'!$C$28</f>
        <v>-688</v>
      </c>
      <c r="AQ90" t="e">
        <f t="shared" si="31"/>
        <v>#N/A</v>
      </c>
      <c r="AR90" t="e">
        <f>IF(X90=0,NA(),-'Drilling Spec'!$C$29*0.1)</f>
        <v>#N/A</v>
      </c>
      <c r="AS90" t="e">
        <f>IF(Y90=0,NA(),-'Drilling Spec'!$C$29*0.1)</f>
        <v>#N/A</v>
      </c>
      <c r="AT90" t="e">
        <f>IF(AB90=0,NA(),-'Drilling Spec'!$C$29*0.2)</f>
        <v>#N/A</v>
      </c>
      <c r="AU90" t="e">
        <f>IF(AC90=0,NA(),-'Drilling Spec'!$C$29*0.2)</f>
        <v>#N/A</v>
      </c>
      <c r="AV90" t="e">
        <f>IF(AH90=0,NA(),-'Drilling Spec'!$C$29*0.3)</f>
        <v>#N/A</v>
      </c>
      <c r="AW90" t="e">
        <f>IF(AI90=0,NA(),-'Drilling Spec'!$C$29*0.3)</f>
        <v>#N/A</v>
      </c>
      <c r="AX90" s="29">
        <f t="shared" si="32"/>
        <v>4.4273170731707268</v>
      </c>
      <c r="AY90" s="29">
        <f t="shared" si="33"/>
        <v>41.676605068484115</v>
      </c>
      <c r="AZ90" s="29">
        <f t="shared" si="37"/>
        <v>0</v>
      </c>
    </row>
    <row r="91" spans="1:52" x14ac:dyDescent="0.35">
      <c r="A91" s="28">
        <f t="shared" si="42"/>
        <v>46061</v>
      </c>
      <c r="B91" t="str">
        <f t="shared" si="20"/>
        <v>Sun</v>
      </c>
      <c r="C91" s="10"/>
      <c r="D91" s="10"/>
      <c r="E91" s="4">
        <f t="shared" si="21"/>
        <v>0</v>
      </c>
      <c r="F91" s="4">
        <f t="shared" si="22"/>
        <v>816</v>
      </c>
      <c r="G91" s="4">
        <f t="shared" si="23"/>
        <v>0</v>
      </c>
      <c r="H91" s="15">
        <f>(SQRT(4*I90*I90*V*V + 'Drilling Spec'!$C$42*I90 + W*('Drilling Spec'!$C$43 + 2*l*V*(s*W + 2*V*G91/(1+e)) + 'Drilling Spec'!$C$44)) - 'Drilling Spec'!$C$45)/(2*V)</f>
        <v>723.9710585126478</v>
      </c>
      <c r="I91" s="23">
        <f>IF(AND(OR(I90=0,I90=""),F91=0),IF(F92=0,"",'Drilling Spec'!$C$26),H91)</f>
        <v>723.9710585126478</v>
      </c>
      <c r="J91" s="16">
        <f>MAX(0,I91-'Drilling Spec'!$C$30)</f>
        <v>643.9710585126478</v>
      </c>
      <c r="K91" s="18">
        <f>IFERROR(J91/'Drilling Spec'!$C$31,0)</f>
        <v>42.931403900843186</v>
      </c>
      <c r="L91" s="21">
        <f t="shared" si="24"/>
        <v>0</v>
      </c>
      <c r="M91" s="4">
        <f t="shared" si="34"/>
        <v>132</v>
      </c>
      <c r="N91" s="21">
        <f t="shared" si="25"/>
        <v>0</v>
      </c>
      <c r="O91" s="18">
        <f>(SQRT(4*O90*O90*vB*vB + 'Drilling Spec'!$C$48*O90 + WB*('Drilling Spec'!$C$49 + 2*lB*vB*(sB*WB + 2*vB*N91/(1+eB)) + 'Drilling Spec'!$C$50)) - 'Drilling Spec'!$C$51)/(2*vB)</f>
        <v>723.46681615545504</v>
      </c>
      <c r="P91" s="18">
        <f>IFERROR(((S91-'Drilling Spec'!$C$30)/'Drilling Spec'!$C$31)*'Drilling Spec'!$C$32,0)</f>
        <v>38.608008969327301</v>
      </c>
      <c r="Q91" s="18">
        <f t="shared" si="35"/>
        <v>0</v>
      </c>
      <c r="R91" s="18"/>
      <c r="S91" s="26">
        <f>IF(AND(OR(T90=0,T90=""),M91=0),IF(M92=0,"",'Drilling Spec'!$C$30),O91)</f>
        <v>723.46681615545504</v>
      </c>
      <c r="U91" s="15">
        <f>E91*'Drilling Spec'!$C$22 + L91*'Drilling Spec'!$C$23</f>
        <v>0</v>
      </c>
      <c r="V91" s="15">
        <f t="shared" si="36"/>
        <v>19.572682926829266</v>
      </c>
      <c r="W91" s="15">
        <f t="shared" si="26"/>
        <v>4.4273170731707268</v>
      </c>
      <c r="X91" s="10"/>
      <c r="Y91" s="30">
        <f>IF(W91&lt;U92,'Drilling Spec'!$C$35,0)</f>
        <v>0</v>
      </c>
      <c r="AA91" s="4">
        <f t="shared" si="40"/>
        <v>46</v>
      </c>
      <c r="AB91" s="10"/>
      <c r="AC91" s="30">
        <f>IF('08-07-25-Scen7-GennyFail'!K92&gt;'08-07-25-Scen7-GennyFail'!AA91,'Drilling Spec'!$C$36,)</f>
        <v>0</v>
      </c>
      <c r="AE91" s="18">
        <f>(I91-'Drilling Spec'!$C$26)/'Drilling Spec'!$C$38</f>
        <v>108.99517641877463</v>
      </c>
      <c r="AF91" s="18">
        <f t="shared" si="27"/>
        <v>0</v>
      </c>
      <c r="AG91" s="34">
        <f t="shared" si="28"/>
        <v>0</v>
      </c>
      <c r="AH91" s="10"/>
      <c r="AI91" s="26">
        <f>IF(C91="Camp Closed",AG91,IF(AG91&lt;'Drilling Spec'!$C$39,,'Drilling Spec'!$C$39))</f>
        <v>0</v>
      </c>
      <c r="AL91" s="16">
        <f t="shared" si="29"/>
        <v>-723.9710585126478</v>
      </c>
      <c r="AM91" s="16">
        <f t="shared" si="30"/>
        <v>-723.46681615545504</v>
      </c>
      <c r="AN91">
        <f>-'Drilling Spec'!$C$29</f>
        <v>-720</v>
      </c>
      <c r="AO91">
        <f>-'Drilling Spec'!$C$27</f>
        <v>-624</v>
      </c>
      <c r="AP91">
        <f>-'Drilling Spec'!$C$28</f>
        <v>-688</v>
      </c>
      <c r="AQ91" t="e">
        <f t="shared" si="31"/>
        <v>#N/A</v>
      </c>
      <c r="AR91" t="e">
        <f>IF(X91=0,NA(),-'Drilling Spec'!$C$29*0.1)</f>
        <v>#N/A</v>
      </c>
      <c r="AS91" t="e">
        <f>IF(Y91=0,NA(),-'Drilling Spec'!$C$29*0.1)</f>
        <v>#N/A</v>
      </c>
      <c r="AT91" t="e">
        <f>IF(AB91=0,NA(),-'Drilling Spec'!$C$29*0.2)</f>
        <v>#N/A</v>
      </c>
      <c r="AU91" t="e">
        <f>IF(AC91=0,NA(),-'Drilling Spec'!$C$29*0.2)</f>
        <v>#N/A</v>
      </c>
      <c r="AV91" t="e">
        <f>IF(AH91=0,NA(),-'Drilling Spec'!$C$29*0.3)</f>
        <v>#N/A</v>
      </c>
      <c r="AW91" t="e">
        <f>IF(AI91=0,NA(),-'Drilling Spec'!$C$29*0.3)</f>
        <v>#N/A</v>
      </c>
      <c r="AX91" s="29">
        <f t="shared" si="32"/>
        <v>4.4273170731707268</v>
      </c>
      <c r="AY91" s="29">
        <f t="shared" si="33"/>
        <v>41.676605068484115</v>
      </c>
      <c r="AZ91" s="29">
        <f t="shared" si="37"/>
        <v>0</v>
      </c>
    </row>
    <row r="92" spans="1:52" x14ac:dyDescent="0.35">
      <c r="A92" s="28">
        <f t="shared" si="42"/>
        <v>46062</v>
      </c>
      <c r="B92" t="str">
        <f t="shared" si="20"/>
        <v>Mon</v>
      </c>
      <c r="C92" s="10"/>
      <c r="D92" s="10"/>
      <c r="E92" s="4">
        <f t="shared" si="21"/>
        <v>0</v>
      </c>
      <c r="F92" s="4">
        <f t="shared" si="22"/>
        <v>816</v>
      </c>
      <c r="G92" s="4">
        <f t="shared" si="23"/>
        <v>0</v>
      </c>
      <c r="H92" s="15">
        <f>(SQRT(4*I91*I91*V*V + 'Drilling Spec'!$C$42*I91 + W*('Drilling Spec'!$C$43 + 2*l*V*(s*W + 2*V*G92/(1+e)) + 'Drilling Spec'!$C$44)) - 'Drilling Spec'!$C$45)/(2*V)</f>
        <v>723.9710585126478</v>
      </c>
      <c r="I92" s="23">
        <f>IF(AND(OR(I91=0,I91=""),F92=0),IF(F93=0,"",'Drilling Spec'!$C$26),H92)</f>
        <v>723.9710585126478</v>
      </c>
      <c r="J92" s="16">
        <f>MAX(0,I92-'Drilling Spec'!$C$30)</f>
        <v>643.9710585126478</v>
      </c>
      <c r="K92" s="18">
        <f>IFERROR(J92/'Drilling Spec'!$C$31,0)</f>
        <v>42.931403900843186</v>
      </c>
      <c r="L92" s="21">
        <f t="shared" si="24"/>
        <v>0</v>
      </c>
      <c r="M92" s="4">
        <f t="shared" si="34"/>
        <v>132</v>
      </c>
      <c r="N92" s="21">
        <f t="shared" si="25"/>
        <v>0</v>
      </c>
      <c r="O92" s="18">
        <f>(SQRT(4*O91*O91*vB*vB + 'Drilling Spec'!$C$48*O91 + WB*('Drilling Spec'!$C$49 + 2*lB*vB*(sB*WB + 2*vB*N92/(1+eB)) + 'Drilling Spec'!$C$50)) - 'Drilling Spec'!$C$51)/(2*vB)</f>
        <v>723.46681615545504</v>
      </c>
      <c r="P92" s="18">
        <f>IFERROR(((S92-'Drilling Spec'!$C$30)/'Drilling Spec'!$C$31)*'Drilling Spec'!$C$32,0)</f>
        <v>38.608008969327301</v>
      </c>
      <c r="Q92" s="18">
        <f t="shared" si="35"/>
        <v>0</v>
      </c>
      <c r="R92" s="18"/>
      <c r="S92" s="26">
        <f>IF(AND(OR(T91=0,T91=""),M92=0),IF(M93=0,"",'Drilling Spec'!$C$30),O92)</f>
        <v>723.46681615545504</v>
      </c>
      <c r="U92" s="15">
        <f>E92*'Drilling Spec'!$C$22 + L92*'Drilling Spec'!$C$23</f>
        <v>0</v>
      </c>
      <c r="V92" s="15">
        <f t="shared" si="36"/>
        <v>19.572682926829266</v>
      </c>
      <c r="W92" s="15">
        <f t="shared" si="26"/>
        <v>4.4273170731707268</v>
      </c>
      <c r="X92" s="10"/>
      <c r="Y92" s="30">
        <f>IF(W92&lt;U93,'Drilling Spec'!$C$35,0)</f>
        <v>0</v>
      </c>
      <c r="AA92" s="4">
        <f t="shared" si="40"/>
        <v>46</v>
      </c>
      <c r="AB92" s="10"/>
      <c r="AC92" s="30">
        <f>IF('08-07-25-Scen7-GennyFail'!K93&gt;'08-07-25-Scen7-GennyFail'!AA92,'Drilling Spec'!$C$36,)</f>
        <v>0</v>
      </c>
      <c r="AE92" s="18">
        <f>(I92-'Drilling Spec'!$C$26)/'Drilling Spec'!$C$38</f>
        <v>108.99517641877463</v>
      </c>
      <c r="AF92" s="18">
        <f t="shared" si="27"/>
        <v>0</v>
      </c>
      <c r="AG92" s="34">
        <f t="shared" si="28"/>
        <v>0</v>
      </c>
      <c r="AH92" s="10"/>
      <c r="AI92" s="26">
        <f>IF(C92="Camp Closed",AG92,IF(AG92&lt;'Drilling Spec'!$C$39,,'Drilling Spec'!$C$39))</f>
        <v>0</v>
      </c>
      <c r="AL92" s="16">
        <f t="shared" si="29"/>
        <v>-723.9710585126478</v>
      </c>
      <c r="AM92" s="16">
        <f t="shared" si="30"/>
        <v>-723.46681615545504</v>
      </c>
      <c r="AN92">
        <f>-'Drilling Spec'!$C$29</f>
        <v>-720</v>
      </c>
      <c r="AO92">
        <f>-'Drilling Spec'!$C$27</f>
        <v>-624</v>
      </c>
      <c r="AP92">
        <f>-'Drilling Spec'!$C$28</f>
        <v>-688</v>
      </c>
      <c r="AQ92" t="e">
        <f t="shared" si="31"/>
        <v>#N/A</v>
      </c>
      <c r="AR92" t="e">
        <f>IF(X92=0,NA(),-'Drilling Spec'!$C$29*0.1)</f>
        <v>#N/A</v>
      </c>
      <c r="AS92" t="e">
        <f>IF(Y92=0,NA(),-'Drilling Spec'!$C$29*0.1)</f>
        <v>#N/A</v>
      </c>
      <c r="AT92" t="e">
        <f>IF(AB92=0,NA(),-'Drilling Spec'!$C$29*0.2)</f>
        <v>#N/A</v>
      </c>
      <c r="AU92" t="e">
        <f>IF(AC92=0,NA(),-'Drilling Spec'!$C$29*0.2)</f>
        <v>#N/A</v>
      </c>
      <c r="AV92" t="e">
        <f>IF(AH92=0,NA(),-'Drilling Spec'!$C$29*0.3)</f>
        <v>#N/A</v>
      </c>
      <c r="AW92" t="e">
        <f>IF(AI92=0,NA(),-'Drilling Spec'!$C$29*0.3)</f>
        <v>#N/A</v>
      </c>
      <c r="AX92" s="29">
        <f t="shared" si="32"/>
        <v>4.4273170731707268</v>
      </c>
      <c r="AY92" s="29">
        <f t="shared" si="33"/>
        <v>41.676605068484115</v>
      </c>
      <c r="AZ92" s="29">
        <f t="shared" si="37"/>
        <v>0</v>
      </c>
    </row>
    <row r="93" spans="1:52" x14ac:dyDescent="0.35">
      <c r="A93" s="28">
        <f t="shared" si="42"/>
        <v>46063</v>
      </c>
      <c r="B93" t="str">
        <f t="shared" si="20"/>
        <v>Tue</v>
      </c>
      <c r="C93" s="10"/>
      <c r="D93" s="10"/>
      <c r="E93" s="4">
        <f t="shared" si="21"/>
        <v>0</v>
      </c>
      <c r="F93" s="4">
        <f t="shared" si="22"/>
        <v>816</v>
      </c>
      <c r="G93" s="4">
        <f t="shared" si="23"/>
        <v>0</v>
      </c>
      <c r="H93" s="15">
        <f>(SQRT(4*I92*I92*V*V + 'Drilling Spec'!$C$42*I92 + W*('Drilling Spec'!$C$43 + 2*l*V*(s*W + 2*V*G93/(1+e)) + 'Drilling Spec'!$C$44)) - 'Drilling Spec'!$C$45)/(2*V)</f>
        <v>723.9710585126478</v>
      </c>
      <c r="I93" s="23">
        <f>IF(AND(OR(I92=0,I92=""),F93=0),IF(F94=0,"",'Drilling Spec'!$C$26),H93)</f>
        <v>723.9710585126478</v>
      </c>
      <c r="J93" s="16">
        <f>MAX(0,I93-'Drilling Spec'!$C$30)</f>
        <v>643.9710585126478</v>
      </c>
      <c r="K93" s="18">
        <f>IFERROR(J93/'Drilling Spec'!$C$31,0)</f>
        <v>42.931403900843186</v>
      </c>
      <c r="L93" s="21">
        <f t="shared" si="24"/>
        <v>0</v>
      </c>
      <c r="M93" s="4">
        <f t="shared" si="34"/>
        <v>132</v>
      </c>
      <c r="N93" s="21">
        <f t="shared" si="25"/>
        <v>0</v>
      </c>
      <c r="O93" s="18">
        <f>(SQRT(4*O92*O92*vB*vB + 'Drilling Spec'!$C$48*O92 + WB*('Drilling Spec'!$C$49 + 2*lB*vB*(sB*WB + 2*vB*N93/(1+eB)) + 'Drilling Spec'!$C$50)) - 'Drilling Spec'!$C$51)/(2*vB)</f>
        <v>723.46681615545504</v>
      </c>
      <c r="P93" s="18">
        <f>IFERROR(((S93-'Drilling Spec'!$C$30)/'Drilling Spec'!$C$31)*'Drilling Spec'!$C$32,0)</f>
        <v>38.608008969327301</v>
      </c>
      <c r="Q93" s="18">
        <f t="shared" si="35"/>
        <v>0</v>
      </c>
      <c r="R93" s="18"/>
      <c r="S93" s="26">
        <f>IF(AND(OR(T92=0,T92=""),M93=0),IF(M94=0,"",'Drilling Spec'!$C$30),O93)</f>
        <v>723.46681615545504</v>
      </c>
      <c r="U93" s="15">
        <f>E93*'Drilling Spec'!$C$22 + L93*'Drilling Spec'!$C$23</f>
        <v>0</v>
      </c>
      <c r="V93" s="15">
        <f t="shared" si="36"/>
        <v>19.572682926829266</v>
      </c>
      <c r="W93" s="15">
        <f t="shared" si="26"/>
        <v>4.4273170731707268</v>
      </c>
      <c r="X93" s="10"/>
      <c r="Y93" s="30">
        <f>IF(W93&lt;U94,'Drilling Spec'!$C$35,0)</f>
        <v>0</v>
      </c>
      <c r="AA93" s="4">
        <f t="shared" si="40"/>
        <v>46</v>
      </c>
      <c r="AB93" s="10"/>
      <c r="AC93" s="30">
        <f>IF('08-07-25-Scen7-GennyFail'!K94&gt;'08-07-25-Scen7-GennyFail'!AA93,'Drilling Spec'!$C$36,)</f>
        <v>0</v>
      </c>
      <c r="AE93" s="18">
        <f>(I93-'Drilling Spec'!$C$26)/'Drilling Spec'!$C$38</f>
        <v>108.99517641877463</v>
      </c>
      <c r="AF93" s="18">
        <f t="shared" si="27"/>
        <v>0</v>
      </c>
      <c r="AG93" s="34">
        <f t="shared" si="28"/>
        <v>0</v>
      </c>
      <c r="AH93" s="10"/>
      <c r="AI93" s="26">
        <f>IF(C93="Camp Closed",AG93,IF(AG93&lt;'Drilling Spec'!$C$39,,'Drilling Spec'!$C$39))</f>
        <v>0</v>
      </c>
      <c r="AL93" s="16">
        <f t="shared" si="29"/>
        <v>-723.9710585126478</v>
      </c>
      <c r="AM93" s="16">
        <f t="shared" si="30"/>
        <v>-723.46681615545504</v>
      </c>
      <c r="AN93">
        <f>-'Drilling Spec'!$C$29</f>
        <v>-720</v>
      </c>
      <c r="AO93">
        <f>-'Drilling Spec'!$C$27</f>
        <v>-624</v>
      </c>
      <c r="AP93">
        <f>-'Drilling Spec'!$C$28</f>
        <v>-688</v>
      </c>
      <c r="AQ93" t="e">
        <f t="shared" si="31"/>
        <v>#N/A</v>
      </c>
      <c r="AR93" t="e">
        <f>IF(X93=0,NA(),-'Drilling Spec'!$C$29*0.1)</f>
        <v>#N/A</v>
      </c>
      <c r="AS93" t="e">
        <f>IF(Y93=0,NA(),-'Drilling Spec'!$C$29*0.1)</f>
        <v>#N/A</v>
      </c>
      <c r="AT93" t="e">
        <f>IF(AB93=0,NA(),-'Drilling Spec'!$C$29*0.2)</f>
        <v>#N/A</v>
      </c>
      <c r="AU93" t="e">
        <f>IF(AC93=0,NA(),-'Drilling Spec'!$C$29*0.2)</f>
        <v>#N/A</v>
      </c>
      <c r="AV93" t="e">
        <f>IF(AH93=0,NA(),-'Drilling Spec'!$C$29*0.3)</f>
        <v>#N/A</v>
      </c>
      <c r="AW93" t="e">
        <f>IF(AI93=0,NA(),-'Drilling Spec'!$C$29*0.3)</f>
        <v>#N/A</v>
      </c>
      <c r="AX93" s="29">
        <f t="shared" si="32"/>
        <v>4.4273170731707268</v>
      </c>
      <c r="AY93" s="29">
        <f t="shared" si="33"/>
        <v>41.676605068484115</v>
      </c>
      <c r="AZ93" s="29">
        <f t="shared" si="37"/>
        <v>0</v>
      </c>
    </row>
    <row r="94" spans="1:52" x14ac:dyDescent="0.35">
      <c r="A94" s="28">
        <f t="shared" si="42"/>
        <v>46064</v>
      </c>
      <c r="B94" t="str">
        <f t="shared" si="20"/>
        <v>Wed</v>
      </c>
      <c r="C94" s="10"/>
      <c r="D94" s="10"/>
      <c r="E94" s="4">
        <f t="shared" si="21"/>
        <v>0</v>
      </c>
      <c r="F94" s="4">
        <f t="shared" si="22"/>
        <v>816</v>
      </c>
      <c r="G94" s="4">
        <f t="shared" si="23"/>
        <v>0</v>
      </c>
      <c r="H94" s="15">
        <f>(SQRT(4*I93*I93*V*V + 'Drilling Spec'!$C$42*I93 + W*('Drilling Spec'!$C$43 + 2*l*V*(s*W + 2*V*G94/(1+e)) + 'Drilling Spec'!$C$44)) - 'Drilling Spec'!$C$45)/(2*V)</f>
        <v>723.9710585126478</v>
      </c>
      <c r="I94" s="23">
        <f>IF(AND(OR(I93=0,I93=""),F94=0),IF(F95=0,"",'Drilling Spec'!$C$26),H94)</f>
        <v>723.9710585126478</v>
      </c>
      <c r="J94" s="16">
        <f>MAX(0,I94-'Drilling Spec'!$C$30)</f>
        <v>643.9710585126478</v>
      </c>
      <c r="K94" s="18">
        <f>IFERROR(J94/'Drilling Spec'!$C$31,0)</f>
        <v>42.931403900843186</v>
      </c>
      <c r="L94" s="21">
        <f t="shared" si="24"/>
        <v>0</v>
      </c>
      <c r="M94" s="4">
        <f t="shared" si="34"/>
        <v>132</v>
      </c>
      <c r="N94" s="21">
        <f t="shared" si="25"/>
        <v>0</v>
      </c>
      <c r="O94" s="18">
        <f>(SQRT(4*O93*O93*vB*vB + 'Drilling Spec'!$C$48*O93 + WB*('Drilling Spec'!$C$49 + 2*lB*vB*(sB*WB + 2*vB*N94/(1+eB)) + 'Drilling Spec'!$C$50)) - 'Drilling Spec'!$C$51)/(2*vB)</f>
        <v>723.46681615545504</v>
      </c>
      <c r="P94" s="18">
        <f>IFERROR(((S94-'Drilling Spec'!$C$30)/'Drilling Spec'!$C$31)*'Drilling Spec'!$C$32,0)</f>
        <v>38.608008969327301</v>
      </c>
      <c r="Q94" s="18">
        <f t="shared" si="35"/>
        <v>0</v>
      </c>
      <c r="R94" s="18"/>
      <c r="S94" s="26">
        <f>IF(AND(OR(T93=0,T93=""),M94=0),IF(M95=0,"",'Drilling Spec'!$C$30),O94)</f>
        <v>723.46681615545504</v>
      </c>
      <c r="U94" s="15">
        <f>E94*'Drilling Spec'!$C$22 + L94*'Drilling Spec'!$C$23</f>
        <v>0</v>
      </c>
      <c r="V94" s="15">
        <f t="shared" si="36"/>
        <v>19.572682926829266</v>
      </c>
      <c r="W94" s="15">
        <f t="shared" si="26"/>
        <v>4.4273170731707268</v>
      </c>
      <c r="X94" s="10"/>
      <c r="Y94" s="30">
        <f>IF(W94&lt;U95,'Drilling Spec'!$C$35,0)</f>
        <v>0</v>
      </c>
      <c r="AA94" s="4">
        <f t="shared" si="40"/>
        <v>46</v>
      </c>
      <c r="AB94" s="10"/>
      <c r="AC94" s="30">
        <f>IF('08-07-25-Scen7-GennyFail'!K95&gt;'08-07-25-Scen7-GennyFail'!AA94,'Drilling Spec'!$C$36,)</f>
        <v>0</v>
      </c>
      <c r="AE94" s="18">
        <f>(I94-'Drilling Spec'!$C$26)/'Drilling Spec'!$C$38</f>
        <v>108.99517641877463</v>
      </c>
      <c r="AF94" s="18">
        <f t="shared" si="27"/>
        <v>0</v>
      </c>
      <c r="AG94" s="34">
        <f t="shared" si="28"/>
        <v>0</v>
      </c>
      <c r="AH94" s="10"/>
      <c r="AI94" s="26">
        <f>IF(C94="Camp Closed",AG94,IF(AG94&lt;'Drilling Spec'!$C$39,,'Drilling Spec'!$C$39))</f>
        <v>0</v>
      </c>
      <c r="AL94" s="16">
        <f t="shared" si="29"/>
        <v>-723.9710585126478</v>
      </c>
      <c r="AM94" s="16">
        <f t="shared" si="30"/>
        <v>-723.46681615545504</v>
      </c>
      <c r="AN94">
        <f>-'Drilling Spec'!$C$29</f>
        <v>-720</v>
      </c>
      <c r="AO94">
        <f>-'Drilling Spec'!$C$27</f>
        <v>-624</v>
      </c>
      <c r="AP94">
        <f>-'Drilling Spec'!$C$28</f>
        <v>-688</v>
      </c>
      <c r="AQ94" t="e">
        <f t="shared" si="31"/>
        <v>#N/A</v>
      </c>
      <c r="AR94" t="e">
        <f>IF(X94=0,NA(),-'Drilling Spec'!$C$29*0.1)</f>
        <v>#N/A</v>
      </c>
      <c r="AS94" t="e">
        <f>IF(Y94=0,NA(),-'Drilling Spec'!$C$29*0.1)</f>
        <v>#N/A</v>
      </c>
      <c r="AT94" t="e">
        <f>IF(AB94=0,NA(),-'Drilling Spec'!$C$29*0.2)</f>
        <v>#N/A</v>
      </c>
      <c r="AU94" t="e">
        <f>IF(AC94=0,NA(),-'Drilling Spec'!$C$29*0.2)</f>
        <v>#N/A</v>
      </c>
      <c r="AV94" t="e">
        <f>IF(AH94=0,NA(),-'Drilling Spec'!$C$29*0.3)</f>
        <v>#N/A</v>
      </c>
      <c r="AW94" t="e">
        <f>IF(AI94=0,NA(),-'Drilling Spec'!$C$29*0.3)</f>
        <v>#N/A</v>
      </c>
      <c r="AX94" s="29">
        <f t="shared" si="32"/>
        <v>4.4273170731707268</v>
      </c>
      <c r="AY94" s="29">
        <f t="shared" si="33"/>
        <v>41.676605068484115</v>
      </c>
      <c r="AZ94" s="29">
        <f t="shared" si="37"/>
        <v>0</v>
      </c>
    </row>
    <row r="95" spans="1:52" x14ac:dyDescent="0.35">
      <c r="A95" s="28">
        <f t="shared" si="42"/>
        <v>46065</v>
      </c>
      <c r="B95" t="str">
        <f t="shared" si="20"/>
        <v>Thu</v>
      </c>
      <c r="C95" s="10"/>
      <c r="D95" s="10"/>
      <c r="E95" s="4">
        <f t="shared" si="21"/>
        <v>0</v>
      </c>
      <c r="F95" s="4">
        <f t="shared" si="22"/>
        <v>816</v>
      </c>
      <c r="G95" s="4">
        <f t="shared" si="23"/>
        <v>0</v>
      </c>
      <c r="H95" s="15">
        <f>(SQRT(4*I94*I94*V*V + 'Drilling Spec'!$C$42*I94 + W*('Drilling Spec'!$C$43 + 2*l*V*(s*W + 2*V*G95/(1+e)) + 'Drilling Spec'!$C$44)) - 'Drilling Spec'!$C$45)/(2*V)</f>
        <v>723.9710585126478</v>
      </c>
      <c r="I95" s="23">
        <f>IF(AND(OR(I94=0,I94=""),F95=0),IF(F96=0,"",'Drilling Spec'!$C$26),H95)</f>
        <v>723.9710585126478</v>
      </c>
      <c r="J95" s="16">
        <f>MAX(0,I95-'Drilling Spec'!$C$30)</f>
        <v>643.9710585126478</v>
      </c>
      <c r="K95" s="18">
        <f>IFERROR(J95/'Drilling Spec'!$C$31,0)</f>
        <v>42.931403900843186</v>
      </c>
      <c r="L95" s="21">
        <f t="shared" si="24"/>
        <v>0</v>
      </c>
      <c r="M95" s="4">
        <f t="shared" si="34"/>
        <v>132</v>
      </c>
      <c r="N95" s="21">
        <f t="shared" si="25"/>
        <v>0</v>
      </c>
      <c r="O95" s="18">
        <f>(SQRT(4*O94*O94*vB*vB + 'Drilling Spec'!$C$48*O94 + WB*('Drilling Spec'!$C$49 + 2*lB*vB*(sB*WB + 2*vB*N95/(1+eB)) + 'Drilling Spec'!$C$50)) - 'Drilling Spec'!$C$51)/(2*vB)</f>
        <v>723.46681615545504</v>
      </c>
      <c r="P95" s="18">
        <f>IFERROR(((S95-'Drilling Spec'!$C$30)/'Drilling Spec'!$C$31)*'Drilling Spec'!$C$32,0)</f>
        <v>38.608008969327301</v>
      </c>
      <c r="Q95" s="18">
        <f t="shared" si="35"/>
        <v>0</v>
      </c>
      <c r="R95" s="18"/>
      <c r="S95" s="26">
        <f>IF(AND(OR(T94=0,T94=""),M95=0),IF(M96=0,"",'Drilling Spec'!$C$30),O95)</f>
        <v>723.46681615545504</v>
      </c>
      <c r="U95" s="15">
        <f>E95*'Drilling Spec'!$C$22 + L95*'Drilling Spec'!$C$23</f>
        <v>0</v>
      </c>
      <c r="V95" s="15">
        <f t="shared" si="36"/>
        <v>19.572682926829266</v>
      </c>
      <c r="W95" s="15">
        <f t="shared" si="26"/>
        <v>4.4273170731707268</v>
      </c>
      <c r="X95" s="10"/>
      <c r="Y95" s="30">
        <f>IF(W95&lt;U96,'Drilling Spec'!$C$35,0)</f>
        <v>0</v>
      </c>
      <c r="AA95" s="4">
        <f t="shared" si="40"/>
        <v>46</v>
      </c>
      <c r="AB95" s="10"/>
      <c r="AC95" s="30">
        <f>IF('08-07-25-Scen7-GennyFail'!K96&gt;'08-07-25-Scen7-GennyFail'!AA95,'Drilling Spec'!$C$36,)</f>
        <v>0</v>
      </c>
      <c r="AE95" s="18">
        <f>(I95-'Drilling Spec'!$C$26)/'Drilling Spec'!$C$38</f>
        <v>108.99517641877463</v>
      </c>
      <c r="AF95" s="18">
        <f t="shared" si="27"/>
        <v>0</v>
      </c>
      <c r="AG95" s="34">
        <f t="shared" si="28"/>
        <v>0</v>
      </c>
      <c r="AH95" s="10"/>
      <c r="AI95" s="26">
        <f>IF(C95="Camp Closed",AG95,IF(AG95&lt;'Drilling Spec'!$C$39,,'Drilling Spec'!$C$39))</f>
        <v>0</v>
      </c>
      <c r="AL95" s="16">
        <f t="shared" si="29"/>
        <v>-723.9710585126478</v>
      </c>
      <c r="AM95" s="16">
        <f t="shared" si="30"/>
        <v>-723.46681615545504</v>
      </c>
      <c r="AN95">
        <f>-'Drilling Spec'!$C$29</f>
        <v>-720</v>
      </c>
      <c r="AO95">
        <f>-'Drilling Spec'!$C$27</f>
        <v>-624</v>
      </c>
      <c r="AP95">
        <f>-'Drilling Spec'!$C$28</f>
        <v>-688</v>
      </c>
      <c r="AQ95" t="e">
        <f t="shared" si="31"/>
        <v>#N/A</v>
      </c>
      <c r="AR95" t="e">
        <f>IF(X95=0,NA(),-'Drilling Spec'!$C$29*0.1)</f>
        <v>#N/A</v>
      </c>
      <c r="AS95" t="e">
        <f>IF(Y95=0,NA(),-'Drilling Spec'!$C$29*0.1)</f>
        <v>#N/A</v>
      </c>
      <c r="AT95" t="e">
        <f>IF(AB95=0,NA(),-'Drilling Spec'!$C$29*0.2)</f>
        <v>#N/A</v>
      </c>
      <c r="AU95" t="e">
        <f>IF(AC95=0,NA(),-'Drilling Spec'!$C$29*0.2)</f>
        <v>#N/A</v>
      </c>
      <c r="AV95" t="e">
        <f>IF(AH95=0,NA(),-'Drilling Spec'!$C$29*0.3)</f>
        <v>#N/A</v>
      </c>
      <c r="AW95" t="e">
        <f>IF(AI95=0,NA(),-'Drilling Spec'!$C$29*0.3)</f>
        <v>#N/A</v>
      </c>
      <c r="AX95" s="29">
        <f t="shared" si="32"/>
        <v>4.4273170731707268</v>
      </c>
      <c r="AY95" s="29">
        <f t="shared" si="33"/>
        <v>41.676605068484115</v>
      </c>
      <c r="AZ95" s="29">
        <f t="shared" si="37"/>
        <v>0</v>
      </c>
    </row>
    <row r="96" spans="1:52" x14ac:dyDescent="0.35">
      <c r="A96" s="28">
        <f t="shared" si="42"/>
        <v>46066</v>
      </c>
      <c r="B96" t="str">
        <f t="shared" si="20"/>
        <v>Fri</v>
      </c>
      <c r="C96" s="10"/>
      <c r="D96" s="10"/>
      <c r="E96" s="4">
        <f t="shared" si="21"/>
        <v>0</v>
      </c>
      <c r="F96" s="4">
        <f t="shared" si="22"/>
        <v>816</v>
      </c>
      <c r="G96" s="4">
        <f t="shared" si="23"/>
        <v>0</v>
      </c>
      <c r="H96" s="15">
        <f>(SQRT(4*I95*I95*V*V + 'Drilling Spec'!$C$42*I95 + W*('Drilling Spec'!$C$43 + 2*l*V*(s*W + 2*V*G96/(1+e)) + 'Drilling Spec'!$C$44)) - 'Drilling Spec'!$C$45)/(2*V)</f>
        <v>723.9710585126478</v>
      </c>
      <c r="I96" s="23">
        <f>IF(AND(OR(I95=0,I95=""),F96=0),IF(F97=0,"",'Drilling Spec'!$C$26),H96)</f>
        <v>723.9710585126478</v>
      </c>
      <c r="J96" s="16">
        <f>MAX(0,I96-'Drilling Spec'!$C$30)</f>
        <v>643.9710585126478</v>
      </c>
      <c r="K96" s="18">
        <f>IFERROR(J96/'Drilling Spec'!$C$31,0)</f>
        <v>42.931403900843186</v>
      </c>
      <c r="L96" s="21">
        <f t="shared" si="24"/>
        <v>0</v>
      </c>
      <c r="M96" s="4">
        <f t="shared" si="34"/>
        <v>132</v>
      </c>
      <c r="N96" s="21">
        <f t="shared" si="25"/>
        <v>0</v>
      </c>
      <c r="O96" s="18">
        <f>(SQRT(4*O95*O95*vB*vB + 'Drilling Spec'!$C$48*O95 + WB*('Drilling Spec'!$C$49 + 2*lB*vB*(sB*WB + 2*vB*N96/(1+eB)) + 'Drilling Spec'!$C$50)) - 'Drilling Spec'!$C$51)/(2*vB)</f>
        <v>723.46681615545504</v>
      </c>
      <c r="P96" s="18">
        <f>IFERROR(((S96-'Drilling Spec'!$C$30)/'Drilling Spec'!$C$31)*'Drilling Spec'!$C$32,0)</f>
        <v>38.608008969327301</v>
      </c>
      <c r="Q96" s="18">
        <f t="shared" si="35"/>
        <v>0</v>
      </c>
      <c r="R96" s="18"/>
      <c r="S96" s="26">
        <f>IF(AND(OR(T95=0,T95=""),M96=0),IF(M97=0,"",'Drilling Spec'!$C$30),O96)</f>
        <v>723.46681615545504</v>
      </c>
      <c r="U96" s="15">
        <f>E96*'Drilling Spec'!$C$22 + L96*'Drilling Spec'!$C$23</f>
        <v>0</v>
      </c>
      <c r="V96" s="15">
        <f t="shared" si="36"/>
        <v>19.572682926829266</v>
      </c>
      <c r="W96" s="15">
        <f t="shared" si="26"/>
        <v>4.4273170731707268</v>
      </c>
      <c r="X96" s="10"/>
      <c r="Y96" s="30">
        <f>IF(W96&lt;U97,'Drilling Spec'!$C$35,0)</f>
        <v>0</v>
      </c>
      <c r="AA96" s="4">
        <f t="shared" si="40"/>
        <v>46</v>
      </c>
      <c r="AB96" s="10"/>
      <c r="AC96" s="30">
        <f>IF('08-07-25-Scen7-GennyFail'!K97&gt;'08-07-25-Scen7-GennyFail'!AA96,'Drilling Spec'!$C$36,)</f>
        <v>0</v>
      </c>
      <c r="AE96" s="18">
        <f>(I96-'Drilling Spec'!$C$26)/'Drilling Spec'!$C$38</f>
        <v>108.99517641877463</v>
      </c>
      <c r="AF96" s="18">
        <f t="shared" si="27"/>
        <v>0</v>
      </c>
      <c r="AG96" s="34">
        <f t="shared" si="28"/>
        <v>0</v>
      </c>
      <c r="AH96" s="10"/>
      <c r="AI96" s="26">
        <f>IF(C96="Camp Closed",AG96,IF(AG96&lt;'Drilling Spec'!$C$39,,'Drilling Spec'!$C$39))</f>
        <v>0</v>
      </c>
      <c r="AL96" s="16">
        <f t="shared" si="29"/>
        <v>-723.9710585126478</v>
      </c>
      <c r="AM96" s="16">
        <f t="shared" si="30"/>
        <v>-723.46681615545504</v>
      </c>
      <c r="AN96">
        <f>-'Drilling Spec'!$C$29</f>
        <v>-720</v>
      </c>
      <c r="AO96">
        <f>-'Drilling Spec'!$C$27</f>
        <v>-624</v>
      </c>
      <c r="AP96">
        <f>-'Drilling Spec'!$C$28</f>
        <v>-688</v>
      </c>
      <c r="AQ96" t="e">
        <f t="shared" si="31"/>
        <v>#N/A</v>
      </c>
      <c r="AR96" t="e">
        <f>IF(X96=0,NA(),-'Drilling Spec'!$C$29*0.1)</f>
        <v>#N/A</v>
      </c>
      <c r="AS96" t="e">
        <f>IF(Y96=0,NA(),-'Drilling Spec'!$C$29*0.1)</f>
        <v>#N/A</v>
      </c>
      <c r="AT96" t="e">
        <f>IF(AB96=0,NA(),-'Drilling Spec'!$C$29*0.2)</f>
        <v>#N/A</v>
      </c>
      <c r="AU96" t="e">
        <f>IF(AC96=0,NA(),-'Drilling Spec'!$C$29*0.2)</f>
        <v>#N/A</v>
      </c>
      <c r="AV96" t="e">
        <f>IF(AH96=0,NA(),-'Drilling Spec'!$C$29*0.3)</f>
        <v>#N/A</v>
      </c>
      <c r="AW96" t="e">
        <f>IF(AI96=0,NA(),-'Drilling Spec'!$C$29*0.3)</f>
        <v>#N/A</v>
      </c>
      <c r="AX96" s="29">
        <f t="shared" si="32"/>
        <v>4.4273170731707268</v>
      </c>
      <c r="AY96" s="29">
        <f t="shared" si="33"/>
        <v>41.676605068484115</v>
      </c>
      <c r="AZ96" s="29">
        <f t="shared" si="37"/>
        <v>0</v>
      </c>
    </row>
    <row r="97" spans="1:52" x14ac:dyDescent="0.35">
      <c r="A97" s="28">
        <f t="shared" si="42"/>
        <v>46067</v>
      </c>
      <c r="B97" t="str">
        <f t="shared" si="20"/>
        <v>Sat</v>
      </c>
      <c r="C97" s="10"/>
      <c r="D97" s="10"/>
      <c r="E97" s="4">
        <f t="shared" si="21"/>
        <v>0</v>
      </c>
      <c r="F97" s="4">
        <f t="shared" si="22"/>
        <v>816</v>
      </c>
      <c r="G97" s="4">
        <f t="shared" si="23"/>
        <v>0</v>
      </c>
      <c r="H97" s="15">
        <f>(SQRT(4*I96*I96*V*V + 'Drilling Spec'!$C$42*I96 + W*('Drilling Spec'!$C$43 + 2*l*V*(s*W + 2*V*G97/(1+e)) + 'Drilling Spec'!$C$44)) - 'Drilling Spec'!$C$45)/(2*V)</f>
        <v>723.9710585126478</v>
      </c>
      <c r="I97" s="23">
        <f>IF(AND(OR(I96=0,I96=""),F97=0),IF(F98=0,"",'Drilling Spec'!$C$26),H97)</f>
        <v>723.9710585126478</v>
      </c>
      <c r="J97" s="16">
        <f>MAX(0,I97-'Drilling Spec'!$C$30)</f>
        <v>643.9710585126478</v>
      </c>
      <c r="K97" s="18">
        <f>IFERROR(J97/'Drilling Spec'!$C$31,0)</f>
        <v>42.931403900843186</v>
      </c>
      <c r="L97" s="21">
        <f t="shared" si="24"/>
        <v>0</v>
      </c>
      <c r="M97" s="4">
        <f t="shared" si="34"/>
        <v>132</v>
      </c>
      <c r="N97" s="21">
        <f t="shared" si="25"/>
        <v>0</v>
      </c>
      <c r="O97" s="18">
        <f>(SQRT(4*O96*O96*vB*vB + 'Drilling Spec'!$C$48*O96 + WB*('Drilling Spec'!$C$49 + 2*lB*vB*(sB*WB + 2*vB*N97/(1+eB)) + 'Drilling Spec'!$C$50)) - 'Drilling Spec'!$C$51)/(2*vB)</f>
        <v>723.46681615545504</v>
      </c>
      <c r="P97" s="18">
        <f>IFERROR(((S97-'Drilling Spec'!$C$30)/'Drilling Spec'!$C$31)*'Drilling Spec'!$C$32,0)</f>
        <v>38.608008969327301</v>
      </c>
      <c r="Q97" s="18">
        <f t="shared" si="35"/>
        <v>0</v>
      </c>
      <c r="R97" s="18"/>
      <c r="S97" s="26">
        <f>IF(AND(OR(T96=0,T96=""),M97=0),IF(M98=0,"",'Drilling Spec'!$C$30),O97)</f>
        <v>723.46681615545504</v>
      </c>
      <c r="U97" s="15">
        <f>E97*'Drilling Spec'!$C$22 + L97*'Drilling Spec'!$C$23</f>
        <v>0</v>
      </c>
      <c r="V97" s="15">
        <f t="shared" si="36"/>
        <v>19.572682926829266</v>
      </c>
      <c r="W97" s="15">
        <f t="shared" si="26"/>
        <v>4.4273170731707268</v>
      </c>
      <c r="X97" s="10"/>
      <c r="Y97" s="30">
        <f>IF(W97&lt;U98,'Drilling Spec'!$C$35,0)</f>
        <v>0</v>
      </c>
      <c r="AA97" s="4">
        <f t="shared" si="40"/>
        <v>46</v>
      </c>
      <c r="AB97" s="10"/>
      <c r="AC97" s="30">
        <f>IF('08-07-25-Scen7-GennyFail'!K98&gt;'08-07-25-Scen7-GennyFail'!AA97,'Drilling Spec'!$C$36,)</f>
        <v>0</v>
      </c>
      <c r="AE97" s="18">
        <f>(I97-'Drilling Spec'!$C$26)/'Drilling Spec'!$C$38</f>
        <v>108.99517641877463</v>
      </c>
      <c r="AF97" s="18">
        <f t="shared" si="27"/>
        <v>0</v>
      </c>
      <c r="AG97" s="34">
        <f t="shared" si="28"/>
        <v>0</v>
      </c>
      <c r="AH97" s="10"/>
      <c r="AI97" s="26">
        <f>IF(C97="Camp Closed",AG97,IF(AG97&lt;'Drilling Spec'!$C$39,,'Drilling Spec'!$C$39))</f>
        <v>0</v>
      </c>
      <c r="AL97" s="16">
        <f t="shared" si="29"/>
        <v>-723.9710585126478</v>
      </c>
      <c r="AM97" s="16">
        <f t="shared" si="30"/>
        <v>-723.46681615545504</v>
      </c>
      <c r="AN97">
        <f>-'Drilling Spec'!$C$29</f>
        <v>-720</v>
      </c>
      <c r="AO97">
        <f>-'Drilling Spec'!$C$27</f>
        <v>-624</v>
      </c>
      <c r="AP97">
        <f>-'Drilling Spec'!$C$28</f>
        <v>-688</v>
      </c>
      <c r="AQ97" t="e">
        <f t="shared" si="31"/>
        <v>#N/A</v>
      </c>
      <c r="AR97" t="e">
        <f>IF(X97=0,NA(),-'Drilling Spec'!$C$29*0.1)</f>
        <v>#N/A</v>
      </c>
      <c r="AS97" t="e">
        <f>IF(Y97=0,NA(),-'Drilling Spec'!$C$29*0.1)</f>
        <v>#N/A</v>
      </c>
      <c r="AT97" t="e">
        <f>IF(AB97=0,NA(),-'Drilling Spec'!$C$29*0.2)</f>
        <v>#N/A</v>
      </c>
      <c r="AU97" t="e">
        <f>IF(AC97=0,NA(),-'Drilling Spec'!$C$29*0.2)</f>
        <v>#N/A</v>
      </c>
      <c r="AV97" t="e">
        <f>IF(AH97=0,NA(),-'Drilling Spec'!$C$29*0.3)</f>
        <v>#N/A</v>
      </c>
      <c r="AW97" t="e">
        <f>IF(AI97=0,NA(),-'Drilling Spec'!$C$29*0.3)</f>
        <v>#N/A</v>
      </c>
      <c r="AX97" s="29">
        <f t="shared" si="32"/>
        <v>4.4273170731707268</v>
      </c>
      <c r="AY97" s="29">
        <f t="shared" si="33"/>
        <v>41.676605068484115</v>
      </c>
      <c r="AZ97" s="29">
        <f t="shared" si="37"/>
        <v>0</v>
      </c>
    </row>
    <row r="98" spans="1:52" x14ac:dyDescent="0.35">
      <c r="A98" s="28">
        <f t="shared" si="42"/>
        <v>46068</v>
      </c>
      <c r="B98" t="str">
        <f t="shared" si="20"/>
        <v>Sun</v>
      </c>
      <c r="C98" s="10"/>
      <c r="D98" s="10"/>
      <c r="E98" s="4">
        <f t="shared" si="21"/>
        <v>0</v>
      </c>
      <c r="F98" s="4">
        <f t="shared" si="22"/>
        <v>816</v>
      </c>
      <c r="G98" s="4">
        <f t="shared" si="23"/>
        <v>0</v>
      </c>
      <c r="H98" s="15">
        <f>(SQRT(4*I97*I97*V*V + 'Drilling Spec'!$C$42*I97 + W*('Drilling Spec'!$C$43 + 2*l*V*(s*W + 2*V*G98/(1+e)) + 'Drilling Spec'!$C$44)) - 'Drilling Spec'!$C$45)/(2*V)</f>
        <v>723.9710585126478</v>
      </c>
      <c r="I98" s="23">
        <f>IF(AND(OR(I97=0,I97=""),F98=0),IF(F99=0,"",'Drilling Spec'!$C$26),H98)</f>
        <v>723.9710585126478</v>
      </c>
      <c r="J98" s="16">
        <f>MAX(0,I98-'Drilling Spec'!$C$30)</f>
        <v>643.9710585126478</v>
      </c>
      <c r="K98" s="18">
        <f>IFERROR(J98/'Drilling Spec'!$C$31,0)</f>
        <v>42.931403900843186</v>
      </c>
      <c r="L98" s="21">
        <f t="shared" si="24"/>
        <v>0</v>
      </c>
      <c r="M98" s="4">
        <f t="shared" si="34"/>
        <v>132</v>
      </c>
      <c r="N98" s="21">
        <f t="shared" si="25"/>
        <v>0</v>
      </c>
      <c r="O98" s="18">
        <f>(SQRT(4*O97*O97*vB*vB + 'Drilling Spec'!$C$48*O97 + WB*('Drilling Spec'!$C$49 + 2*lB*vB*(sB*WB + 2*vB*N98/(1+eB)) + 'Drilling Spec'!$C$50)) - 'Drilling Spec'!$C$51)/(2*vB)</f>
        <v>723.46681615545504</v>
      </c>
      <c r="P98" s="18">
        <f>IFERROR(((S98-'Drilling Spec'!$C$30)/'Drilling Spec'!$C$31)*'Drilling Spec'!$C$32,0)</f>
        <v>38.608008969327301</v>
      </c>
      <c r="Q98" s="18">
        <f t="shared" si="35"/>
        <v>0</v>
      </c>
      <c r="R98" s="18"/>
      <c r="S98" s="26">
        <f>IF(AND(OR(T97=0,T97=""),M98=0),IF(M99=0,"",'Drilling Spec'!$C$30),O98)</f>
        <v>723.46681615545504</v>
      </c>
      <c r="U98" s="15">
        <f>E98*'Drilling Spec'!$C$22 + L98*'Drilling Spec'!$C$23</f>
        <v>0</v>
      </c>
      <c r="V98" s="15">
        <f t="shared" si="36"/>
        <v>19.572682926829266</v>
      </c>
      <c r="W98" s="15">
        <f t="shared" si="26"/>
        <v>4.4273170731707268</v>
      </c>
      <c r="X98" s="10"/>
      <c r="Y98" s="30">
        <f>IF(W98&lt;U99,'Drilling Spec'!$C$35,0)</f>
        <v>0</v>
      </c>
      <c r="AA98" s="4">
        <f t="shared" si="40"/>
        <v>46</v>
      </c>
      <c r="AB98" s="10"/>
      <c r="AC98" s="30">
        <f>IF('08-07-25-Scen7-GennyFail'!K99&gt;'08-07-25-Scen7-GennyFail'!AA98,'Drilling Spec'!$C$36,)</f>
        <v>0</v>
      </c>
      <c r="AE98" s="18">
        <f>(I98-'Drilling Spec'!$C$26)/'Drilling Spec'!$C$38</f>
        <v>108.99517641877463</v>
      </c>
      <c r="AF98" s="18">
        <f t="shared" si="27"/>
        <v>0</v>
      </c>
      <c r="AG98" s="34">
        <f t="shared" si="28"/>
        <v>0</v>
      </c>
      <c r="AH98" s="10"/>
      <c r="AI98" s="26">
        <f>IF(C98="Camp Closed",AG98,IF(AG98&lt;'Drilling Spec'!$C$39,,'Drilling Spec'!$C$39))</f>
        <v>0</v>
      </c>
      <c r="AL98" s="16">
        <f t="shared" si="29"/>
        <v>-723.9710585126478</v>
      </c>
      <c r="AM98" s="16">
        <f t="shared" si="30"/>
        <v>-723.46681615545504</v>
      </c>
      <c r="AN98">
        <f>-'Drilling Spec'!$C$29</f>
        <v>-720</v>
      </c>
      <c r="AO98">
        <f>-'Drilling Spec'!$C$27</f>
        <v>-624</v>
      </c>
      <c r="AP98">
        <f>-'Drilling Spec'!$C$28</f>
        <v>-688</v>
      </c>
      <c r="AQ98" t="e">
        <f t="shared" si="31"/>
        <v>#N/A</v>
      </c>
      <c r="AR98" t="e">
        <f>IF(X98=0,NA(),-'Drilling Spec'!$C$29*0.1)</f>
        <v>#N/A</v>
      </c>
      <c r="AS98" t="e">
        <f>IF(Y98=0,NA(),-'Drilling Spec'!$C$29*0.1)</f>
        <v>#N/A</v>
      </c>
      <c r="AT98" t="e">
        <f>IF(AB98=0,NA(),-'Drilling Spec'!$C$29*0.2)</f>
        <v>#N/A</v>
      </c>
      <c r="AU98" t="e">
        <f>IF(AC98=0,NA(),-'Drilling Spec'!$C$29*0.2)</f>
        <v>#N/A</v>
      </c>
      <c r="AV98" t="e">
        <f>IF(AH98=0,NA(),-'Drilling Spec'!$C$29*0.3)</f>
        <v>#N/A</v>
      </c>
      <c r="AW98" t="e">
        <f>IF(AI98=0,NA(),-'Drilling Spec'!$C$29*0.3)</f>
        <v>#N/A</v>
      </c>
      <c r="AX98" s="29">
        <f t="shared" si="32"/>
        <v>4.4273170731707268</v>
      </c>
      <c r="AY98" s="29">
        <f t="shared" si="33"/>
        <v>41.676605068484115</v>
      </c>
      <c r="AZ98" s="29">
        <f t="shared" si="37"/>
        <v>0</v>
      </c>
    </row>
    <row r="99" spans="1:52" x14ac:dyDescent="0.35">
      <c r="A99" s="28">
        <f t="shared" si="42"/>
        <v>46069</v>
      </c>
      <c r="B99" t="str">
        <f t="shared" si="20"/>
        <v>Mon</v>
      </c>
      <c r="C99" s="10"/>
      <c r="D99" s="10"/>
      <c r="E99" s="4">
        <f t="shared" si="21"/>
        <v>0</v>
      </c>
      <c r="F99" s="4">
        <f t="shared" si="22"/>
        <v>816</v>
      </c>
      <c r="G99" s="4">
        <f t="shared" si="23"/>
        <v>0</v>
      </c>
      <c r="H99" s="15">
        <f>(SQRT(4*I98*I98*V*V + 'Drilling Spec'!$C$42*I98 + W*('Drilling Spec'!$C$43 + 2*l*V*(s*W + 2*V*G99/(1+e)) + 'Drilling Spec'!$C$44)) - 'Drilling Spec'!$C$45)/(2*V)</f>
        <v>723.9710585126478</v>
      </c>
      <c r="I99" s="23">
        <f>IF(AND(OR(I98=0,I98=""),F99=0),IF(F100=0,"",'Drilling Spec'!$C$26),H99)</f>
        <v>723.9710585126478</v>
      </c>
      <c r="J99" s="16">
        <f>MAX(0,I99-'Drilling Spec'!$C$30)</f>
        <v>643.9710585126478</v>
      </c>
      <c r="K99" s="18">
        <f>IFERROR(J99/'Drilling Spec'!$C$31,0)</f>
        <v>42.931403900843186</v>
      </c>
      <c r="L99" s="21">
        <f t="shared" si="24"/>
        <v>0</v>
      </c>
      <c r="M99" s="4">
        <f t="shared" si="34"/>
        <v>132</v>
      </c>
      <c r="N99" s="21">
        <f t="shared" si="25"/>
        <v>0</v>
      </c>
      <c r="O99" s="18">
        <f>(SQRT(4*O98*O98*vB*vB + 'Drilling Spec'!$C$48*O98 + WB*('Drilling Spec'!$C$49 + 2*lB*vB*(sB*WB + 2*vB*N99/(1+eB)) + 'Drilling Spec'!$C$50)) - 'Drilling Spec'!$C$51)/(2*vB)</f>
        <v>723.46681615545504</v>
      </c>
      <c r="P99" s="18">
        <f>IFERROR(((S99-'Drilling Spec'!$C$30)/'Drilling Spec'!$C$31)*'Drilling Spec'!$C$32,0)</f>
        <v>38.608008969327301</v>
      </c>
      <c r="Q99" s="18">
        <f t="shared" si="35"/>
        <v>0</v>
      </c>
      <c r="R99" s="18"/>
      <c r="S99" s="26">
        <f>IF(AND(OR(T98=0,T98=""),M99=0),IF(M100=0,"",'Drilling Spec'!$C$30),O99)</f>
        <v>723.46681615545504</v>
      </c>
      <c r="U99" s="15">
        <f>E99*'Drilling Spec'!$C$22 + L99*'Drilling Spec'!$C$23</f>
        <v>0</v>
      </c>
      <c r="V99" s="15">
        <f t="shared" si="36"/>
        <v>19.572682926829266</v>
      </c>
      <c r="W99" s="15">
        <f t="shared" si="26"/>
        <v>4.4273170731707268</v>
      </c>
      <c r="X99" s="10"/>
      <c r="Y99" s="30">
        <f>IF(W99&lt;U100,'Drilling Spec'!$C$35,0)</f>
        <v>0</v>
      </c>
      <c r="AA99" s="4">
        <f t="shared" si="40"/>
        <v>46</v>
      </c>
      <c r="AB99" s="10"/>
      <c r="AC99" s="30">
        <f>IF('08-07-25-Scen7-GennyFail'!K100&gt;'08-07-25-Scen7-GennyFail'!AA99,'Drilling Spec'!$C$36,)</f>
        <v>0</v>
      </c>
      <c r="AE99" s="18">
        <f>(I99-'Drilling Spec'!$C$26)/'Drilling Spec'!$C$38</f>
        <v>108.99517641877463</v>
      </c>
      <c r="AF99" s="18">
        <f t="shared" si="27"/>
        <v>0</v>
      </c>
      <c r="AG99" s="34">
        <f t="shared" si="28"/>
        <v>0</v>
      </c>
      <c r="AH99" s="10"/>
      <c r="AI99" s="26">
        <f>IF(C99="Camp Closed",AG99,IF(AG99&lt;'Drilling Spec'!$C$39,,'Drilling Spec'!$C$39))</f>
        <v>0</v>
      </c>
      <c r="AL99" s="16">
        <f t="shared" si="29"/>
        <v>-723.9710585126478</v>
      </c>
      <c r="AM99" s="16">
        <f t="shared" si="30"/>
        <v>-723.46681615545504</v>
      </c>
      <c r="AN99">
        <f>-'Drilling Spec'!$C$29</f>
        <v>-720</v>
      </c>
      <c r="AO99">
        <f>-'Drilling Spec'!$C$27</f>
        <v>-624</v>
      </c>
      <c r="AP99">
        <f>-'Drilling Spec'!$C$28</f>
        <v>-688</v>
      </c>
      <c r="AQ99" t="e">
        <f t="shared" si="31"/>
        <v>#N/A</v>
      </c>
      <c r="AR99" t="e">
        <f>IF(X99=0,NA(),-'Drilling Spec'!$C$29*0.1)</f>
        <v>#N/A</v>
      </c>
      <c r="AS99" t="e">
        <f>IF(Y99=0,NA(),-'Drilling Spec'!$C$29*0.1)</f>
        <v>#N/A</v>
      </c>
      <c r="AT99" t="e">
        <f>IF(AB99=0,NA(),-'Drilling Spec'!$C$29*0.2)</f>
        <v>#N/A</v>
      </c>
      <c r="AU99" t="e">
        <f>IF(AC99=0,NA(),-'Drilling Spec'!$C$29*0.2)</f>
        <v>#N/A</v>
      </c>
      <c r="AV99" t="e">
        <f>IF(AH99=0,NA(),-'Drilling Spec'!$C$29*0.3)</f>
        <v>#N/A</v>
      </c>
      <c r="AW99" t="e">
        <f>IF(AI99=0,NA(),-'Drilling Spec'!$C$29*0.3)</f>
        <v>#N/A</v>
      </c>
      <c r="AX99" s="29">
        <f t="shared" si="32"/>
        <v>4.4273170731707268</v>
      </c>
      <c r="AY99" s="29">
        <f t="shared" si="33"/>
        <v>41.676605068484115</v>
      </c>
      <c r="AZ99" s="29">
        <f t="shared" si="37"/>
        <v>0</v>
      </c>
    </row>
    <row r="100" spans="1:52" x14ac:dyDescent="0.35">
      <c r="A100" s="28">
        <f t="shared" si="42"/>
        <v>46070</v>
      </c>
      <c r="B100" t="str">
        <f t="shared" si="20"/>
        <v>Tue</v>
      </c>
      <c r="C100" s="10"/>
      <c r="D100" s="10"/>
      <c r="E100" s="4">
        <f t="shared" si="21"/>
        <v>0</v>
      </c>
      <c r="F100" s="4">
        <f t="shared" si="22"/>
        <v>816</v>
      </c>
      <c r="G100" s="4">
        <f t="shared" si="23"/>
        <v>0</v>
      </c>
      <c r="H100" s="15">
        <f>(SQRT(4*I99*I99*V*V + 'Drilling Spec'!$C$42*I99 + W*('Drilling Spec'!$C$43 + 2*l*V*(s*W + 2*V*G100/(1+e)) + 'Drilling Spec'!$C$44)) - 'Drilling Spec'!$C$45)/(2*V)</f>
        <v>723.9710585126478</v>
      </c>
      <c r="I100" s="23">
        <f>IF(AND(OR(I99=0,I99=""),F100=0),IF(F101=0,"",'Drilling Spec'!$C$26),H100)</f>
        <v>723.9710585126478</v>
      </c>
      <c r="J100" s="16">
        <f>MAX(0,I100-'Drilling Spec'!$C$30)</f>
        <v>643.9710585126478</v>
      </c>
      <c r="K100" s="18">
        <f>IFERROR(J100/'Drilling Spec'!$C$31,0)</f>
        <v>42.931403900843186</v>
      </c>
      <c r="L100" s="21">
        <f t="shared" si="24"/>
        <v>0</v>
      </c>
      <c r="M100" s="4">
        <f t="shared" si="34"/>
        <v>132</v>
      </c>
      <c r="N100" s="21">
        <f t="shared" si="25"/>
        <v>0</v>
      </c>
      <c r="O100" s="18">
        <f>(SQRT(4*O99*O99*vB*vB + 'Drilling Spec'!$C$48*O99 + WB*('Drilling Spec'!$C$49 + 2*lB*vB*(sB*WB + 2*vB*N100/(1+eB)) + 'Drilling Spec'!$C$50)) - 'Drilling Spec'!$C$51)/(2*vB)</f>
        <v>723.46681615545504</v>
      </c>
      <c r="P100" s="18">
        <f>IFERROR(((S100-'Drilling Spec'!$C$30)/'Drilling Spec'!$C$31)*'Drilling Spec'!$C$32,0)</f>
        <v>38.608008969327301</v>
      </c>
      <c r="Q100" s="18">
        <f t="shared" si="35"/>
        <v>0</v>
      </c>
      <c r="R100" s="18"/>
      <c r="S100" s="26">
        <f>IF(AND(OR(T99=0,T99=""),M100=0),IF(M101=0,"",'Drilling Spec'!$C$30),O100)</f>
        <v>723.46681615545504</v>
      </c>
      <c r="U100" s="15">
        <f>E100*'Drilling Spec'!$C$22 + L100*'Drilling Spec'!$C$23</f>
        <v>0</v>
      </c>
      <c r="V100" s="15">
        <f t="shared" si="36"/>
        <v>19.572682926829266</v>
      </c>
      <c r="W100" s="15">
        <f t="shared" si="26"/>
        <v>4.4273170731707268</v>
      </c>
      <c r="X100" s="10"/>
      <c r="Y100" s="30">
        <f>IF(W100&lt;U101,'Drilling Spec'!$C$35,0)</f>
        <v>0</v>
      </c>
      <c r="AA100" s="4">
        <f t="shared" si="40"/>
        <v>46</v>
      </c>
      <c r="AB100" s="10"/>
      <c r="AC100" s="30">
        <f>IF('08-07-25-Scen7-GennyFail'!K101&gt;'08-07-25-Scen7-GennyFail'!AA100,'Drilling Spec'!$C$36,)</f>
        <v>0</v>
      </c>
      <c r="AE100" s="18">
        <f>(I100-'Drilling Spec'!$C$26)/'Drilling Spec'!$C$38</f>
        <v>108.99517641877463</v>
      </c>
      <c r="AF100" s="18">
        <f t="shared" si="27"/>
        <v>0</v>
      </c>
      <c r="AG100" s="34">
        <f t="shared" si="28"/>
        <v>0</v>
      </c>
      <c r="AH100" s="10"/>
      <c r="AI100" s="26">
        <f>IF(C100="Camp Closed",AG100,IF(AG100&lt;'Drilling Spec'!$C$39,,'Drilling Spec'!$C$39))</f>
        <v>0</v>
      </c>
      <c r="AL100" s="16">
        <f t="shared" si="29"/>
        <v>-723.9710585126478</v>
      </c>
      <c r="AM100" s="16">
        <f t="shared" si="30"/>
        <v>-723.46681615545504</v>
      </c>
      <c r="AN100">
        <f>-'Drilling Spec'!$C$29</f>
        <v>-720</v>
      </c>
      <c r="AO100">
        <f>-'Drilling Spec'!$C$27</f>
        <v>-624</v>
      </c>
      <c r="AP100">
        <f>-'Drilling Spec'!$C$28</f>
        <v>-688</v>
      </c>
      <c r="AQ100" t="e">
        <f t="shared" si="31"/>
        <v>#N/A</v>
      </c>
      <c r="AR100" t="e">
        <f>IF(X100=0,NA(),-'Drilling Spec'!$C$29*0.1)</f>
        <v>#N/A</v>
      </c>
      <c r="AS100" t="e">
        <f>IF(Y100=0,NA(),-'Drilling Spec'!$C$29*0.1)</f>
        <v>#N/A</v>
      </c>
      <c r="AT100" t="e">
        <f>IF(AB100=0,NA(),-'Drilling Spec'!$C$29*0.2)</f>
        <v>#N/A</v>
      </c>
      <c r="AU100" t="e">
        <f>IF(AC100=0,NA(),-'Drilling Spec'!$C$29*0.2)</f>
        <v>#N/A</v>
      </c>
      <c r="AV100" t="e">
        <f>IF(AH100=0,NA(),-'Drilling Spec'!$C$29*0.3)</f>
        <v>#N/A</v>
      </c>
      <c r="AW100" t="e">
        <f>IF(AI100=0,NA(),-'Drilling Spec'!$C$29*0.3)</f>
        <v>#N/A</v>
      </c>
      <c r="AX100" s="29">
        <f t="shared" si="32"/>
        <v>4.4273170731707268</v>
      </c>
      <c r="AY100" s="29">
        <f t="shared" si="33"/>
        <v>41.676605068484115</v>
      </c>
      <c r="AZ100" s="29">
        <f t="shared" si="37"/>
        <v>0</v>
      </c>
    </row>
    <row r="101" spans="1:52" x14ac:dyDescent="0.35">
      <c r="A101" s="28">
        <f t="shared" si="42"/>
        <v>46071</v>
      </c>
      <c r="B101" t="str">
        <f t="shared" si="20"/>
        <v>Wed</v>
      </c>
      <c r="C101" s="10"/>
      <c r="D101" s="10"/>
      <c r="E101" s="4">
        <f t="shared" si="21"/>
        <v>0</v>
      </c>
      <c r="F101" s="4">
        <f t="shared" si="22"/>
        <v>816</v>
      </c>
      <c r="G101" s="4">
        <f t="shared" si="23"/>
        <v>0</v>
      </c>
      <c r="H101" s="15">
        <f>(SQRT(4*I100*I100*V*V + 'Drilling Spec'!$C$42*I100 + W*('Drilling Spec'!$C$43 + 2*l*V*(s*W + 2*V*G101/(1+e)) + 'Drilling Spec'!$C$44)) - 'Drilling Spec'!$C$45)/(2*V)</f>
        <v>723.9710585126478</v>
      </c>
      <c r="I101" s="23">
        <f>IF(AND(OR(I100=0,I100=""),F101=0),IF(F102=0,"",'Drilling Spec'!$C$26),H101)</f>
        <v>723.9710585126478</v>
      </c>
      <c r="J101" s="16">
        <f>MAX(0,I101-'Drilling Spec'!$C$30)</f>
        <v>643.9710585126478</v>
      </c>
      <c r="K101" s="18">
        <f>IFERROR(J101/'Drilling Spec'!$C$31,0)</f>
        <v>42.931403900843186</v>
      </c>
      <c r="L101" s="21">
        <f t="shared" si="24"/>
        <v>0</v>
      </c>
      <c r="M101" s="4">
        <f t="shared" si="34"/>
        <v>132</v>
      </c>
      <c r="N101" s="21">
        <f t="shared" si="25"/>
        <v>0</v>
      </c>
      <c r="O101" s="18">
        <f>(SQRT(4*O100*O100*vB*vB + 'Drilling Spec'!$C$48*O100 + WB*('Drilling Spec'!$C$49 + 2*lB*vB*(sB*WB + 2*vB*N101/(1+eB)) + 'Drilling Spec'!$C$50)) - 'Drilling Spec'!$C$51)/(2*vB)</f>
        <v>723.46681615545504</v>
      </c>
      <c r="P101" s="18">
        <f>IFERROR(((S101-'Drilling Spec'!$C$30)/'Drilling Spec'!$C$31)*'Drilling Spec'!$C$32,0)</f>
        <v>38.608008969327301</v>
      </c>
      <c r="Q101" s="18">
        <f t="shared" si="35"/>
        <v>0</v>
      </c>
      <c r="R101" s="18"/>
      <c r="S101" s="26">
        <f>IF(AND(OR(T100=0,T100=""),M101=0),IF(M102=0,"",'Drilling Spec'!$C$30),O101)</f>
        <v>723.46681615545504</v>
      </c>
      <c r="U101" s="15">
        <f>E101*'Drilling Spec'!$C$22 + L101*'Drilling Spec'!$C$23</f>
        <v>0</v>
      </c>
      <c r="V101" s="15">
        <f t="shared" si="36"/>
        <v>19.572682926829266</v>
      </c>
      <c r="W101" s="15">
        <f t="shared" si="26"/>
        <v>4.4273170731707268</v>
      </c>
      <c r="X101" s="10"/>
      <c r="Y101" s="30">
        <f>IF(W101&lt;U102,'Drilling Spec'!$C$35,0)</f>
        <v>0</v>
      </c>
      <c r="AA101" s="4">
        <f t="shared" si="40"/>
        <v>46</v>
      </c>
      <c r="AB101" s="10"/>
      <c r="AC101" s="30">
        <f>IF('08-07-25-Scen7-GennyFail'!K102&gt;'08-07-25-Scen7-GennyFail'!AA101,'Drilling Spec'!$C$36,)</f>
        <v>0</v>
      </c>
      <c r="AE101" s="18">
        <f>(I101-'Drilling Spec'!$C$26)/'Drilling Spec'!$C$38</f>
        <v>108.99517641877463</v>
      </c>
      <c r="AF101" s="18">
        <f t="shared" si="27"/>
        <v>0</v>
      </c>
      <c r="AG101" s="34">
        <f t="shared" si="28"/>
        <v>0</v>
      </c>
      <c r="AH101" s="10"/>
      <c r="AI101" s="26">
        <f>IF(C101="Camp Closed",AG101,IF(AG101&lt;'Drilling Spec'!$C$39,,'Drilling Spec'!$C$39))</f>
        <v>0</v>
      </c>
      <c r="AL101" s="16">
        <f t="shared" si="29"/>
        <v>-723.9710585126478</v>
      </c>
      <c r="AM101" s="16">
        <f t="shared" si="30"/>
        <v>-723.46681615545504</v>
      </c>
      <c r="AN101">
        <f>-'Drilling Spec'!$C$29</f>
        <v>-720</v>
      </c>
      <c r="AO101">
        <f>-'Drilling Spec'!$C$27</f>
        <v>-624</v>
      </c>
      <c r="AP101">
        <f>-'Drilling Spec'!$C$28</f>
        <v>-688</v>
      </c>
      <c r="AQ101" t="e">
        <f t="shared" si="31"/>
        <v>#N/A</v>
      </c>
      <c r="AR101" t="e">
        <f>IF(X101=0,NA(),-'Drilling Spec'!$C$29*0.1)</f>
        <v>#N/A</v>
      </c>
      <c r="AS101" t="e">
        <f>IF(Y101=0,NA(),-'Drilling Spec'!$C$29*0.1)</f>
        <v>#N/A</v>
      </c>
      <c r="AT101" t="e">
        <f>IF(AB101=0,NA(),-'Drilling Spec'!$C$29*0.2)</f>
        <v>#N/A</v>
      </c>
      <c r="AU101" t="e">
        <f>IF(AC101=0,NA(),-'Drilling Spec'!$C$29*0.2)</f>
        <v>#N/A</v>
      </c>
      <c r="AV101" t="e">
        <f>IF(AH101=0,NA(),-'Drilling Spec'!$C$29*0.3)</f>
        <v>#N/A</v>
      </c>
      <c r="AW101" t="e">
        <f>IF(AI101=0,NA(),-'Drilling Spec'!$C$29*0.3)</f>
        <v>#N/A</v>
      </c>
      <c r="AX101" s="29">
        <f t="shared" si="32"/>
        <v>4.4273170731707268</v>
      </c>
      <c r="AY101" s="29">
        <f t="shared" si="33"/>
        <v>41.676605068484115</v>
      </c>
      <c r="AZ101" s="29">
        <f t="shared" si="37"/>
        <v>0</v>
      </c>
    </row>
    <row r="102" spans="1:52" x14ac:dyDescent="0.35">
      <c r="A102" s="28">
        <f t="shared" si="42"/>
        <v>46072</v>
      </c>
      <c r="B102" t="str">
        <f t="shared" si="20"/>
        <v>Thu</v>
      </c>
      <c r="C102" s="10"/>
      <c r="D102" s="10"/>
      <c r="E102" s="4">
        <f t="shared" si="21"/>
        <v>0</v>
      </c>
      <c r="F102" s="4">
        <f t="shared" si="22"/>
        <v>816</v>
      </c>
      <c r="G102" s="4">
        <f t="shared" si="23"/>
        <v>0</v>
      </c>
      <c r="H102" s="15">
        <f>(SQRT(4*I101*I101*V*V + 'Drilling Spec'!$C$42*I101 + W*('Drilling Spec'!$C$43 + 2*l*V*(s*W + 2*V*G102/(1+e)) + 'Drilling Spec'!$C$44)) - 'Drilling Spec'!$C$45)/(2*V)</f>
        <v>723.9710585126478</v>
      </c>
      <c r="I102" s="23">
        <f>IF(AND(OR(I101=0,I101=""),F102=0),IF(F103=0,"",'Drilling Spec'!$C$26),H102)</f>
        <v>723.9710585126478</v>
      </c>
      <c r="J102" s="16">
        <f>MAX(0,I102-'Drilling Spec'!$C$30)</f>
        <v>643.9710585126478</v>
      </c>
      <c r="K102" s="18">
        <f>IFERROR(J102/'Drilling Spec'!$C$31,0)</f>
        <v>42.931403900843186</v>
      </c>
      <c r="L102" s="21">
        <f t="shared" si="24"/>
        <v>0</v>
      </c>
      <c r="M102" s="4">
        <f t="shared" si="34"/>
        <v>132</v>
      </c>
      <c r="N102" s="21">
        <f t="shared" si="25"/>
        <v>0</v>
      </c>
      <c r="O102" s="18">
        <f>(SQRT(4*O101*O101*vB*vB + 'Drilling Spec'!$C$48*O101 + WB*('Drilling Spec'!$C$49 + 2*lB*vB*(sB*WB + 2*vB*N102/(1+eB)) + 'Drilling Spec'!$C$50)) - 'Drilling Spec'!$C$51)/(2*vB)</f>
        <v>723.46681615545504</v>
      </c>
      <c r="P102" s="18">
        <f>IFERROR(((S102-'Drilling Spec'!$C$30)/'Drilling Spec'!$C$31)*'Drilling Spec'!$C$32,0)</f>
        <v>38.608008969327301</v>
      </c>
      <c r="Q102" s="18">
        <f t="shared" si="35"/>
        <v>0</v>
      </c>
      <c r="R102" s="18"/>
      <c r="S102" s="26">
        <f>IF(AND(OR(T101=0,T101=""),M102=0),IF(M103=0,"",'Drilling Spec'!$C$30),O102)</f>
        <v>723.46681615545504</v>
      </c>
      <c r="U102" s="15">
        <f>E102*'Drilling Spec'!$C$22 + L102*'Drilling Spec'!$C$23</f>
        <v>0</v>
      </c>
      <c r="V102" s="15">
        <f t="shared" si="36"/>
        <v>19.572682926829266</v>
      </c>
      <c r="W102" s="15">
        <f t="shared" si="26"/>
        <v>4.4273170731707268</v>
      </c>
      <c r="X102" s="10"/>
      <c r="Y102" s="30">
        <f>IF(W102&lt;U103,'Drilling Spec'!$C$35,0)</f>
        <v>0</v>
      </c>
      <c r="AA102" s="4">
        <f t="shared" si="40"/>
        <v>46</v>
      </c>
      <c r="AB102" s="10"/>
      <c r="AC102" s="30">
        <f>IF('08-07-25-Scen7-GennyFail'!K103&gt;'08-07-25-Scen7-GennyFail'!AA102,'Drilling Spec'!$C$36,)</f>
        <v>0</v>
      </c>
      <c r="AE102" s="18">
        <f>(I102-'Drilling Spec'!$C$26)/'Drilling Spec'!$C$38</f>
        <v>108.99517641877463</v>
      </c>
      <c r="AF102" s="18">
        <f t="shared" si="27"/>
        <v>0</v>
      </c>
      <c r="AG102" s="34">
        <f t="shared" si="28"/>
        <v>0</v>
      </c>
      <c r="AH102" s="10"/>
      <c r="AI102" s="26">
        <f>IF(C102="Camp Closed",AG102,IF(AG102&lt;'Drilling Spec'!$C$39,,'Drilling Spec'!$C$39))</f>
        <v>0</v>
      </c>
      <c r="AL102" s="16">
        <f t="shared" si="29"/>
        <v>-723.9710585126478</v>
      </c>
      <c r="AM102" s="16">
        <f t="shared" si="30"/>
        <v>-723.46681615545504</v>
      </c>
      <c r="AN102">
        <f>-'Drilling Spec'!$C$29</f>
        <v>-720</v>
      </c>
      <c r="AO102">
        <f>-'Drilling Spec'!$C$27</f>
        <v>-624</v>
      </c>
      <c r="AP102">
        <f>-'Drilling Spec'!$C$28</f>
        <v>-688</v>
      </c>
      <c r="AQ102" t="e">
        <f t="shared" si="31"/>
        <v>#N/A</v>
      </c>
      <c r="AR102" t="e">
        <f>IF(X102=0,NA(),-'Drilling Spec'!$C$29*0.1)</f>
        <v>#N/A</v>
      </c>
      <c r="AS102" t="e">
        <f>IF(Y102=0,NA(),-'Drilling Spec'!$C$29*0.1)</f>
        <v>#N/A</v>
      </c>
      <c r="AT102" t="e">
        <f>IF(AB102=0,NA(),-'Drilling Spec'!$C$29*0.2)</f>
        <v>#N/A</v>
      </c>
      <c r="AU102" t="e">
        <f>IF(AC102=0,NA(),-'Drilling Spec'!$C$29*0.2)</f>
        <v>#N/A</v>
      </c>
      <c r="AV102" t="e">
        <f>IF(AH102=0,NA(),-'Drilling Spec'!$C$29*0.3)</f>
        <v>#N/A</v>
      </c>
      <c r="AW102" t="e">
        <f>IF(AI102=0,NA(),-'Drilling Spec'!$C$29*0.3)</f>
        <v>#N/A</v>
      </c>
      <c r="AX102" s="29">
        <f t="shared" si="32"/>
        <v>4.4273170731707268</v>
      </c>
      <c r="AY102" s="29">
        <f t="shared" si="33"/>
        <v>41.676605068484115</v>
      </c>
      <c r="AZ102" s="29">
        <f t="shared" si="37"/>
        <v>0</v>
      </c>
    </row>
    <row r="103" spans="1:52" x14ac:dyDescent="0.35">
      <c r="A103" s="28">
        <f t="shared" si="42"/>
        <v>46073</v>
      </c>
      <c r="B103" t="str">
        <f t="shared" si="20"/>
        <v>Fri</v>
      </c>
      <c r="C103" s="10"/>
      <c r="D103" s="10"/>
      <c r="E103" s="4">
        <f t="shared" si="21"/>
        <v>0</v>
      </c>
      <c r="F103" s="4">
        <f t="shared" si="22"/>
        <v>816</v>
      </c>
      <c r="G103" s="4">
        <f t="shared" si="23"/>
        <v>0</v>
      </c>
      <c r="H103" s="15">
        <f>(SQRT(4*I102*I102*V*V + 'Drilling Spec'!$C$42*I102 + W*('Drilling Spec'!$C$43 + 2*l*V*(s*W + 2*V*G103/(1+e)) + 'Drilling Spec'!$C$44)) - 'Drilling Spec'!$C$45)/(2*V)</f>
        <v>723.9710585126478</v>
      </c>
      <c r="I103" s="23">
        <f>IF(AND(OR(I102=0,I102=""),F103=0),IF(F104=0,"",'Drilling Spec'!$C$26),H103)</f>
        <v>723.9710585126478</v>
      </c>
      <c r="J103" s="16">
        <f>MAX(0,I103-'Drilling Spec'!$C$30)</f>
        <v>643.9710585126478</v>
      </c>
      <c r="K103" s="18">
        <f>IFERROR(J103/'Drilling Spec'!$C$31,0)</f>
        <v>42.931403900843186</v>
      </c>
      <c r="L103" s="21">
        <f t="shared" si="24"/>
        <v>0</v>
      </c>
      <c r="M103" s="4">
        <f t="shared" si="34"/>
        <v>132</v>
      </c>
      <c r="N103" s="21">
        <f t="shared" si="25"/>
        <v>0</v>
      </c>
      <c r="O103" s="18">
        <f>(SQRT(4*O102*O102*vB*vB + 'Drilling Spec'!$C$48*O102 + WB*('Drilling Spec'!$C$49 + 2*lB*vB*(sB*WB + 2*vB*N103/(1+eB)) + 'Drilling Spec'!$C$50)) - 'Drilling Spec'!$C$51)/(2*vB)</f>
        <v>723.46681615545504</v>
      </c>
      <c r="P103" s="18">
        <f>IFERROR(((S103-'Drilling Spec'!$C$30)/'Drilling Spec'!$C$31)*'Drilling Spec'!$C$32,0)</f>
        <v>38.608008969327301</v>
      </c>
      <c r="Q103" s="18">
        <f t="shared" si="35"/>
        <v>0</v>
      </c>
      <c r="R103" s="18"/>
      <c r="S103" s="26">
        <f>IF(AND(OR(T102=0,T102=""),M103=0),IF(M104=0,"",'Drilling Spec'!$C$30),O103)</f>
        <v>723.46681615545504</v>
      </c>
      <c r="U103" s="15">
        <f>E103*'Drilling Spec'!$C$22 + L103*'Drilling Spec'!$C$23</f>
        <v>0</v>
      </c>
      <c r="V103" s="15">
        <f t="shared" si="36"/>
        <v>19.572682926829266</v>
      </c>
      <c r="W103" s="15">
        <f t="shared" si="26"/>
        <v>4.4273170731707268</v>
      </c>
      <c r="X103" s="10"/>
      <c r="Y103" s="30">
        <f>IF(W103&lt;U104,'Drilling Spec'!$C$35,0)</f>
        <v>0</v>
      </c>
      <c r="AA103" s="4">
        <f t="shared" si="40"/>
        <v>46</v>
      </c>
      <c r="AB103" s="10"/>
      <c r="AC103" s="30">
        <f>IF('08-07-25-Scen7-GennyFail'!K104&gt;'08-07-25-Scen7-GennyFail'!AA103,'Drilling Spec'!$C$36,)</f>
        <v>0</v>
      </c>
      <c r="AE103" s="18">
        <f>(I103-'Drilling Spec'!$C$26)/'Drilling Spec'!$C$38</f>
        <v>108.99517641877463</v>
      </c>
      <c r="AF103" s="18">
        <f t="shared" si="27"/>
        <v>0</v>
      </c>
      <c r="AG103" s="34">
        <f t="shared" si="28"/>
        <v>0</v>
      </c>
      <c r="AH103" s="10"/>
      <c r="AI103" s="26">
        <f>IF(C103="Camp Closed",AG103,IF(AG103&lt;'Drilling Spec'!$C$39,,'Drilling Spec'!$C$39))</f>
        <v>0</v>
      </c>
      <c r="AL103" s="16">
        <f t="shared" si="29"/>
        <v>-723.9710585126478</v>
      </c>
      <c r="AM103" s="16">
        <f t="shared" si="30"/>
        <v>-723.46681615545504</v>
      </c>
      <c r="AN103">
        <f>-'Drilling Spec'!$C$29</f>
        <v>-720</v>
      </c>
      <c r="AO103">
        <f>-'Drilling Spec'!$C$27</f>
        <v>-624</v>
      </c>
      <c r="AP103">
        <f>-'Drilling Spec'!$C$28</f>
        <v>-688</v>
      </c>
      <c r="AQ103" t="e">
        <f t="shared" si="31"/>
        <v>#N/A</v>
      </c>
      <c r="AR103" t="e">
        <f>IF(X103=0,NA(),-'Drilling Spec'!$C$29*0.1)</f>
        <v>#N/A</v>
      </c>
      <c r="AS103" t="e">
        <f>IF(Y103=0,NA(),-'Drilling Spec'!$C$29*0.1)</f>
        <v>#N/A</v>
      </c>
      <c r="AT103" t="e">
        <f>IF(AB103=0,NA(),-'Drilling Spec'!$C$29*0.2)</f>
        <v>#N/A</v>
      </c>
      <c r="AU103" t="e">
        <f>IF(AC103=0,NA(),-'Drilling Spec'!$C$29*0.2)</f>
        <v>#N/A</v>
      </c>
      <c r="AV103" t="e">
        <f>IF(AH103=0,NA(),-'Drilling Spec'!$C$29*0.3)</f>
        <v>#N/A</v>
      </c>
      <c r="AW103" t="e">
        <f>IF(AI103=0,NA(),-'Drilling Spec'!$C$29*0.3)</f>
        <v>#N/A</v>
      </c>
      <c r="AX103" s="29">
        <f t="shared" si="32"/>
        <v>4.4273170731707268</v>
      </c>
      <c r="AY103" s="29">
        <f t="shared" si="33"/>
        <v>41.676605068484115</v>
      </c>
      <c r="AZ103" s="29">
        <f t="shared" si="37"/>
        <v>0</v>
      </c>
    </row>
    <row r="104" spans="1:52" x14ac:dyDescent="0.35">
      <c r="A104" s="28">
        <f t="shared" si="42"/>
        <v>46074</v>
      </c>
      <c r="B104" t="str">
        <f t="shared" si="20"/>
        <v>Sat</v>
      </c>
      <c r="C104" s="10"/>
      <c r="D104" s="10"/>
      <c r="E104" s="4">
        <f t="shared" si="21"/>
        <v>0</v>
      </c>
      <c r="F104" s="4">
        <f t="shared" si="22"/>
        <v>816</v>
      </c>
      <c r="G104" s="4">
        <f t="shared" si="23"/>
        <v>0</v>
      </c>
      <c r="H104" s="15">
        <f>(SQRT(4*I103*I103*V*V + 'Drilling Spec'!$C$42*I103 + W*('Drilling Spec'!$C$43 + 2*l*V*(s*W + 2*V*G104/(1+e)) + 'Drilling Spec'!$C$44)) - 'Drilling Spec'!$C$45)/(2*V)</f>
        <v>723.9710585126478</v>
      </c>
      <c r="I104" s="23">
        <f>IF(AND(OR(I103=0,I103=""),F104=0),IF(F105=0,"",'Drilling Spec'!$C$26),H104)</f>
        <v>723.9710585126478</v>
      </c>
      <c r="J104" s="16">
        <f>MAX(0,I104-'Drilling Spec'!$C$30)</f>
        <v>643.9710585126478</v>
      </c>
      <c r="K104" s="18">
        <f>IFERROR(J104/'Drilling Spec'!$C$31,0)</f>
        <v>42.931403900843186</v>
      </c>
      <c r="L104" s="21">
        <f t="shared" si="24"/>
        <v>0</v>
      </c>
      <c r="M104" s="4">
        <f t="shared" si="34"/>
        <v>132</v>
      </c>
      <c r="N104" s="21">
        <f t="shared" si="25"/>
        <v>0</v>
      </c>
      <c r="O104" s="18">
        <f>(SQRT(4*O103*O103*vB*vB + 'Drilling Spec'!$C$48*O103 + WB*('Drilling Spec'!$C$49 + 2*lB*vB*(sB*WB + 2*vB*N104/(1+eB)) + 'Drilling Spec'!$C$50)) - 'Drilling Spec'!$C$51)/(2*vB)</f>
        <v>723.46681615545504</v>
      </c>
      <c r="P104" s="18">
        <f>IFERROR(((S104-'Drilling Spec'!$C$30)/'Drilling Spec'!$C$31)*'Drilling Spec'!$C$32,0)</f>
        <v>38.608008969327301</v>
      </c>
      <c r="Q104" s="18">
        <f t="shared" si="35"/>
        <v>0</v>
      </c>
      <c r="R104" s="18"/>
      <c r="S104" s="26">
        <f>IF(AND(OR(T103=0,T103=""),M104=0),IF(M105=0,"",'Drilling Spec'!$C$30),O104)</f>
        <v>723.46681615545504</v>
      </c>
      <c r="U104" s="15">
        <f>E104*'Drilling Spec'!$C$22 + L104*'Drilling Spec'!$C$23</f>
        <v>0</v>
      </c>
      <c r="V104" s="15">
        <f t="shared" si="36"/>
        <v>19.572682926829266</v>
      </c>
      <c r="W104" s="15">
        <f t="shared" si="26"/>
        <v>4.4273170731707268</v>
      </c>
      <c r="X104" s="10"/>
      <c r="Y104" s="30">
        <f>IF(W104&lt;U105,'Drilling Spec'!$C$35,0)</f>
        <v>0</v>
      </c>
      <c r="AA104" s="4">
        <f t="shared" si="40"/>
        <v>46</v>
      </c>
      <c r="AB104" s="10"/>
      <c r="AC104" s="30">
        <f>IF('08-07-25-Scen7-GennyFail'!K105&gt;'08-07-25-Scen7-GennyFail'!AA104,'Drilling Spec'!$C$36,)</f>
        <v>0</v>
      </c>
      <c r="AE104" s="18">
        <f>(I104-'Drilling Spec'!$C$26)/'Drilling Spec'!$C$38</f>
        <v>108.99517641877463</v>
      </c>
      <c r="AF104" s="18">
        <f t="shared" si="27"/>
        <v>0</v>
      </c>
      <c r="AG104" s="34">
        <f t="shared" si="28"/>
        <v>0</v>
      </c>
      <c r="AH104" s="10"/>
      <c r="AI104" s="26">
        <f>IF(C104="Camp Closed",AG104,IF(AG104&lt;'Drilling Spec'!$C$39,,'Drilling Spec'!$C$39))</f>
        <v>0</v>
      </c>
      <c r="AL104" s="16">
        <f t="shared" si="29"/>
        <v>-723.9710585126478</v>
      </c>
      <c r="AM104" s="16">
        <f t="shared" si="30"/>
        <v>-723.46681615545504</v>
      </c>
      <c r="AN104">
        <f>-'Drilling Spec'!$C$29</f>
        <v>-720</v>
      </c>
      <c r="AO104">
        <f>-'Drilling Spec'!$C$27</f>
        <v>-624</v>
      </c>
      <c r="AP104">
        <f>-'Drilling Spec'!$C$28</f>
        <v>-688</v>
      </c>
      <c r="AQ104" t="e">
        <f t="shared" si="31"/>
        <v>#N/A</v>
      </c>
      <c r="AR104" t="e">
        <f>IF(X104=0,NA(),-'Drilling Spec'!$C$29*0.1)</f>
        <v>#N/A</v>
      </c>
      <c r="AS104" t="e">
        <f>IF(Y104=0,NA(),-'Drilling Spec'!$C$29*0.1)</f>
        <v>#N/A</v>
      </c>
      <c r="AT104" t="e">
        <f>IF(AB104=0,NA(),-'Drilling Spec'!$C$29*0.2)</f>
        <v>#N/A</v>
      </c>
      <c r="AU104" t="e">
        <f>IF(AC104=0,NA(),-'Drilling Spec'!$C$29*0.2)</f>
        <v>#N/A</v>
      </c>
      <c r="AV104" t="e">
        <f>IF(AH104=0,NA(),-'Drilling Spec'!$C$29*0.3)</f>
        <v>#N/A</v>
      </c>
      <c r="AW104" t="e">
        <f>IF(AI104=0,NA(),-'Drilling Spec'!$C$29*0.3)</f>
        <v>#N/A</v>
      </c>
      <c r="AX104" s="29">
        <f t="shared" si="32"/>
        <v>4.4273170731707268</v>
      </c>
      <c r="AY104" s="29">
        <f t="shared" si="33"/>
        <v>41.676605068484115</v>
      </c>
      <c r="AZ104" s="29">
        <f t="shared" si="37"/>
        <v>0</v>
      </c>
    </row>
    <row r="105" spans="1:52" x14ac:dyDescent="0.35">
      <c r="A105" s="28">
        <f t="shared" si="42"/>
        <v>46075</v>
      </c>
      <c r="B105" t="str">
        <f t="shared" si="20"/>
        <v>Sun</v>
      </c>
      <c r="C105" s="10"/>
      <c r="D105" s="10"/>
      <c r="E105" s="4">
        <f t="shared" si="21"/>
        <v>0</v>
      </c>
      <c r="F105" s="4">
        <f t="shared" si="22"/>
        <v>816</v>
      </c>
      <c r="G105" s="4">
        <f t="shared" si="23"/>
        <v>0</v>
      </c>
      <c r="H105" s="15">
        <f>(SQRT(4*I104*I104*V*V + 'Drilling Spec'!$C$42*I104 + W*('Drilling Spec'!$C$43 + 2*l*V*(s*W + 2*V*G105/(1+e)) + 'Drilling Spec'!$C$44)) - 'Drilling Spec'!$C$45)/(2*V)</f>
        <v>723.9710585126478</v>
      </c>
      <c r="I105" s="23">
        <f>IF(AND(OR(I104=0,I104=""),F105=0),IF(F106=0,"",'Drilling Spec'!$C$26),H105)</f>
        <v>723.9710585126478</v>
      </c>
      <c r="J105" s="16">
        <f>MAX(0,I105-'Drilling Spec'!$C$30)</f>
        <v>643.9710585126478</v>
      </c>
      <c r="K105" s="18">
        <f>IFERROR(J105/'Drilling Spec'!$C$31,0)</f>
        <v>42.931403900843186</v>
      </c>
      <c r="L105" s="21">
        <f t="shared" si="24"/>
        <v>0</v>
      </c>
      <c r="M105" s="4">
        <f t="shared" si="34"/>
        <v>132</v>
      </c>
      <c r="N105" s="21">
        <f t="shared" si="25"/>
        <v>0</v>
      </c>
      <c r="O105" s="18">
        <f>(SQRT(4*O104*O104*vB*vB + 'Drilling Spec'!$C$48*O104 + WB*('Drilling Spec'!$C$49 + 2*lB*vB*(sB*WB + 2*vB*N105/(1+eB)) + 'Drilling Spec'!$C$50)) - 'Drilling Spec'!$C$51)/(2*vB)</f>
        <v>723.46681615545504</v>
      </c>
      <c r="P105" s="18">
        <f>IFERROR(((S105-'Drilling Spec'!$C$30)/'Drilling Spec'!$C$31)*'Drilling Spec'!$C$32,0)</f>
        <v>38.608008969327301</v>
      </c>
      <c r="Q105" s="18">
        <f t="shared" si="35"/>
        <v>0</v>
      </c>
      <c r="R105" s="18"/>
      <c r="S105" s="26">
        <f>IF(AND(OR(T104=0,T104=""),M105=0),IF(M106=0,"",'Drilling Spec'!$C$30),O105)</f>
        <v>723.46681615545504</v>
      </c>
      <c r="U105" s="15">
        <f>E105*'Drilling Spec'!$C$22 + L105*'Drilling Spec'!$C$23</f>
        <v>0</v>
      </c>
      <c r="V105" s="15">
        <f t="shared" si="36"/>
        <v>19.572682926829266</v>
      </c>
      <c r="W105" s="15">
        <f t="shared" si="26"/>
        <v>4.4273170731707268</v>
      </c>
      <c r="X105" s="10"/>
      <c r="Y105" s="30">
        <f>IF(W105&lt;U106,'Drilling Spec'!$C$35,0)</f>
        <v>0</v>
      </c>
      <c r="AA105" s="4">
        <f t="shared" si="40"/>
        <v>46</v>
      </c>
      <c r="AB105" s="10"/>
      <c r="AC105" s="30">
        <f>IF('08-07-25-Scen7-GennyFail'!K106&gt;'08-07-25-Scen7-GennyFail'!AA105,'Drilling Spec'!$C$36,)</f>
        <v>0</v>
      </c>
      <c r="AE105" s="18">
        <f>(I105-'Drilling Spec'!$C$26)/'Drilling Spec'!$C$38</f>
        <v>108.99517641877463</v>
      </c>
      <c r="AF105" s="18">
        <f t="shared" si="27"/>
        <v>0</v>
      </c>
      <c r="AG105" s="34">
        <f t="shared" si="28"/>
        <v>0</v>
      </c>
      <c r="AH105" s="10"/>
      <c r="AI105" s="26">
        <f>IF(C105="Camp Closed",AG105,IF(AG105&lt;'Drilling Spec'!$C$39,,'Drilling Spec'!$C$39))</f>
        <v>0</v>
      </c>
      <c r="AL105" s="16">
        <f t="shared" si="29"/>
        <v>-723.9710585126478</v>
      </c>
      <c r="AM105" s="16">
        <f t="shared" si="30"/>
        <v>-723.46681615545504</v>
      </c>
      <c r="AN105">
        <f>-'Drilling Spec'!$C$29</f>
        <v>-720</v>
      </c>
      <c r="AO105">
        <f>-'Drilling Spec'!$C$27</f>
        <v>-624</v>
      </c>
      <c r="AP105">
        <f>-'Drilling Spec'!$C$28</f>
        <v>-688</v>
      </c>
      <c r="AQ105" t="e">
        <f t="shared" si="31"/>
        <v>#N/A</v>
      </c>
      <c r="AR105" t="e">
        <f>IF(X105=0,NA(),-'Drilling Spec'!$C$29*0.1)</f>
        <v>#N/A</v>
      </c>
      <c r="AS105" t="e">
        <f>IF(Y105=0,NA(),-'Drilling Spec'!$C$29*0.1)</f>
        <v>#N/A</v>
      </c>
      <c r="AT105" t="e">
        <f>IF(AB105=0,NA(),-'Drilling Spec'!$C$29*0.2)</f>
        <v>#N/A</v>
      </c>
      <c r="AU105" t="e">
        <f>IF(AC105=0,NA(),-'Drilling Spec'!$C$29*0.2)</f>
        <v>#N/A</v>
      </c>
      <c r="AV105" t="e">
        <f>IF(AH105=0,NA(),-'Drilling Spec'!$C$29*0.3)</f>
        <v>#N/A</v>
      </c>
      <c r="AW105" t="e">
        <f>IF(AI105=0,NA(),-'Drilling Spec'!$C$29*0.3)</f>
        <v>#N/A</v>
      </c>
      <c r="AX105" s="29">
        <f t="shared" si="32"/>
        <v>4.4273170731707268</v>
      </c>
      <c r="AY105" s="29">
        <f t="shared" si="33"/>
        <v>41.676605068484115</v>
      </c>
      <c r="AZ105" s="29">
        <f t="shared" si="37"/>
        <v>0</v>
      </c>
    </row>
    <row r="106" spans="1:52" x14ac:dyDescent="0.35">
      <c r="A106" s="28">
        <f t="shared" si="42"/>
        <v>46076</v>
      </c>
      <c r="B106" t="str">
        <f t="shared" si="20"/>
        <v>Mon</v>
      </c>
      <c r="C106" s="10"/>
      <c r="D106" s="10"/>
      <c r="E106" s="4">
        <f t="shared" si="21"/>
        <v>0</v>
      </c>
      <c r="F106" s="4">
        <f t="shared" si="22"/>
        <v>816</v>
      </c>
      <c r="G106" s="4">
        <f t="shared" si="23"/>
        <v>0</v>
      </c>
      <c r="H106" s="15">
        <f>(SQRT(4*I105*I105*V*V + 'Drilling Spec'!$C$42*I105 + W*('Drilling Spec'!$C$43 + 2*l*V*(s*W + 2*V*G106/(1+e)) + 'Drilling Spec'!$C$44)) - 'Drilling Spec'!$C$45)/(2*V)</f>
        <v>723.9710585126478</v>
      </c>
      <c r="I106" s="23">
        <f>IF(AND(OR(I105=0,I105=""),F106=0),IF(F107=0,"",'Drilling Spec'!$C$26),H106)</f>
        <v>723.9710585126478</v>
      </c>
      <c r="J106" s="16">
        <f>MAX(0,I106-'Drilling Spec'!$C$30)</f>
        <v>643.9710585126478</v>
      </c>
      <c r="K106" s="18">
        <f>IFERROR(J106/'Drilling Spec'!$C$31,0)</f>
        <v>42.931403900843186</v>
      </c>
      <c r="L106" s="21">
        <f t="shared" si="24"/>
        <v>0</v>
      </c>
      <c r="M106" s="4">
        <f t="shared" si="34"/>
        <v>132</v>
      </c>
      <c r="N106" s="21">
        <f t="shared" si="25"/>
        <v>0</v>
      </c>
      <c r="O106" s="18">
        <f>(SQRT(4*O105*O105*vB*vB + 'Drilling Spec'!$C$48*O105 + WB*('Drilling Spec'!$C$49 + 2*lB*vB*(sB*WB + 2*vB*N106/(1+eB)) + 'Drilling Spec'!$C$50)) - 'Drilling Spec'!$C$51)/(2*vB)</f>
        <v>723.46681615545504</v>
      </c>
      <c r="P106" s="18">
        <f>IFERROR(((S106-'Drilling Spec'!$C$30)/'Drilling Spec'!$C$31)*'Drilling Spec'!$C$32,0)</f>
        <v>38.608008969327301</v>
      </c>
      <c r="Q106" s="18">
        <f t="shared" si="35"/>
        <v>0</v>
      </c>
      <c r="R106" s="18"/>
      <c r="S106" s="26">
        <f>IF(AND(OR(T105=0,T105=""),M106=0),IF(M107=0,"",'Drilling Spec'!$C$30),O106)</f>
        <v>723.46681615545504</v>
      </c>
      <c r="U106" s="15">
        <f>E106*'Drilling Spec'!$C$22 + L106*'Drilling Spec'!$C$23</f>
        <v>0</v>
      </c>
      <c r="V106" s="15">
        <f t="shared" si="36"/>
        <v>19.572682926829266</v>
      </c>
      <c r="W106" s="15">
        <f t="shared" si="26"/>
        <v>4.4273170731707268</v>
      </c>
      <c r="X106" s="10"/>
      <c r="Y106" s="30">
        <f>IF(W106&lt;U107,'Drilling Spec'!$C$35,0)</f>
        <v>0</v>
      </c>
      <c r="AA106" s="4">
        <f t="shared" si="40"/>
        <v>46</v>
      </c>
      <c r="AB106" s="10"/>
      <c r="AC106" s="30">
        <f>IF('08-07-25-Scen7-GennyFail'!K107&gt;'08-07-25-Scen7-GennyFail'!AA106,'Drilling Spec'!$C$36,)</f>
        <v>0</v>
      </c>
      <c r="AE106" s="18">
        <f>(I106-'Drilling Spec'!$C$26)/'Drilling Spec'!$C$38</f>
        <v>108.99517641877463</v>
      </c>
      <c r="AF106" s="18">
        <f t="shared" si="27"/>
        <v>0</v>
      </c>
      <c r="AG106" s="34">
        <f t="shared" si="28"/>
        <v>0</v>
      </c>
      <c r="AH106" s="10"/>
      <c r="AI106" s="26">
        <f>IF(C106="Camp Closed",AG106,IF(AG106&lt;'Drilling Spec'!$C$39,,'Drilling Spec'!$C$39))</f>
        <v>0</v>
      </c>
      <c r="AL106" s="16">
        <f t="shared" si="29"/>
        <v>-723.9710585126478</v>
      </c>
      <c r="AM106" s="16">
        <f t="shared" si="30"/>
        <v>-723.46681615545504</v>
      </c>
      <c r="AN106">
        <f>-'Drilling Spec'!$C$29</f>
        <v>-720</v>
      </c>
      <c r="AO106">
        <f>-'Drilling Spec'!$C$27</f>
        <v>-624</v>
      </c>
      <c r="AP106">
        <f>-'Drilling Spec'!$C$28</f>
        <v>-688</v>
      </c>
      <c r="AQ106" t="e">
        <f t="shared" si="31"/>
        <v>#N/A</v>
      </c>
      <c r="AR106" t="e">
        <f>IF(X106=0,NA(),-'Drilling Spec'!$C$29*0.1)</f>
        <v>#N/A</v>
      </c>
      <c r="AS106" t="e">
        <f>IF(Y106=0,NA(),-'Drilling Spec'!$C$29*0.1)</f>
        <v>#N/A</v>
      </c>
      <c r="AT106" t="e">
        <f>IF(AB106=0,NA(),-'Drilling Spec'!$C$29*0.2)</f>
        <v>#N/A</v>
      </c>
      <c r="AU106" t="e">
        <f>IF(AC106=0,NA(),-'Drilling Spec'!$C$29*0.2)</f>
        <v>#N/A</v>
      </c>
      <c r="AV106" t="e">
        <f>IF(AH106=0,NA(),-'Drilling Spec'!$C$29*0.3)</f>
        <v>#N/A</v>
      </c>
      <c r="AW106" t="e">
        <f>IF(AI106=0,NA(),-'Drilling Spec'!$C$29*0.3)</f>
        <v>#N/A</v>
      </c>
      <c r="AX106" s="29">
        <f t="shared" si="32"/>
        <v>4.4273170731707268</v>
      </c>
      <c r="AY106" s="29">
        <f t="shared" si="33"/>
        <v>41.676605068484115</v>
      </c>
      <c r="AZ106" s="29">
        <f t="shared" si="37"/>
        <v>0</v>
      </c>
    </row>
    <row r="107" spans="1:52" x14ac:dyDescent="0.35">
      <c r="A107" s="28">
        <f t="shared" si="42"/>
        <v>46077</v>
      </c>
      <c r="B107" t="str">
        <f t="shared" si="20"/>
        <v>Tue</v>
      </c>
      <c r="C107" s="10"/>
      <c r="D107" s="10"/>
      <c r="E107" s="4">
        <f t="shared" si="21"/>
        <v>0</v>
      </c>
      <c r="F107" s="4">
        <f t="shared" si="22"/>
        <v>816</v>
      </c>
      <c r="G107" s="4">
        <f t="shared" si="23"/>
        <v>0</v>
      </c>
      <c r="H107" s="15">
        <f>(SQRT(4*I106*I106*V*V + 'Drilling Spec'!$C$42*I106 + W*('Drilling Spec'!$C$43 + 2*l*V*(s*W + 2*V*G107/(1+e)) + 'Drilling Spec'!$C$44)) - 'Drilling Spec'!$C$45)/(2*V)</f>
        <v>723.9710585126478</v>
      </c>
      <c r="I107" s="23">
        <f>IF(AND(OR(I106=0,I106=""),F107=0),IF(F108=0,"",'Drilling Spec'!$C$26),H107)</f>
        <v>723.9710585126478</v>
      </c>
      <c r="J107" s="16">
        <f>MAX(0,I107-'Drilling Spec'!$C$30)</f>
        <v>643.9710585126478</v>
      </c>
      <c r="K107" s="18">
        <f>IFERROR(J107/'Drilling Spec'!$C$31,0)</f>
        <v>42.931403900843186</v>
      </c>
      <c r="L107" s="21">
        <f t="shared" si="24"/>
        <v>0</v>
      </c>
      <c r="M107" s="4">
        <f t="shared" si="34"/>
        <v>132</v>
      </c>
      <c r="N107" s="21">
        <f t="shared" si="25"/>
        <v>0</v>
      </c>
      <c r="O107" s="18">
        <f>(SQRT(4*O106*O106*vB*vB + 'Drilling Spec'!$C$48*O106 + WB*('Drilling Spec'!$C$49 + 2*lB*vB*(sB*WB + 2*vB*N107/(1+eB)) + 'Drilling Spec'!$C$50)) - 'Drilling Spec'!$C$51)/(2*vB)</f>
        <v>723.46681615545504</v>
      </c>
      <c r="P107" s="18">
        <f>IFERROR(((S107-'Drilling Spec'!$C$30)/'Drilling Spec'!$C$31)*'Drilling Spec'!$C$32,0)</f>
        <v>38.608008969327301</v>
      </c>
      <c r="Q107" s="18">
        <f t="shared" si="35"/>
        <v>0</v>
      </c>
      <c r="R107" s="18"/>
      <c r="S107" s="26">
        <f>IF(AND(OR(T106=0,T106=""),M107=0),IF(M108=0,"",'Drilling Spec'!$C$30),O107)</f>
        <v>723.46681615545504</v>
      </c>
      <c r="U107" s="15">
        <f>E107*'Drilling Spec'!$C$22 + L107*'Drilling Spec'!$C$23</f>
        <v>0</v>
      </c>
      <c r="V107" s="15">
        <f t="shared" si="36"/>
        <v>19.572682926829266</v>
      </c>
      <c r="W107" s="15">
        <f t="shared" si="26"/>
        <v>4.4273170731707268</v>
      </c>
      <c r="X107" s="10"/>
      <c r="Y107" s="30">
        <f>IF(W107&lt;U108,'Drilling Spec'!$C$35,0)</f>
        <v>0</v>
      </c>
      <c r="AA107" s="4">
        <f t="shared" si="40"/>
        <v>46</v>
      </c>
      <c r="AB107" s="10"/>
      <c r="AC107" s="30">
        <f>IF('08-07-25-Scen7-GennyFail'!K108&gt;'08-07-25-Scen7-GennyFail'!AA107,'Drilling Spec'!$C$36,)</f>
        <v>0</v>
      </c>
      <c r="AE107" s="18">
        <f>(I107-'Drilling Spec'!$C$26)/'Drilling Spec'!$C$38</f>
        <v>108.99517641877463</v>
      </c>
      <c r="AF107" s="18">
        <f t="shared" si="27"/>
        <v>0</v>
      </c>
      <c r="AG107" s="34">
        <f t="shared" si="28"/>
        <v>0</v>
      </c>
      <c r="AH107" s="10"/>
      <c r="AI107" s="26">
        <f>IF(C107="Camp Closed",AG107,IF(AG107&lt;'Drilling Spec'!$C$39,,'Drilling Spec'!$C$39))</f>
        <v>0</v>
      </c>
      <c r="AL107" s="16">
        <f t="shared" si="29"/>
        <v>-723.9710585126478</v>
      </c>
      <c r="AM107" s="16">
        <f t="shared" si="30"/>
        <v>-723.46681615545504</v>
      </c>
      <c r="AN107">
        <f>-'Drilling Spec'!$C$29</f>
        <v>-720</v>
      </c>
      <c r="AO107">
        <f>-'Drilling Spec'!$C$27</f>
        <v>-624</v>
      </c>
      <c r="AP107">
        <f>-'Drilling Spec'!$C$28</f>
        <v>-688</v>
      </c>
      <c r="AQ107" t="e">
        <f t="shared" si="31"/>
        <v>#N/A</v>
      </c>
      <c r="AR107" t="e">
        <f>IF(X107=0,NA(),-'Drilling Spec'!$C$29*0.1)</f>
        <v>#N/A</v>
      </c>
      <c r="AS107" t="e">
        <f>IF(Y107=0,NA(),-'Drilling Spec'!$C$29*0.1)</f>
        <v>#N/A</v>
      </c>
      <c r="AT107" t="e">
        <f>IF(AB107=0,NA(),-'Drilling Spec'!$C$29*0.2)</f>
        <v>#N/A</v>
      </c>
      <c r="AU107" t="e">
        <f>IF(AC107=0,NA(),-'Drilling Spec'!$C$29*0.2)</f>
        <v>#N/A</v>
      </c>
      <c r="AV107" t="e">
        <f>IF(AH107=0,NA(),-'Drilling Spec'!$C$29*0.3)</f>
        <v>#N/A</v>
      </c>
      <c r="AW107" t="e">
        <f>IF(AI107=0,NA(),-'Drilling Spec'!$C$29*0.3)</f>
        <v>#N/A</v>
      </c>
      <c r="AX107" s="29">
        <f t="shared" si="32"/>
        <v>4.4273170731707268</v>
      </c>
      <c r="AY107" s="29">
        <f t="shared" si="33"/>
        <v>41.676605068484115</v>
      </c>
      <c r="AZ107" s="29">
        <f t="shared" si="37"/>
        <v>0</v>
      </c>
    </row>
    <row r="108" spans="1:52" x14ac:dyDescent="0.35">
      <c r="A108" s="28">
        <f t="shared" si="42"/>
        <v>46078</v>
      </c>
      <c r="B108" t="str">
        <f t="shared" si="20"/>
        <v>Wed</v>
      </c>
      <c r="C108" s="10"/>
      <c r="D108" s="10"/>
      <c r="E108" s="4">
        <f t="shared" si="21"/>
        <v>0</v>
      </c>
      <c r="F108" s="4">
        <f t="shared" si="22"/>
        <v>816</v>
      </c>
      <c r="G108" s="4">
        <f t="shared" si="23"/>
        <v>0</v>
      </c>
      <c r="H108" s="15">
        <f>(SQRT(4*I107*I107*V*V + 'Drilling Spec'!$C$42*I107 + W*('Drilling Spec'!$C$43 + 2*l*V*(s*W + 2*V*G108/(1+e)) + 'Drilling Spec'!$C$44)) - 'Drilling Spec'!$C$45)/(2*V)</f>
        <v>723.9710585126478</v>
      </c>
      <c r="I108" s="23">
        <f>IF(AND(OR(I107=0,I107=""),F108=0),IF(F109=0,"",'Drilling Spec'!$C$26),H108)</f>
        <v>723.9710585126478</v>
      </c>
      <c r="J108" s="16">
        <f>MAX(0,I108-'Drilling Spec'!$C$30)</f>
        <v>643.9710585126478</v>
      </c>
      <c r="K108" s="18">
        <f>IFERROR(J108/'Drilling Spec'!$C$31,0)</f>
        <v>42.931403900843186</v>
      </c>
      <c r="L108" s="21">
        <f t="shared" si="24"/>
        <v>0</v>
      </c>
      <c r="M108" s="4">
        <f t="shared" si="34"/>
        <v>132</v>
      </c>
      <c r="N108" s="21">
        <f t="shared" si="25"/>
        <v>0</v>
      </c>
      <c r="O108" s="18">
        <f>(SQRT(4*O107*O107*vB*vB + 'Drilling Spec'!$C$48*O107 + WB*('Drilling Spec'!$C$49 + 2*lB*vB*(sB*WB + 2*vB*N108/(1+eB)) + 'Drilling Spec'!$C$50)) - 'Drilling Spec'!$C$51)/(2*vB)</f>
        <v>723.46681615545504</v>
      </c>
      <c r="P108" s="18">
        <f>IFERROR(((S108-'Drilling Spec'!$C$30)/'Drilling Spec'!$C$31)*'Drilling Spec'!$C$32,0)</f>
        <v>38.608008969327301</v>
      </c>
      <c r="Q108" s="18">
        <f t="shared" si="35"/>
        <v>0</v>
      </c>
      <c r="R108" s="18"/>
      <c r="S108" s="26">
        <f>IF(AND(OR(T107=0,T107=""),M108=0),IF(M109=0,"",'Drilling Spec'!$C$30),O108)</f>
        <v>723.46681615545504</v>
      </c>
      <c r="U108" s="15">
        <f>E108*'Drilling Spec'!$C$22 + L108*'Drilling Spec'!$C$23</f>
        <v>0</v>
      </c>
      <c r="V108" s="15">
        <f t="shared" si="36"/>
        <v>19.572682926829266</v>
      </c>
      <c r="W108" s="15">
        <f t="shared" si="26"/>
        <v>4.4273170731707268</v>
      </c>
      <c r="X108" s="10"/>
      <c r="Y108" s="30">
        <f>IF(W108&lt;U109,'Drilling Spec'!$C$35,0)</f>
        <v>0</v>
      </c>
      <c r="AA108" s="4">
        <f t="shared" si="40"/>
        <v>46</v>
      </c>
      <c r="AB108" s="10"/>
      <c r="AC108" s="30">
        <f>IF('08-07-25-Scen7-GennyFail'!K109&gt;'08-07-25-Scen7-GennyFail'!AA108,'Drilling Spec'!$C$36,)</f>
        <v>0</v>
      </c>
      <c r="AE108" s="18">
        <f>(I108-'Drilling Spec'!$C$26)/'Drilling Spec'!$C$38</f>
        <v>108.99517641877463</v>
      </c>
      <c r="AF108" s="18">
        <f t="shared" si="27"/>
        <v>0</v>
      </c>
      <c r="AG108" s="34">
        <f t="shared" si="28"/>
        <v>0</v>
      </c>
      <c r="AH108" s="10"/>
      <c r="AI108" s="26">
        <f>IF(C108="Camp Closed",AG108,IF(AG108&lt;'Drilling Spec'!$C$39,,'Drilling Spec'!$C$39))</f>
        <v>0</v>
      </c>
      <c r="AL108" s="16">
        <f t="shared" si="29"/>
        <v>-723.9710585126478</v>
      </c>
      <c r="AM108" s="16">
        <f t="shared" si="30"/>
        <v>-723.46681615545504</v>
      </c>
      <c r="AN108">
        <f>-'Drilling Spec'!$C$29</f>
        <v>-720</v>
      </c>
      <c r="AO108">
        <f>-'Drilling Spec'!$C$27</f>
        <v>-624</v>
      </c>
      <c r="AP108">
        <f>-'Drilling Spec'!$C$28</f>
        <v>-688</v>
      </c>
      <c r="AQ108" t="e">
        <f t="shared" si="31"/>
        <v>#N/A</v>
      </c>
      <c r="AR108" t="e">
        <f>IF(X108=0,NA(),-'Drilling Spec'!$C$29*0.1)</f>
        <v>#N/A</v>
      </c>
      <c r="AS108" t="e">
        <f>IF(Y108=0,NA(),-'Drilling Spec'!$C$29*0.1)</f>
        <v>#N/A</v>
      </c>
      <c r="AT108" t="e">
        <f>IF(AB108=0,NA(),-'Drilling Spec'!$C$29*0.2)</f>
        <v>#N/A</v>
      </c>
      <c r="AU108" t="e">
        <f>IF(AC108=0,NA(),-'Drilling Spec'!$C$29*0.2)</f>
        <v>#N/A</v>
      </c>
      <c r="AV108" t="e">
        <f>IF(AH108=0,NA(),-'Drilling Spec'!$C$29*0.3)</f>
        <v>#N/A</v>
      </c>
      <c r="AW108" t="e">
        <f>IF(AI108=0,NA(),-'Drilling Spec'!$C$29*0.3)</f>
        <v>#N/A</v>
      </c>
      <c r="AX108" s="29">
        <f t="shared" si="32"/>
        <v>4.4273170731707268</v>
      </c>
      <c r="AY108" s="29">
        <f t="shared" si="33"/>
        <v>41.676605068484115</v>
      </c>
      <c r="AZ108" s="29">
        <f t="shared" si="37"/>
        <v>0</v>
      </c>
    </row>
    <row r="109" spans="1:52" x14ac:dyDescent="0.35">
      <c r="A109" s="28">
        <f t="shared" si="42"/>
        <v>46079</v>
      </c>
      <c r="B109" t="str">
        <f t="shared" si="20"/>
        <v>Thu</v>
      </c>
      <c r="C109" s="10"/>
      <c r="D109" s="10"/>
      <c r="E109" s="4">
        <f t="shared" si="21"/>
        <v>0</v>
      </c>
      <c r="F109" s="4">
        <f t="shared" si="22"/>
        <v>816</v>
      </c>
      <c r="G109" s="4">
        <f t="shared" si="23"/>
        <v>0</v>
      </c>
      <c r="H109" s="15">
        <f>(SQRT(4*I108*I108*V*V + 'Drilling Spec'!$C$42*I108 + W*('Drilling Spec'!$C$43 + 2*l*V*(s*W + 2*V*G109/(1+e)) + 'Drilling Spec'!$C$44)) - 'Drilling Spec'!$C$45)/(2*V)</f>
        <v>723.9710585126478</v>
      </c>
      <c r="I109" s="23">
        <f>IF(AND(OR(I108=0,I108=""),F109=0),IF(F110=0,"",'Drilling Spec'!$C$26),H109)</f>
        <v>723.9710585126478</v>
      </c>
      <c r="J109" s="16">
        <f>MAX(0,I109-'Drilling Spec'!$C$30)</f>
        <v>643.9710585126478</v>
      </c>
      <c r="K109" s="18">
        <f>IFERROR(J109/'Drilling Spec'!$C$31,0)</f>
        <v>42.931403900843186</v>
      </c>
      <c r="L109" s="21">
        <f t="shared" si="24"/>
        <v>0</v>
      </c>
      <c r="M109" s="4">
        <f t="shared" si="34"/>
        <v>132</v>
      </c>
      <c r="N109" s="21">
        <f t="shared" si="25"/>
        <v>0</v>
      </c>
      <c r="O109" s="18">
        <f>(SQRT(4*O108*O108*vB*vB + 'Drilling Spec'!$C$48*O108 + WB*('Drilling Spec'!$C$49 + 2*lB*vB*(sB*WB + 2*vB*N109/(1+eB)) + 'Drilling Spec'!$C$50)) - 'Drilling Spec'!$C$51)/(2*vB)</f>
        <v>723.46681615545504</v>
      </c>
      <c r="P109" s="18">
        <f>IFERROR(((S109-'Drilling Spec'!$C$30)/'Drilling Spec'!$C$31)*'Drilling Spec'!$C$32,0)</f>
        <v>38.608008969327301</v>
      </c>
      <c r="Q109" s="18">
        <f t="shared" si="35"/>
        <v>0</v>
      </c>
      <c r="R109" s="18"/>
      <c r="S109" s="26">
        <f>IF(AND(OR(T108=0,T108=""),M109=0),IF(M110=0,"",'Drilling Spec'!$C$30),O109)</f>
        <v>723.46681615545504</v>
      </c>
      <c r="U109" s="15">
        <f>E109*'Drilling Spec'!$C$22 + L109*'Drilling Spec'!$C$23</f>
        <v>0</v>
      </c>
      <c r="V109" s="15">
        <f t="shared" si="36"/>
        <v>19.572682926829266</v>
      </c>
      <c r="W109" s="15">
        <f t="shared" si="26"/>
        <v>4.4273170731707268</v>
      </c>
      <c r="X109" s="10"/>
      <c r="Y109" s="30">
        <f>IF(W109&lt;U110,'Drilling Spec'!$C$35,0)</f>
        <v>0</v>
      </c>
      <c r="AA109" s="4">
        <f t="shared" si="40"/>
        <v>46</v>
      </c>
      <c r="AB109" s="10"/>
      <c r="AC109" s="30">
        <f>IF('08-07-25-Scen7-GennyFail'!K110&gt;'08-07-25-Scen7-GennyFail'!AA109,'Drilling Spec'!$C$36,)</f>
        <v>0</v>
      </c>
      <c r="AE109" s="18">
        <f>(I109-'Drilling Spec'!$C$26)/'Drilling Spec'!$C$38</f>
        <v>108.99517641877463</v>
      </c>
      <c r="AF109" s="18">
        <f t="shared" si="27"/>
        <v>0</v>
      </c>
      <c r="AG109" s="34">
        <f t="shared" si="28"/>
        <v>0</v>
      </c>
      <c r="AH109" s="10"/>
      <c r="AI109" s="26">
        <f>IF(C109="Camp Closed",AG109,IF(AG109&lt;'Drilling Spec'!$C$39,,'Drilling Spec'!$C$39))</f>
        <v>0</v>
      </c>
      <c r="AL109" s="16">
        <f t="shared" si="29"/>
        <v>-723.9710585126478</v>
      </c>
      <c r="AM109" s="16">
        <f t="shared" si="30"/>
        <v>-723.46681615545504</v>
      </c>
      <c r="AN109">
        <f>-'Drilling Spec'!$C$29</f>
        <v>-720</v>
      </c>
      <c r="AO109">
        <f>-'Drilling Spec'!$C$27</f>
        <v>-624</v>
      </c>
      <c r="AP109">
        <f>-'Drilling Spec'!$C$28</f>
        <v>-688</v>
      </c>
      <c r="AQ109" t="e">
        <f t="shared" si="31"/>
        <v>#N/A</v>
      </c>
      <c r="AR109" t="e">
        <f>IF(X109=0,NA(),-'Drilling Spec'!$C$29*0.1)</f>
        <v>#N/A</v>
      </c>
      <c r="AS109" t="e">
        <f>IF(Y109=0,NA(),-'Drilling Spec'!$C$29*0.1)</f>
        <v>#N/A</v>
      </c>
      <c r="AT109" t="e">
        <f>IF(AB109=0,NA(),-'Drilling Spec'!$C$29*0.2)</f>
        <v>#N/A</v>
      </c>
      <c r="AU109" t="e">
        <f>IF(AC109=0,NA(),-'Drilling Spec'!$C$29*0.2)</f>
        <v>#N/A</v>
      </c>
      <c r="AV109" t="e">
        <f>IF(AH109=0,NA(),-'Drilling Spec'!$C$29*0.3)</f>
        <v>#N/A</v>
      </c>
      <c r="AW109" t="e">
        <f>IF(AI109=0,NA(),-'Drilling Spec'!$C$29*0.3)</f>
        <v>#N/A</v>
      </c>
      <c r="AX109" s="29">
        <f t="shared" si="32"/>
        <v>4.4273170731707268</v>
      </c>
      <c r="AY109" s="29">
        <f t="shared" si="33"/>
        <v>41.676605068484115</v>
      </c>
      <c r="AZ109" s="29">
        <f t="shared" si="37"/>
        <v>0</v>
      </c>
    </row>
    <row r="110" spans="1:52" x14ac:dyDescent="0.35">
      <c r="A110" s="28">
        <f t="shared" si="42"/>
        <v>46080</v>
      </c>
      <c r="B110" t="str">
        <f t="shared" si="20"/>
        <v>Fri</v>
      </c>
      <c r="C110" s="10"/>
      <c r="D110" s="10"/>
      <c r="E110" s="4">
        <f t="shared" si="21"/>
        <v>0</v>
      </c>
      <c r="F110" s="4">
        <f t="shared" si="22"/>
        <v>816</v>
      </c>
      <c r="G110" s="4">
        <f t="shared" si="23"/>
        <v>0</v>
      </c>
      <c r="H110" s="15">
        <f>(SQRT(4*I109*I109*V*V + 'Drilling Spec'!$C$42*I109 + W*('Drilling Spec'!$C$43 + 2*l*V*(s*W + 2*V*G110/(1+e)) + 'Drilling Spec'!$C$44)) - 'Drilling Spec'!$C$45)/(2*V)</f>
        <v>723.9710585126478</v>
      </c>
      <c r="I110" s="23">
        <f>IF(AND(OR(I109=0,I109=""),F110=0),IF(F111=0,"",'Drilling Spec'!$C$26),H110)</f>
        <v>723.9710585126478</v>
      </c>
      <c r="J110" s="16">
        <f>MAX(0,I110-'Drilling Spec'!$C$30)</f>
        <v>643.9710585126478</v>
      </c>
      <c r="K110" s="18">
        <f>IFERROR(J110/'Drilling Spec'!$C$31,0)</f>
        <v>42.931403900843186</v>
      </c>
      <c r="L110" s="21">
        <f t="shared" si="24"/>
        <v>0</v>
      </c>
      <c r="M110" s="4">
        <f t="shared" si="34"/>
        <v>132</v>
      </c>
      <c r="N110" s="21">
        <f t="shared" si="25"/>
        <v>0</v>
      </c>
      <c r="O110" s="18">
        <f>(SQRT(4*O109*O109*vB*vB + 'Drilling Spec'!$C$48*O109 + WB*('Drilling Spec'!$C$49 + 2*lB*vB*(sB*WB + 2*vB*N110/(1+eB)) + 'Drilling Spec'!$C$50)) - 'Drilling Spec'!$C$51)/(2*vB)</f>
        <v>723.46681615545504</v>
      </c>
      <c r="P110" s="18">
        <f>IFERROR(((S110-'Drilling Spec'!$C$30)/'Drilling Spec'!$C$31)*'Drilling Spec'!$C$32,0)</f>
        <v>38.608008969327301</v>
      </c>
      <c r="Q110" s="18">
        <f t="shared" si="35"/>
        <v>0</v>
      </c>
      <c r="R110" s="18"/>
      <c r="S110" s="26">
        <f>IF(AND(OR(T109=0,T109=""),M110=0),IF(M111=0,"",'Drilling Spec'!$C$30),O110)</f>
        <v>723.46681615545504</v>
      </c>
      <c r="U110" s="15">
        <f>E110*'Drilling Spec'!$C$22 + L110*'Drilling Spec'!$C$23</f>
        <v>0</v>
      </c>
      <c r="V110" s="15">
        <f t="shared" si="36"/>
        <v>19.572682926829266</v>
      </c>
      <c r="W110" s="15">
        <f t="shared" si="26"/>
        <v>4.4273170731707268</v>
      </c>
      <c r="X110" s="10"/>
      <c r="Y110" s="30">
        <f>IF(W110&lt;U111,'Drilling Spec'!$C$35,0)</f>
        <v>0</v>
      </c>
      <c r="AA110" s="4">
        <f t="shared" si="40"/>
        <v>46</v>
      </c>
      <c r="AB110" s="10"/>
      <c r="AC110" s="30">
        <f>IF('08-07-25-Scen7-GennyFail'!K111&gt;'08-07-25-Scen7-GennyFail'!AA110,'Drilling Spec'!$C$36,)</f>
        <v>0</v>
      </c>
      <c r="AE110" s="18">
        <f>(I110-'Drilling Spec'!$C$26)/'Drilling Spec'!$C$38</f>
        <v>108.99517641877463</v>
      </c>
      <c r="AF110" s="18">
        <f t="shared" si="27"/>
        <v>0</v>
      </c>
      <c r="AG110" s="34">
        <f t="shared" si="28"/>
        <v>0</v>
      </c>
      <c r="AH110" s="10"/>
      <c r="AI110" s="26">
        <f>IF(C110="Camp Closed",AG110,IF(AG110&lt;'Drilling Spec'!$C$39,,'Drilling Spec'!$C$39))</f>
        <v>0</v>
      </c>
      <c r="AL110" s="16">
        <f t="shared" si="29"/>
        <v>-723.9710585126478</v>
      </c>
      <c r="AM110" s="16">
        <f t="shared" si="30"/>
        <v>-723.46681615545504</v>
      </c>
      <c r="AN110">
        <f>-'Drilling Spec'!$C$29</f>
        <v>-720</v>
      </c>
      <c r="AO110">
        <f>-'Drilling Spec'!$C$27</f>
        <v>-624</v>
      </c>
      <c r="AP110">
        <f>-'Drilling Spec'!$C$28</f>
        <v>-688</v>
      </c>
      <c r="AQ110" t="e">
        <f t="shared" si="31"/>
        <v>#N/A</v>
      </c>
      <c r="AR110" t="e">
        <f>IF(X110=0,NA(),-'Drilling Spec'!$C$29*0.1)</f>
        <v>#N/A</v>
      </c>
      <c r="AS110" t="e">
        <f>IF(Y110=0,NA(),-'Drilling Spec'!$C$29*0.1)</f>
        <v>#N/A</v>
      </c>
      <c r="AT110" t="e">
        <f>IF(AB110=0,NA(),-'Drilling Spec'!$C$29*0.2)</f>
        <v>#N/A</v>
      </c>
      <c r="AU110" t="e">
        <f>IF(AC110=0,NA(),-'Drilling Spec'!$C$29*0.2)</f>
        <v>#N/A</v>
      </c>
      <c r="AV110" t="e">
        <f>IF(AH110=0,NA(),-'Drilling Spec'!$C$29*0.3)</f>
        <v>#N/A</v>
      </c>
      <c r="AW110" t="e">
        <f>IF(AI110=0,NA(),-'Drilling Spec'!$C$29*0.3)</f>
        <v>#N/A</v>
      </c>
      <c r="AX110" s="29">
        <f t="shared" si="32"/>
        <v>4.4273170731707268</v>
      </c>
      <c r="AY110" s="29">
        <f t="shared" si="33"/>
        <v>41.676605068484115</v>
      </c>
      <c r="AZ110" s="29">
        <f t="shared" si="37"/>
        <v>0</v>
      </c>
    </row>
    <row r="111" spans="1:52" x14ac:dyDescent="0.35">
      <c r="A111" s="28">
        <f t="shared" si="42"/>
        <v>46081</v>
      </c>
      <c r="B111" t="str">
        <f t="shared" si="20"/>
        <v>Sat</v>
      </c>
      <c r="C111" s="10"/>
      <c r="D111" s="10"/>
      <c r="E111" s="4">
        <f t="shared" si="21"/>
        <v>0</v>
      </c>
      <c r="F111" s="4">
        <f t="shared" si="22"/>
        <v>816</v>
      </c>
      <c r="G111" s="4">
        <f t="shared" si="23"/>
        <v>0</v>
      </c>
      <c r="H111" s="15">
        <f>(SQRT(4*I110*I110*V*V + 'Drilling Spec'!$C$42*I110 + W*('Drilling Spec'!$C$43 + 2*l*V*(s*W + 2*V*G111/(1+e)) + 'Drilling Spec'!$C$44)) - 'Drilling Spec'!$C$45)/(2*V)</f>
        <v>723.9710585126478</v>
      </c>
      <c r="I111" s="23">
        <f>IF(AND(OR(I110=0,I110=""),F111=0),IF(F112=0,"",'Drilling Spec'!$C$26),H111)</f>
        <v>723.9710585126478</v>
      </c>
      <c r="J111" s="16">
        <f>MAX(0,I111-'Drilling Spec'!$C$30)</f>
        <v>643.9710585126478</v>
      </c>
      <c r="K111" s="18">
        <f>IFERROR(J111/'Drilling Spec'!$C$31,0)</f>
        <v>42.931403900843186</v>
      </c>
      <c r="L111" s="21">
        <f t="shared" si="24"/>
        <v>0</v>
      </c>
      <c r="M111" s="4">
        <f t="shared" si="34"/>
        <v>132</v>
      </c>
      <c r="N111" s="21">
        <f t="shared" si="25"/>
        <v>0</v>
      </c>
      <c r="O111" s="18">
        <f>(SQRT(4*O110*O110*vB*vB + 'Drilling Spec'!$C$48*O110 + WB*('Drilling Spec'!$C$49 + 2*lB*vB*(sB*WB + 2*vB*N111/(1+eB)) + 'Drilling Spec'!$C$50)) - 'Drilling Spec'!$C$51)/(2*vB)</f>
        <v>723.46681615545504</v>
      </c>
      <c r="P111" s="18">
        <f>IFERROR(((S111-'Drilling Spec'!$C$30)/'Drilling Spec'!$C$31)*'Drilling Spec'!$C$32,0)</f>
        <v>38.608008969327301</v>
      </c>
      <c r="Q111" s="18">
        <f t="shared" si="35"/>
        <v>0</v>
      </c>
      <c r="R111" s="18"/>
      <c r="S111" s="26">
        <f>IF(AND(OR(T110=0,T110=""),M111=0),IF(M112=0,"",'Drilling Spec'!$C$30),O111)</f>
        <v>723.46681615545504</v>
      </c>
      <c r="U111" s="15">
        <f>E111*'Drilling Spec'!$C$22 + L111*'Drilling Spec'!$C$23</f>
        <v>0</v>
      </c>
      <c r="V111" s="15">
        <f t="shared" si="36"/>
        <v>19.572682926829266</v>
      </c>
      <c r="W111" s="15">
        <f t="shared" si="26"/>
        <v>4.4273170731707268</v>
      </c>
      <c r="X111" s="10"/>
      <c r="Y111" s="30">
        <f>IF(W111&lt;U112,'Drilling Spec'!$C$35,0)</f>
        <v>0</v>
      </c>
      <c r="AA111" s="4">
        <f t="shared" si="40"/>
        <v>46</v>
      </c>
      <c r="AB111" s="10"/>
      <c r="AC111" s="30">
        <f>IF('08-07-25-Scen7-GennyFail'!K112&gt;'08-07-25-Scen7-GennyFail'!AA111,'Drilling Spec'!$C$36,)</f>
        <v>0</v>
      </c>
      <c r="AE111" s="18">
        <f>(I111-'Drilling Spec'!$C$26)/'Drilling Spec'!$C$38</f>
        <v>108.99517641877463</v>
      </c>
      <c r="AF111" s="18">
        <f t="shared" si="27"/>
        <v>0</v>
      </c>
      <c r="AG111" s="34">
        <f t="shared" si="28"/>
        <v>0</v>
      </c>
      <c r="AH111" s="10"/>
      <c r="AI111" s="26">
        <f>IF(C111="Camp Closed",AG111,IF(AG111&lt;'Drilling Spec'!$C$39,,'Drilling Spec'!$C$39))</f>
        <v>0</v>
      </c>
      <c r="AL111" s="16">
        <f t="shared" si="29"/>
        <v>-723.9710585126478</v>
      </c>
      <c r="AM111" s="16">
        <f t="shared" si="30"/>
        <v>-723.46681615545504</v>
      </c>
      <c r="AN111">
        <f>-'Drilling Spec'!$C$29</f>
        <v>-720</v>
      </c>
      <c r="AO111">
        <f>-'Drilling Spec'!$C$27</f>
        <v>-624</v>
      </c>
      <c r="AP111">
        <f>-'Drilling Spec'!$C$28</f>
        <v>-688</v>
      </c>
      <c r="AQ111" t="e">
        <f t="shared" si="31"/>
        <v>#N/A</v>
      </c>
      <c r="AR111" t="e">
        <f>IF(X111=0,NA(),-'Drilling Spec'!$C$29*0.1)</f>
        <v>#N/A</v>
      </c>
      <c r="AS111" t="e">
        <f>IF(Y111=0,NA(),-'Drilling Spec'!$C$29*0.1)</f>
        <v>#N/A</v>
      </c>
      <c r="AT111" t="e">
        <f>IF(AB111=0,NA(),-'Drilling Spec'!$C$29*0.2)</f>
        <v>#N/A</v>
      </c>
      <c r="AU111" t="e">
        <f>IF(AC111=0,NA(),-'Drilling Spec'!$C$29*0.2)</f>
        <v>#N/A</v>
      </c>
      <c r="AV111" t="e">
        <f>IF(AH111=0,NA(),-'Drilling Spec'!$C$29*0.3)</f>
        <v>#N/A</v>
      </c>
      <c r="AW111" t="e">
        <f>IF(AI111=0,NA(),-'Drilling Spec'!$C$29*0.3)</f>
        <v>#N/A</v>
      </c>
      <c r="AX111" s="29">
        <f t="shared" si="32"/>
        <v>4.4273170731707268</v>
      </c>
      <c r="AY111" s="29">
        <f t="shared" si="33"/>
        <v>41.676605068484115</v>
      </c>
      <c r="AZ111" s="29">
        <f t="shared" si="37"/>
        <v>0</v>
      </c>
    </row>
    <row r="112" spans="1:52" x14ac:dyDescent="0.35">
      <c r="A112" s="28">
        <f t="shared" si="42"/>
        <v>46082</v>
      </c>
      <c r="B112" t="str">
        <f t="shared" si="20"/>
        <v>Sun</v>
      </c>
      <c r="C112" s="10"/>
      <c r="D112" s="10"/>
      <c r="E112" s="4">
        <f t="shared" si="21"/>
        <v>0</v>
      </c>
      <c r="F112" s="4">
        <f t="shared" si="22"/>
        <v>816</v>
      </c>
      <c r="G112" s="4">
        <f t="shared" si="23"/>
        <v>0</v>
      </c>
      <c r="H112" s="15">
        <f>(SQRT(4*I111*I111*V*V + 'Drilling Spec'!$C$42*I111 + W*('Drilling Spec'!$C$43 + 2*l*V*(s*W + 2*V*G112/(1+e)) + 'Drilling Spec'!$C$44)) - 'Drilling Spec'!$C$45)/(2*V)</f>
        <v>723.9710585126478</v>
      </c>
      <c r="I112" s="23">
        <f>IF(AND(OR(I111=0,I111=""),F112=0),IF(F113=0,"",'Drilling Spec'!$C$26),H112)</f>
        <v>723.9710585126478</v>
      </c>
      <c r="J112" s="16">
        <f>MAX(0,I112-'Drilling Spec'!$C$30)</f>
        <v>643.9710585126478</v>
      </c>
      <c r="K112" s="18">
        <f>IFERROR(J112/'Drilling Spec'!$C$31,0)</f>
        <v>42.931403900843186</v>
      </c>
      <c r="L112" s="21">
        <f t="shared" si="24"/>
        <v>0</v>
      </c>
      <c r="M112" s="4">
        <f t="shared" si="34"/>
        <v>132</v>
      </c>
      <c r="N112" s="21">
        <f t="shared" si="25"/>
        <v>0</v>
      </c>
      <c r="O112" s="18">
        <f>(SQRT(4*O111*O111*vB*vB + 'Drilling Spec'!$C$48*O111 + WB*('Drilling Spec'!$C$49 + 2*lB*vB*(sB*WB + 2*vB*N112/(1+eB)) + 'Drilling Spec'!$C$50)) - 'Drilling Spec'!$C$51)/(2*vB)</f>
        <v>723.46681615545504</v>
      </c>
      <c r="P112" s="18">
        <f>IFERROR(((S112-'Drilling Spec'!$C$30)/'Drilling Spec'!$C$31)*'Drilling Spec'!$C$32,0)</f>
        <v>38.608008969327301</v>
      </c>
      <c r="Q112" s="18">
        <f t="shared" si="35"/>
        <v>0</v>
      </c>
      <c r="R112" s="18"/>
      <c r="S112" s="26">
        <f>IF(AND(OR(T111=0,T111=""),M112=0),IF(M113=0,"",'Drilling Spec'!$C$30),O112)</f>
        <v>723.46681615545504</v>
      </c>
      <c r="U112" s="15">
        <f>E112*'Drilling Spec'!$C$22 + L112*'Drilling Spec'!$C$23</f>
        <v>0</v>
      </c>
      <c r="V112" s="15">
        <f t="shared" si="36"/>
        <v>19.572682926829266</v>
      </c>
      <c r="W112" s="15">
        <f t="shared" si="26"/>
        <v>4.4273170731707268</v>
      </c>
      <c r="X112" s="10"/>
      <c r="Y112" s="30">
        <f>IF(W112&lt;U113,'Drilling Spec'!$C$35,0)</f>
        <v>0</v>
      </c>
      <c r="AA112" s="4">
        <f t="shared" si="40"/>
        <v>46</v>
      </c>
      <c r="AB112" s="10"/>
      <c r="AC112" s="30">
        <f>IF('08-07-25-Scen7-GennyFail'!K113&gt;'08-07-25-Scen7-GennyFail'!AA112,'Drilling Spec'!$C$36,)</f>
        <v>0</v>
      </c>
      <c r="AE112" s="18">
        <f>(I112-'Drilling Spec'!$C$26)/'Drilling Spec'!$C$38</f>
        <v>108.99517641877463</v>
      </c>
      <c r="AF112" s="18">
        <f t="shared" si="27"/>
        <v>0</v>
      </c>
      <c r="AG112" s="34">
        <f t="shared" si="28"/>
        <v>0</v>
      </c>
      <c r="AH112" s="10"/>
      <c r="AI112" s="26">
        <f>IF(C112="Camp Closed",AG112,IF(AG112&lt;'Drilling Spec'!$C$39,,'Drilling Spec'!$C$39))</f>
        <v>0</v>
      </c>
      <c r="AL112" s="16">
        <f t="shared" si="29"/>
        <v>-723.9710585126478</v>
      </c>
      <c r="AM112" s="16">
        <f t="shared" si="30"/>
        <v>-723.46681615545504</v>
      </c>
      <c r="AN112">
        <f>-'Drilling Spec'!$C$29</f>
        <v>-720</v>
      </c>
      <c r="AO112">
        <f>-'Drilling Spec'!$C$27</f>
        <v>-624</v>
      </c>
      <c r="AP112">
        <f>-'Drilling Spec'!$C$28</f>
        <v>-688</v>
      </c>
      <c r="AQ112" t="e">
        <f t="shared" si="31"/>
        <v>#N/A</v>
      </c>
      <c r="AR112" t="e">
        <f>IF(X112=0,NA(),-'Drilling Spec'!$C$29*0.1)</f>
        <v>#N/A</v>
      </c>
      <c r="AS112" t="e">
        <f>IF(Y112=0,NA(),-'Drilling Spec'!$C$29*0.1)</f>
        <v>#N/A</v>
      </c>
      <c r="AT112" t="e">
        <f>IF(AB112=0,NA(),-'Drilling Spec'!$C$29*0.2)</f>
        <v>#N/A</v>
      </c>
      <c r="AU112" t="e">
        <f>IF(AC112=0,NA(),-'Drilling Spec'!$C$29*0.2)</f>
        <v>#N/A</v>
      </c>
      <c r="AV112" t="e">
        <f>IF(AH112=0,NA(),-'Drilling Spec'!$C$29*0.3)</f>
        <v>#N/A</v>
      </c>
      <c r="AW112" t="e">
        <f>IF(AI112=0,NA(),-'Drilling Spec'!$C$29*0.3)</f>
        <v>#N/A</v>
      </c>
      <c r="AX112" s="29">
        <f t="shared" si="32"/>
        <v>4.4273170731707268</v>
      </c>
      <c r="AY112" s="29">
        <f t="shared" si="33"/>
        <v>41.676605068484115</v>
      </c>
      <c r="AZ112" s="29">
        <f t="shared" si="37"/>
        <v>0</v>
      </c>
    </row>
  </sheetData>
  <mergeCells count="24">
    <mergeCell ref="BT6:CA6"/>
    <mergeCell ref="BA1:BR1"/>
    <mergeCell ref="BT1:CA1"/>
    <mergeCell ref="BT3:BU3"/>
    <mergeCell ref="BW3:CA3"/>
    <mergeCell ref="BT4:CA5"/>
    <mergeCell ref="BU24:CA25"/>
    <mergeCell ref="BT8:CA10"/>
    <mergeCell ref="BU11:BV11"/>
    <mergeCell ref="BW11:CA11"/>
    <mergeCell ref="BU12:BV12"/>
    <mergeCell ref="BW12:CA12"/>
    <mergeCell ref="BU13:BV13"/>
    <mergeCell ref="BW13:CA13"/>
    <mergeCell ref="BU14:BV14"/>
    <mergeCell ref="BW14:CA14"/>
    <mergeCell ref="BU15:CA16"/>
    <mergeCell ref="BU17:CA18"/>
    <mergeCell ref="BU19:CA23"/>
    <mergeCell ref="BT26:CA30"/>
    <mergeCell ref="BU31:CA32"/>
    <mergeCell ref="BU33:CA34"/>
    <mergeCell ref="BT35:CA37"/>
    <mergeCell ref="BT38:CA39"/>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F086E-C5FB-41DC-A7CE-ED4ACF8CC922}">
  <dimension ref="A1:O51"/>
  <sheetViews>
    <sheetView workbookViewId="0">
      <selection activeCell="C3" sqref="C3"/>
    </sheetView>
  </sheetViews>
  <sheetFormatPr defaultRowHeight="14.5" x14ac:dyDescent="0.35"/>
  <cols>
    <col min="1" max="1" width="28.81640625" bestFit="1" customWidth="1"/>
    <col min="2" max="2" width="3.81640625" bestFit="1" customWidth="1"/>
    <col min="3" max="3" width="10.453125" bestFit="1" customWidth="1"/>
    <col min="4" max="4" width="11.81640625" bestFit="1" customWidth="1"/>
    <col min="11" max="11" width="12.7265625" bestFit="1" customWidth="1"/>
    <col min="12" max="12" width="12" bestFit="1" customWidth="1"/>
    <col min="15" max="15" width="12.54296875" customWidth="1"/>
  </cols>
  <sheetData>
    <row r="1" spans="1:15" x14ac:dyDescent="0.35">
      <c r="A1" s="14" t="s">
        <v>52</v>
      </c>
      <c r="O1" s="5" t="s">
        <v>81</v>
      </c>
    </row>
    <row r="2" spans="1:15" x14ac:dyDescent="0.35">
      <c r="A2" t="s">
        <v>12</v>
      </c>
      <c r="B2" t="s">
        <v>13</v>
      </c>
      <c r="C2" s="1">
        <v>1.1499999999999999</v>
      </c>
      <c r="D2" t="s">
        <v>19</v>
      </c>
      <c r="E2" s="9" t="s">
        <v>23</v>
      </c>
      <c r="O2" t="s">
        <v>30</v>
      </c>
    </row>
    <row r="3" spans="1:15" x14ac:dyDescent="0.35">
      <c r="A3" t="s">
        <v>14</v>
      </c>
      <c r="B3" t="s">
        <v>29</v>
      </c>
      <c r="C3" s="1">
        <v>43</v>
      </c>
      <c r="D3" t="s">
        <v>20</v>
      </c>
      <c r="E3" s="9" t="s">
        <v>24</v>
      </c>
      <c r="O3" t="s">
        <v>32</v>
      </c>
    </row>
    <row r="4" spans="1:15" x14ac:dyDescent="0.35">
      <c r="A4" t="s">
        <v>15</v>
      </c>
      <c r="B4" t="s">
        <v>16</v>
      </c>
      <c r="C4" s="1">
        <v>0.12</v>
      </c>
      <c r="D4" t="s">
        <v>20</v>
      </c>
      <c r="E4" s="9" t="s">
        <v>24</v>
      </c>
      <c r="O4" t="s">
        <v>31</v>
      </c>
    </row>
    <row r="5" spans="1:15" x14ac:dyDescent="0.35">
      <c r="A5" t="s">
        <v>17</v>
      </c>
      <c r="B5" t="s">
        <v>18</v>
      </c>
      <c r="C5" s="1">
        <v>15</v>
      </c>
      <c r="D5" t="s">
        <v>21</v>
      </c>
      <c r="E5" s="9" t="s">
        <v>25</v>
      </c>
    </row>
    <row r="6" spans="1:15" x14ac:dyDescent="0.35">
      <c r="A6" t="s">
        <v>22</v>
      </c>
      <c r="B6" t="s">
        <v>44</v>
      </c>
      <c r="C6" s="8">
        <v>1</v>
      </c>
      <c r="E6" s="9" t="s">
        <v>89</v>
      </c>
      <c r="O6" t="s">
        <v>33</v>
      </c>
    </row>
    <row r="7" spans="1:15" x14ac:dyDescent="0.35">
      <c r="O7" t="s">
        <v>34</v>
      </c>
    </row>
    <row r="8" spans="1:15" x14ac:dyDescent="0.35">
      <c r="A8" s="14" t="s">
        <v>84</v>
      </c>
      <c r="O8" t="s">
        <v>35</v>
      </c>
    </row>
    <row r="9" spans="1:15" x14ac:dyDescent="0.35">
      <c r="A9" t="s">
        <v>12</v>
      </c>
      <c r="B9" t="s">
        <v>90</v>
      </c>
      <c r="C9" s="1">
        <v>3</v>
      </c>
      <c r="D9" t="s">
        <v>19</v>
      </c>
      <c r="E9" s="9" t="s">
        <v>85</v>
      </c>
    </row>
    <row r="10" spans="1:15" x14ac:dyDescent="0.35">
      <c r="A10" t="s">
        <v>14</v>
      </c>
      <c r="B10" t="s">
        <v>91</v>
      </c>
      <c r="C10" s="1">
        <v>43</v>
      </c>
      <c r="D10" t="s">
        <v>20</v>
      </c>
      <c r="E10" s="9" t="s">
        <v>24</v>
      </c>
      <c r="O10" t="s">
        <v>82</v>
      </c>
    </row>
    <row r="11" spans="1:15" x14ac:dyDescent="0.35">
      <c r="A11" t="s">
        <v>86</v>
      </c>
      <c r="B11" t="s">
        <v>92</v>
      </c>
      <c r="C11" s="1">
        <v>43</v>
      </c>
      <c r="D11" t="s">
        <v>20</v>
      </c>
      <c r="E11" s="9" t="s">
        <v>87</v>
      </c>
      <c r="O11" t="s">
        <v>45</v>
      </c>
    </row>
    <row r="12" spans="1:15" x14ac:dyDescent="0.35">
      <c r="A12" t="s">
        <v>17</v>
      </c>
      <c r="B12" t="s">
        <v>93</v>
      </c>
      <c r="C12" s="1">
        <v>5</v>
      </c>
      <c r="D12" t="s">
        <v>21</v>
      </c>
      <c r="E12" s="9" t="s">
        <v>25</v>
      </c>
    </row>
    <row r="13" spans="1:15" x14ac:dyDescent="0.35">
      <c r="A13" t="s">
        <v>22</v>
      </c>
      <c r="B13" t="s">
        <v>94</v>
      </c>
      <c r="C13" s="8">
        <v>0.5</v>
      </c>
      <c r="E13" s="9" t="s">
        <v>88</v>
      </c>
      <c r="O13" t="s">
        <v>46</v>
      </c>
    </row>
    <row r="14" spans="1:15" x14ac:dyDescent="0.35">
      <c r="O14" t="s">
        <v>34</v>
      </c>
    </row>
    <row r="15" spans="1:15" x14ac:dyDescent="0.35">
      <c r="A15" s="14" t="s">
        <v>135</v>
      </c>
      <c r="O15" t="s">
        <v>47</v>
      </c>
    </row>
    <row r="16" spans="1:15" x14ac:dyDescent="0.35">
      <c r="A16" t="s">
        <v>138</v>
      </c>
      <c r="C16" s="1">
        <v>5</v>
      </c>
      <c r="D16" t="s">
        <v>140</v>
      </c>
      <c r="E16" s="9" t="s">
        <v>144</v>
      </c>
      <c r="K16" s="9" t="s">
        <v>136</v>
      </c>
    </row>
    <row r="17" spans="1:15" x14ac:dyDescent="0.35">
      <c r="A17" t="s">
        <v>137</v>
      </c>
      <c r="C17" s="1">
        <v>2.5</v>
      </c>
      <c r="D17" t="s">
        <v>140</v>
      </c>
      <c r="E17" s="9" t="s">
        <v>145</v>
      </c>
      <c r="O17" t="s">
        <v>50</v>
      </c>
    </row>
    <row r="18" spans="1:15" x14ac:dyDescent="0.35">
      <c r="A18" t="s">
        <v>139</v>
      </c>
      <c r="C18" s="1">
        <v>2.15</v>
      </c>
      <c r="D18" t="s">
        <v>140</v>
      </c>
    </row>
    <row r="19" spans="1:15" x14ac:dyDescent="0.35">
      <c r="A19" t="s">
        <v>141</v>
      </c>
      <c r="C19" s="1">
        <v>40</v>
      </c>
      <c r="D19" t="s">
        <v>146</v>
      </c>
      <c r="E19" s="9" t="s">
        <v>148</v>
      </c>
      <c r="O19" s="5" t="s">
        <v>47</v>
      </c>
    </row>
    <row r="20" spans="1:15" x14ac:dyDescent="0.35">
      <c r="A20" t="s">
        <v>142</v>
      </c>
      <c r="C20" s="1">
        <v>10</v>
      </c>
      <c r="D20" t="s">
        <v>146</v>
      </c>
      <c r="E20" s="9" t="s">
        <v>148</v>
      </c>
    </row>
    <row r="21" spans="1:15" x14ac:dyDescent="0.35">
      <c r="A21" t="s">
        <v>143</v>
      </c>
      <c r="C21" s="1">
        <v>10</v>
      </c>
      <c r="D21" t="s">
        <v>146</v>
      </c>
      <c r="E21" s="9" t="s">
        <v>148</v>
      </c>
    </row>
    <row r="22" spans="1:15" x14ac:dyDescent="0.35">
      <c r="A22" t="s">
        <v>147</v>
      </c>
      <c r="C22" s="24">
        <f>((C16*C19+C17*C20+C18*C21)/(C19+C20+C21))/205</f>
        <v>2.0040650406504067E-2</v>
      </c>
      <c r="D22" t="s">
        <v>150</v>
      </c>
      <c r="E22" s="9" t="s">
        <v>149</v>
      </c>
    </row>
    <row r="23" spans="1:15" x14ac:dyDescent="0.35">
      <c r="A23" t="s">
        <v>154</v>
      </c>
      <c r="C23" s="24">
        <f>C16/205</f>
        <v>2.4390243902439025E-2</v>
      </c>
      <c r="D23" t="s">
        <v>150</v>
      </c>
      <c r="E23" s="9" t="s">
        <v>149</v>
      </c>
    </row>
    <row r="24" spans="1:15" x14ac:dyDescent="0.35">
      <c r="N24" s="7"/>
    </row>
    <row r="25" spans="1:15" x14ac:dyDescent="0.35">
      <c r="A25" s="14" t="s">
        <v>53</v>
      </c>
    </row>
    <row r="26" spans="1:15" x14ac:dyDescent="0.35">
      <c r="A26" t="s">
        <v>26</v>
      </c>
      <c r="C26" s="1">
        <v>70</v>
      </c>
      <c r="D26" t="s">
        <v>19</v>
      </c>
      <c r="E26" s="9" t="s">
        <v>27</v>
      </c>
    </row>
    <row r="27" spans="1:15" x14ac:dyDescent="0.35">
      <c r="A27" t="s">
        <v>56</v>
      </c>
      <c r="C27" s="1">
        <v>624</v>
      </c>
      <c r="D27" t="s">
        <v>19</v>
      </c>
      <c r="E27" s="9" t="s">
        <v>27</v>
      </c>
    </row>
    <row r="28" spans="1:15" x14ac:dyDescent="0.35">
      <c r="A28" t="s">
        <v>57</v>
      </c>
      <c r="C28" s="1">
        <v>688</v>
      </c>
      <c r="D28" t="s">
        <v>19</v>
      </c>
      <c r="E28" s="9" t="s">
        <v>27</v>
      </c>
    </row>
    <row r="29" spans="1:15" x14ac:dyDescent="0.35">
      <c r="A29" t="s">
        <v>55</v>
      </c>
      <c r="C29" s="1">
        <v>720</v>
      </c>
      <c r="D29" t="s">
        <v>19</v>
      </c>
      <c r="E29" s="9" t="s">
        <v>27</v>
      </c>
    </row>
    <row r="30" spans="1:15" x14ac:dyDescent="0.35">
      <c r="A30" t="s">
        <v>58</v>
      </c>
      <c r="C30" s="1">
        <v>80</v>
      </c>
      <c r="D30" t="s">
        <v>19</v>
      </c>
      <c r="E30" s="9" t="s">
        <v>27</v>
      </c>
    </row>
    <row r="31" spans="1:15" x14ac:dyDescent="0.35">
      <c r="A31" t="s">
        <v>59</v>
      </c>
      <c r="C31" s="1">
        <v>15</v>
      </c>
      <c r="D31" t="s">
        <v>60</v>
      </c>
      <c r="E31" s="9" t="s">
        <v>61</v>
      </c>
      <c r="N31" s="7"/>
    </row>
    <row r="32" spans="1:15" x14ac:dyDescent="0.35">
      <c r="A32" t="s">
        <v>165</v>
      </c>
      <c r="C32" s="8">
        <v>0.9</v>
      </c>
      <c r="E32" s="9" t="s">
        <v>64</v>
      </c>
      <c r="N32" s="7"/>
    </row>
    <row r="34" spans="1:5" x14ac:dyDescent="0.35">
      <c r="A34" s="14" t="s">
        <v>62</v>
      </c>
    </row>
    <row r="35" spans="1:5" x14ac:dyDescent="0.35">
      <c r="A35" s="25" t="s">
        <v>151</v>
      </c>
      <c r="C35" s="1">
        <v>6</v>
      </c>
      <c r="D35" t="s">
        <v>63</v>
      </c>
      <c r="E35" s="9" t="s">
        <v>64</v>
      </c>
    </row>
    <row r="36" spans="1:5" x14ac:dyDescent="0.35">
      <c r="A36" t="s">
        <v>73</v>
      </c>
      <c r="C36" s="1">
        <v>6</v>
      </c>
      <c r="D36" t="s">
        <v>63</v>
      </c>
      <c r="E36" s="9" t="s">
        <v>64</v>
      </c>
    </row>
    <row r="37" spans="1:5" x14ac:dyDescent="0.35">
      <c r="A37" t="s">
        <v>72</v>
      </c>
      <c r="C37" s="1">
        <v>4</v>
      </c>
      <c r="D37" t="s">
        <v>74</v>
      </c>
      <c r="E37" s="9" t="s">
        <v>64</v>
      </c>
    </row>
    <row r="38" spans="1:5" x14ac:dyDescent="0.35">
      <c r="A38" t="s">
        <v>77</v>
      </c>
      <c r="C38" s="1">
        <v>6</v>
      </c>
      <c r="D38" t="s">
        <v>78</v>
      </c>
      <c r="E38" s="9" t="s">
        <v>116</v>
      </c>
    </row>
    <row r="39" spans="1:5" x14ac:dyDescent="0.35">
      <c r="A39" t="s">
        <v>79</v>
      </c>
      <c r="C39" s="1">
        <v>20</v>
      </c>
      <c r="D39" t="s">
        <v>80</v>
      </c>
      <c r="E39" s="9" t="s">
        <v>64</v>
      </c>
    </row>
    <row r="40" spans="1:5" x14ac:dyDescent="0.35">
      <c r="E40" s="9"/>
    </row>
    <row r="41" spans="1:5" x14ac:dyDescent="0.35">
      <c r="A41" s="14" t="s">
        <v>95</v>
      </c>
    </row>
    <row r="42" spans="1:5" x14ac:dyDescent="0.35">
      <c r="A42" t="s">
        <v>40</v>
      </c>
      <c r="B42" s="11" t="s">
        <v>37</v>
      </c>
      <c r="C42" s="12">
        <f>4*V*W*(l+s*V)</f>
        <v>60.887999999999998</v>
      </c>
      <c r="D42" t="s">
        <v>41</v>
      </c>
    </row>
    <row r="43" spans="1:5" x14ac:dyDescent="0.35">
      <c r="A43" t="s">
        <v>39</v>
      </c>
      <c r="B43" s="11" t="s">
        <v>37</v>
      </c>
      <c r="C43" s="12">
        <f>l*l*W</f>
        <v>56.867499999999993</v>
      </c>
      <c r="D43" t="s">
        <v>20</v>
      </c>
    </row>
    <row r="44" spans="1:5" x14ac:dyDescent="0.35">
      <c r="A44" t="s">
        <v>42</v>
      </c>
      <c r="B44" s="11" t="s">
        <v>37</v>
      </c>
      <c r="C44" s="12">
        <f>s*s*V*V*W</f>
        <v>139.32</v>
      </c>
      <c r="D44" t="s">
        <v>43</v>
      </c>
    </row>
    <row r="45" spans="1:5" x14ac:dyDescent="0.35">
      <c r="A45" t="s">
        <v>36</v>
      </c>
      <c r="B45" s="11" t="s">
        <v>37</v>
      </c>
      <c r="C45" s="12">
        <f>l*W + s*V*W</f>
        <v>126.85</v>
      </c>
      <c r="D45" t="s">
        <v>38</v>
      </c>
    </row>
    <row r="47" spans="1:5" x14ac:dyDescent="0.35">
      <c r="A47" s="14" t="s">
        <v>96</v>
      </c>
    </row>
    <row r="48" spans="1:5" x14ac:dyDescent="0.35">
      <c r="A48" t="s">
        <v>97</v>
      </c>
      <c r="B48" s="11" t="s">
        <v>37</v>
      </c>
      <c r="C48" s="12">
        <f>4*vB*WB*(lB+sB*vB)</f>
        <v>1612328</v>
      </c>
      <c r="D48" t="s">
        <v>41</v>
      </c>
    </row>
    <row r="49" spans="1:4" x14ac:dyDescent="0.35">
      <c r="A49" t="s">
        <v>98</v>
      </c>
      <c r="B49" s="11" t="s">
        <v>37</v>
      </c>
      <c r="C49" s="12">
        <f>lB*lB*WB</f>
        <v>387</v>
      </c>
      <c r="D49" t="s">
        <v>20</v>
      </c>
    </row>
    <row r="50" spans="1:4" x14ac:dyDescent="0.35">
      <c r="A50" t="s">
        <v>99</v>
      </c>
      <c r="B50" s="11" t="s">
        <v>37</v>
      </c>
      <c r="C50" s="12">
        <f>sB*sB*vB*vB*WB</f>
        <v>1987675</v>
      </c>
      <c r="D50" t="s">
        <v>43</v>
      </c>
    </row>
    <row r="51" spans="1:4" x14ac:dyDescent="0.35">
      <c r="A51" t="s">
        <v>100</v>
      </c>
      <c r="B51" s="11" t="s">
        <v>37</v>
      </c>
      <c r="C51" s="12">
        <f>lB*WB + sB*vB*WB</f>
        <v>9374</v>
      </c>
      <c r="D51" t="s">
        <v>38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TODOS</vt:lpstr>
      <vt:lpstr>Baseline 1 - Perfect, 24hr</vt:lpstr>
      <vt:lpstr>Baseline 2 - Good, 16hr</vt:lpstr>
      <vt:lpstr>04-07-25-Scen3-Good,24-16hr</vt:lpstr>
      <vt:lpstr>04-07-25-Scen4-ExFrontloadCargo</vt:lpstr>
      <vt:lpstr>04-07-25-Scen5-WorstCargoJIT</vt:lpstr>
      <vt:lpstr>04-07-25-Scen6-Good,16hr</vt:lpstr>
      <vt:lpstr>08-07-25-Scen7-GennyFail</vt:lpstr>
      <vt:lpstr>Drilling Spec</vt:lpstr>
      <vt:lpstr>e</vt:lpstr>
      <vt:lpstr>eB</vt:lpstr>
      <vt:lpstr>l</vt:lpstr>
      <vt:lpstr>lB</vt:lpstr>
      <vt:lpstr>s</vt:lpstr>
      <vt:lpstr>sB</vt:lpstr>
      <vt:lpstr>V</vt:lpstr>
      <vt:lpstr>vB</vt:lpstr>
      <vt:lpstr>W</vt:lpstr>
      <vt:lpstr>WB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Veale - BAS</dc:creator>
  <cp:lastModifiedBy>Jack Humby - BAS</cp:lastModifiedBy>
  <dcterms:created xsi:type="dcterms:W3CDTF">2025-07-01T10:26:28Z</dcterms:created>
  <dcterms:modified xsi:type="dcterms:W3CDTF">2025-07-22T15:04:55Z</dcterms:modified>
</cp:coreProperties>
</file>